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ttelle365-my.sharepoint.com/personal/gaierk_battelle_org/Documents/BoxMigration/OSLN/OSLN (shared)/OSLN Hubs/Hub Data/"/>
    </mc:Choice>
  </mc:AlternateContent>
  <xr:revisionPtr revIDLastSave="45" documentId="8_{5A5CBFD4-251C-4C9E-85E0-A5F5D58B117D}" xr6:coauthVersionLast="47" xr6:coauthVersionMax="47" xr10:uidLastSave="{5AC5184D-07C7-47C7-B41E-9166BE24BA5E}"/>
  <bookViews>
    <workbookView xWindow="-51720" yWindow="-8370" windowWidth="51840" windowHeight="21120" activeTab="1" xr2:uid="{C2FFE556-78A6-4ACD-8DE3-B987E5987507}"/>
  </bookViews>
  <sheets>
    <sheet name="Instructions " sheetId="4" r:id="rId1"/>
    <sheet name="data (required)" sheetId="1" r:id="rId2"/>
    <sheet name="descriptions (also required)" sheetId="3" r:id="rId3"/>
    <sheet name="IRNs" sheetId="2" r:id="rId4"/>
  </sheets>
  <definedNames>
    <definedName name="_xlnm._FilterDatabase" localSheetId="3" hidden="1">IRNs!$A$1:$S$5956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 a="1"/>
  <c r="A10" i="1" s="1"/>
  <c r="B10" i="1"/>
  <c r="A9" i="1" a="1"/>
  <c r="A9" i="1" s="1"/>
  <c r="B9" i="1"/>
  <c r="A4" i="3" a="1"/>
  <c r="A4" i="3" s="1"/>
  <c r="A1005" i="1" a="1"/>
  <c r="A1005" i="1" s="1"/>
  <c r="A1004" i="1" a="1"/>
  <c r="A1004" i="1" s="1"/>
  <c r="A1003" i="1" a="1"/>
  <c r="A1003" i="1" s="1"/>
  <c r="A1002" i="1" a="1"/>
  <c r="A1002" i="1" s="1"/>
  <c r="A1001" i="1" a="1"/>
  <c r="A1001" i="1" s="1"/>
  <c r="A1000" i="1" a="1"/>
  <c r="A1000" i="1" s="1"/>
  <c r="A999" i="1" a="1"/>
  <c r="A999" i="1" s="1"/>
  <c r="A998" i="1" a="1"/>
  <c r="A998" i="1" s="1"/>
  <c r="A997" i="1" a="1"/>
  <c r="A997" i="1" s="1"/>
  <c r="A996" i="1" a="1"/>
  <c r="A996" i="1" s="1"/>
  <c r="A995" i="1" a="1"/>
  <c r="A995" i="1" s="1"/>
  <c r="A994" i="1" a="1"/>
  <c r="A994" i="1" s="1"/>
  <c r="A993" i="1" a="1"/>
  <c r="A993" i="1" s="1"/>
  <c r="A992" i="1" a="1"/>
  <c r="A992" i="1" s="1"/>
  <c r="A991" i="1" a="1"/>
  <c r="A991" i="1" s="1"/>
  <c r="A990" i="1" a="1"/>
  <c r="A990" i="1" s="1"/>
  <c r="A989" i="1" a="1"/>
  <c r="A989" i="1" s="1"/>
  <c r="A988" i="1" a="1"/>
  <c r="A988" i="1" s="1"/>
  <c r="A987" i="1" a="1"/>
  <c r="A987" i="1" s="1"/>
  <c r="A986" i="1" a="1"/>
  <c r="A986" i="1" s="1"/>
  <c r="A985" i="1" a="1"/>
  <c r="A985" i="1" s="1"/>
  <c r="A984" i="1" a="1"/>
  <c r="A984" i="1" s="1"/>
  <c r="A983" i="1" a="1"/>
  <c r="A983" i="1" s="1"/>
  <c r="A982" i="1" a="1"/>
  <c r="A982" i="1" s="1"/>
  <c r="A981" i="1" a="1"/>
  <c r="A981" i="1" s="1"/>
  <c r="A980" i="1" a="1"/>
  <c r="A980" i="1" s="1"/>
  <c r="A979" i="1" a="1"/>
  <c r="A979" i="1" s="1"/>
  <c r="A978" i="1" a="1"/>
  <c r="A978" i="1" s="1"/>
  <c r="A977" i="1" a="1"/>
  <c r="A977" i="1" s="1"/>
  <c r="A976" i="1" a="1"/>
  <c r="A976" i="1" s="1"/>
  <c r="A975" i="1" a="1"/>
  <c r="A975" i="1" s="1"/>
  <c r="A974" i="1" a="1"/>
  <c r="A974" i="1" s="1"/>
  <c r="A973" i="1" a="1"/>
  <c r="A973" i="1" s="1"/>
  <c r="A972" i="1" a="1"/>
  <c r="A972" i="1" s="1"/>
  <c r="A971" i="1" a="1"/>
  <c r="A971" i="1" s="1"/>
  <c r="A970" i="1" a="1"/>
  <c r="A970" i="1" s="1"/>
  <c r="A969" i="1" a="1"/>
  <c r="A969" i="1" s="1"/>
  <c r="A968" i="1" a="1"/>
  <c r="A968" i="1" s="1"/>
  <c r="A967" i="1" a="1"/>
  <c r="A967" i="1" s="1"/>
  <c r="A966" i="1" a="1"/>
  <c r="A966" i="1" s="1"/>
  <c r="A965" i="1" a="1"/>
  <c r="A965" i="1" s="1"/>
  <c r="A964" i="1" a="1"/>
  <c r="A964" i="1" s="1"/>
  <c r="A963" i="1" a="1"/>
  <c r="A963" i="1" s="1"/>
  <c r="A962" i="1" a="1"/>
  <c r="A962" i="1" s="1"/>
  <c r="A961" i="1" a="1"/>
  <c r="A961" i="1" s="1"/>
  <c r="A960" i="1" a="1"/>
  <c r="A960" i="1" s="1"/>
  <c r="A959" i="1" a="1"/>
  <c r="A959" i="1" s="1"/>
  <c r="A958" i="1" a="1"/>
  <c r="A958" i="1" s="1"/>
  <c r="A957" i="1" a="1"/>
  <c r="A957" i="1" s="1"/>
  <c r="A956" i="1" a="1"/>
  <c r="A956" i="1" s="1"/>
  <c r="A955" i="1" a="1"/>
  <c r="A955" i="1" s="1"/>
  <c r="A954" i="1" a="1"/>
  <c r="A954" i="1" s="1"/>
  <c r="A953" i="1" a="1"/>
  <c r="A953" i="1" s="1"/>
  <c r="A952" i="1" a="1"/>
  <c r="A952" i="1" s="1"/>
  <c r="A951" i="1" a="1"/>
  <c r="A951" i="1" s="1"/>
  <c r="A950" i="1" a="1"/>
  <c r="A950" i="1" s="1"/>
  <c r="A949" i="1" a="1"/>
  <c r="A949" i="1" s="1"/>
  <c r="A948" i="1" a="1"/>
  <c r="A948" i="1" s="1"/>
  <c r="A947" i="1" a="1"/>
  <c r="A947" i="1" s="1"/>
  <c r="A946" i="1" a="1"/>
  <c r="A946" i="1" s="1"/>
  <c r="A945" i="1" a="1"/>
  <c r="A945" i="1" s="1"/>
  <c r="A944" i="1" a="1"/>
  <c r="A944" i="1" s="1"/>
  <c r="A943" i="1" a="1"/>
  <c r="A943" i="1" s="1"/>
  <c r="A942" i="1" a="1"/>
  <c r="A942" i="1" s="1"/>
  <c r="A941" i="1" a="1"/>
  <c r="A941" i="1" s="1"/>
  <c r="A940" i="1" a="1"/>
  <c r="A940" i="1" s="1"/>
  <c r="A939" i="1" a="1"/>
  <c r="A939" i="1" s="1"/>
  <c r="A938" i="1" a="1"/>
  <c r="A938" i="1" s="1"/>
  <c r="A937" i="1" a="1"/>
  <c r="A937" i="1" s="1"/>
  <c r="A936" i="1" a="1"/>
  <c r="A936" i="1" s="1"/>
  <c r="A935" i="1" a="1"/>
  <c r="A935" i="1" s="1"/>
  <c r="A934" i="1" a="1"/>
  <c r="A934" i="1" s="1"/>
  <c r="A933" i="1" a="1"/>
  <c r="A933" i="1" s="1"/>
  <c r="A932" i="1" a="1"/>
  <c r="A932" i="1" s="1"/>
  <c r="A931" i="1" a="1"/>
  <c r="A931" i="1" s="1"/>
  <c r="A930" i="1" a="1"/>
  <c r="A930" i="1" s="1"/>
  <c r="A929" i="1" a="1"/>
  <c r="A929" i="1" s="1"/>
  <c r="A928" i="1" a="1"/>
  <c r="A928" i="1" s="1"/>
  <c r="A927" i="1" a="1"/>
  <c r="A927" i="1" s="1"/>
  <c r="A926" i="1" a="1"/>
  <c r="A926" i="1" s="1"/>
  <c r="A925" i="1" a="1"/>
  <c r="A925" i="1" s="1"/>
  <c r="A924" i="1" a="1"/>
  <c r="A924" i="1" s="1"/>
  <c r="A923" i="1" a="1"/>
  <c r="A923" i="1" s="1"/>
  <c r="A922" i="1" a="1"/>
  <c r="A922" i="1" s="1"/>
  <c r="A921" i="1" a="1"/>
  <c r="A921" i="1" s="1"/>
  <c r="A920" i="1" a="1"/>
  <c r="A920" i="1" s="1"/>
  <c r="A919" i="1" a="1"/>
  <c r="A919" i="1" s="1"/>
  <c r="A918" i="1" a="1"/>
  <c r="A918" i="1" s="1"/>
  <c r="A917" i="1" a="1"/>
  <c r="A917" i="1" s="1"/>
  <c r="A916" i="1" a="1"/>
  <c r="A916" i="1" s="1"/>
  <c r="A915" i="1" a="1"/>
  <c r="A915" i="1" s="1"/>
  <c r="A914" i="1" a="1"/>
  <c r="A914" i="1" s="1"/>
  <c r="A913" i="1" a="1"/>
  <c r="A913" i="1" s="1"/>
  <c r="A912" i="1" a="1"/>
  <c r="A912" i="1" s="1"/>
  <c r="A911" i="1" a="1"/>
  <c r="A911" i="1" s="1"/>
  <c r="A910" i="1" a="1"/>
  <c r="A910" i="1" s="1"/>
  <c r="A909" i="1" a="1"/>
  <c r="A909" i="1" s="1"/>
  <c r="A908" i="1" a="1"/>
  <c r="A908" i="1" s="1"/>
  <c r="A907" i="1" a="1"/>
  <c r="A907" i="1" s="1"/>
  <c r="A906" i="1" a="1"/>
  <c r="A906" i="1" s="1"/>
  <c r="A905" i="1" a="1"/>
  <c r="A905" i="1" s="1"/>
  <c r="A904" i="1" a="1"/>
  <c r="A904" i="1" s="1"/>
  <c r="A903" i="1" a="1"/>
  <c r="A903" i="1" s="1"/>
  <c r="A902" i="1" a="1"/>
  <c r="A902" i="1" s="1"/>
  <c r="A901" i="1" a="1"/>
  <c r="A901" i="1" s="1"/>
  <c r="A900" i="1" a="1"/>
  <c r="A900" i="1" s="1"/>
  <c r="A899" i="1" a="1"/>
  <c r="A899" i="1" s="1"/>
  <c r="A898" i="1" a="1"/>
  <c r="A898" i="1" s="1"/>
  <c r="A897" i="1" a="1"/>
  <c r="A897" i="1" s="1"/>
  <c r="A896" i="1" a="1"/>
  <c r="A896" i="1" s="1"/>
  <c r="A895" i="1" a="1"/>
  <c r="A895" i="1" s="1"/>
  <c r="A894" i="1" a="1"/>
  <c r="A894" i="1" s="1"/>
  <c r="A893" i="1" a="1"/>
  <c r="A893" i="1" s="1"/>
  <c r="A892" i="1" a="1"/>
  <c r="A892" i="1" s="1"/>
  <c r="A891" i="1" a="1"/>
  <c r="A891" i="1" s="1"/>
  <c r="A890" i="1" a="1"/>
  <c r="A890" i="1" s="1"/>
  <c r="A889" i="1" a="1"/>
  <c r="A889" i="1" s="1"/>
  <c r="A888" i="1" a="1"/>
  <c r="A888" i="1" s="1"/>
  <c r="A887" i="1" a="1"/>
  <c r="A887" i="1" s="1"/>
  <c r="A886" i="1" a="1"/>
  <c r="A886" i="1" s="1"/>
  <c r="A885" i="1" a="1"/>
  <c r="A885" i="1" s="1"/>
  <c r="A884" i="1" a="1"/>
  <c r="A884" i="1" s="1"/>
  <c r="A883" i="1" a="1"/>
  <c r="A883" i="1" s="1"/>
  <c r="A882" i="1" a="1"/>
  <c r="A882" i="1" s="1"/>
  <c r="A881" i="1" a="1"/>
  <c r="A881" i="1" s="1"/>
  <c r="A880" i="1" a="1"/>
  <c r="A880" i="1" s="1"/>
  <c r="A879" i="1" a="1"/>
  <c r="A879" i="1" s="1"/>
  <c r="A878" i="1" a="1"/>
  <c r="A878" i="1" s="1"/>
  <c r="A877" i="1" a="1"/>
  <c r="A877" i="1" s="1"/>
  <c r="A876" i="1" a="1"/>
  <c r="A876" i="1" s="1"/>
  <c r="A875" i="1" a="1"/>
  <c r="A875" i="1" s="1"/>
  <c r="A874" i="1" a="1"/>
  <c r="A874" i="1" s="1"/>
  <c r="A873" i="1" a="1"/>
  <c r="A873" i="1" s="1"/>
  <c r="A872" i="1" a="1"/>
  <c r="A872" i="1" s="1"/>
  <c r="A871" i="1" a="1"/>
  <c r="A871" i="1" s="1"/>
  <c r="A870" i="1" a="1"/>
  <c r="A870" i="1" s="1"/>
  <c r="A869" i="1" a="1"/>
  <c r="A869" i="1" s="1"/>
  <c r="A868" i="1" a="1"/>
  <c r="A868" i="1" s="1"/>
  <c r="A867" i="1" a="1"/>
  <c r="A867" i="1" s="1"/>
  <c r="A866" i="1" a="1"/>
  <c r="A866" i="1" s="1"/>
  <c r="A865" i="1" a="1"/>
  <c r="A865" i="1" s="1"/>
  <c r="A864" i="1" a="1"/>
  <c r="A864" i="1" s="1"/>
  <c r="A863" i="1" a="1"/>
  <c r="A863" i="1" s="1"/>
  <c r="A862" i="1" a="1"/>
  <c r="A862" i="1" s="1"/>
  <c r="A861" i="1" a="1"/>
  <c r="A861" i="1" s="1"/>
  <c r="A860" i="1" a="1"/>
  <c r="A860" i="1" s="1"/>
  <c r="A859" i="1" a="1"/>
  <c r="A859" i="1" s="1"/>
  <c r="A858" i="1" a="1"/>
  <c r="A858" i="1" s="1"/>
  <c r="A857" i="1" a="1"/>
  <c r="A857" i="1" s="1"/>
  <c r="A856" i="1" a="1"/>
  <c r="A856" i="1" s="1"/>
  <c r="A855" i="1" a="1"/>
  <c r="A855" i="1" s="1"/>
  <c r="A854" i="1" a="1"/>
  <c r="A854" i="1" s="1"/>
  <c r="A853" i="1" a="1"/>
  <c r="A853" i="1" s="1"/>
  <c r="A852" i="1" a="1"/>
  <c r="A852" i="1" s="1"/>
  <c r="A851" i="1" a="1"/>
  <c r="A851" i="1" s="1"/>
  <c r="A850" i="1" a="1"/>
  <c r="A850" i="1" s="1"/>
  <c r="A849" i="1" a="1"/>
  <c r="A849" i="1" s="1"/>
  <c r="A848" i="1" a="1"/>
  <c r="A848" i="1" s="1"/>
  <c r="A847" i="1" a="1"/>
  <c r="A847" i="1" s="1"/>
  <c r="A846" i="1" a="1"/>
  <c r="A846" i="1" s="1"/>
  <c r="A845" i="1" a="1"/>
  <c r="A845" i="1" s="1"/>
  <c r="A844" i="1" a="1"/>
  <c r="A844" i="1" s="1"/>
  <c r="A843" i="1" a="1"/>
  <c r="A843" i="1" s="1"/>
  <c r="A842" i="1" a="1"/>
  <c r="A842" i="1" s="1"/>
  <c r="A841" i="1" a="1"/>
  <c r="A841" i="1" s="1"/>
  <c r="A840" i="1" a="1"/>
  <c r="A840" i="1" s="1"/>
  <c r="A839" i="1" a="1"/>
  <c r="A839" i="1" s="1"/>
  <c r="A838" i="1" a="1"/>
  <c r="A838" i="1" s="1"/>
  <c r="A837" i="1" a="1"/>
  <c r="A837" i="1" s="1"/>
  <c r="A836" i="1" a="1"/>
  <c r="A836" i="1" s="1"/>
  <c r="A835" i="1" a="1"/>
  <c r="A835" i="1" s="1"/>
  <c r="A834" i="1" a="1"/>
  <c r="A834" i="1" s="1"/>
  <c r="A833" i="1" a="1"/>
  <c r="A833" i="1" s="1"/>
  <c r="A832" i="1" a="1"/>
  <c r="A832" i="1" s="1"/>
  <c r="A831" i="1" a="1"/>
  <c r="A831" i="1" s="1"/>
  <c r="A830" i="1" a="1"/>
  <c r="A830" i="1" s="1"/>
  <c r="A829" i="1" a="1"/>
  <c r="A829" i="1" s="1"/>
  <c r="A828" i="1" a="1"/>
  <c r="A828" i="1" s="1"/>
  <c r="A827" i="1" a="1"/>
  <c r="A827" i="1" s="1"/>
  <c r="A826" i="1" a="1"/>
  <c r="A826" i="1" s="1"/>
  <c r="A825" i="1" a="1"/>
  <c r="A825" i="1" s="1"/>
  <c r="A824" i="1" a="1"/>
  <c r="A824" i="1" s="1"/>
  <c r="A823" i="1" a="1"/>
  <c r="A823" i="1" s="1"/>
  <c r="A822" i="1" a="1"/>
  <c r="A822" i="1" s="1"/>
  <c r="A821" i="1" a="1"/>
  <c r="A821" i="1" s="1"/>
  <c r="A820" i="1" a="1"/>
  <c r="A820" i="1" s="1"/>
  <c r="A819" i="1" a="1"/>
  <c r="A819" i="1" s="1"/>
  <c r="A818" i="1" a="1"/>
  <c r="A818" i="1" s="1"/>
  <c r="A817" i="1" a="1"/>
  <c r="A817" i="1" s="1"/>
  <c r="A816" i="1" a="1"/>
  <c r="A816" i="1" s="1"/>
  <c r="A815" i="1" a="1"/>
  <c r="A815" i="1" s="1"/>
  <c r="A814" i="1" a="1"/>
  <c r="A814" i="1" s="1"/>
  <c r="A813" i="1" a="1"/>
  <c r="A813" i="1" s="1"/>
  <c r="A812" i="1" a="1"/>
  <c r="A812" i="1" s="1"/>
  <c r="A811" i="1" a="1"/>
  <c r="A811" i="1" s="1"/>
  <c r="A810" i="1" a="1"/>
  <c r="A810" i="1" s="1"/>
  <c r="A809" i="1" a="1"/>
  <c r="A809" i="1" s="1"/>
  <c r="A808" i="1" a="1"/>
  <c r="A808" i="1" s="1"/>
  <c r="A807" i="1" a="1"/>
  <c r="A807" i="1" s="1"/>
  <c r="A806" i="1" a="1"/>
  <c r="A806" i="1" s="1"/>
  <c r="A805" i="1" a="1"/>
  <c r="A805" i="1" s="1"/>
  <c r="A804" i="1" a="1"/>
  <c r="A804" i="1" s="1"/>
  <c r="A803" i="1" a="1"/>
  <c r="A803" i="1" s="1"/>
  <c r="A802" i="1" a="1"/>
  <c r="A802" i="1" s="1"/>
  <c r="A801" i="1" a="1"/>
  <c r="A801" i="1" s="1"/>
  <c r="A800" i="1" a="1"/>
  <c r="A800" i="1" s="1"/>
  <c r="A799" i="1" a="1"/>
  <c r="A799" i="1" s="1"/>
  <c r="A798" i="1" a="1"/>
  <c r="A798" i="1" s="1"/>
  <c r="A797" i="1" a="1"/>
  <c r="A797" i="1" s="1"/>
  <c r="A796" i="1" a="1"/>
  <c r="A796" i="1" s="1"/>
  <c r="A795" i="1" a="1"/>
  <c r="A795" i="1" s="1"/>
  <c r="A794" i="1" a="1"/>
  <c r="A794" i="1" s="1"/>
  <c r="A793" i="1" a="1"/>
  <c r="A793" i="1" s="1"/>
  <c r="A792" i="1" a="1"/>
  <c r="A792" i="1" s="1"/>
  <c r="A791" i="1" a="1"/>
  <c r="A791" i="1" s="1"/>
  <c r="A790" i="1" a="1"/>
  <c r="A790" i="1" s="1"/>
  <c r="A789" i="1" a="1"/>
  <c r="A789" i="1" s="1"/>
  <c r="A788" i="1" a="1"/>
  <c r="A788" i="1" s="1"/>
  <c r="A787" i="1" a="1"/>
  <c r="A787" i="1" s="1"/>
  <c r="A786" i="1" a="1"/>
  <c r="A786" i="1" s="1"/>
  <c r="A785" i="1" a="1"/>
  <c r="A785" i="1" s="1"/>
  <c r="A784" i="1" a="1"/>
  <c r="A784" i="1" s="1"/>
  <c r="A783" i="1" a="1"/>
  <c r="A783" i="1" s="1"/>
  <c r="A782" i="1" a="1"/>
  <c r="A782" i="1" s="1"/>
  <c r="A781" i="1" a="1"/>
  <c r="A781" i="1" s="1"/>
  <c r="A780" i="1" a="1"/>
  <c r="A780" i="1" s="1"/>
  <c r="A779" i="1" a="1"/>
  <c r="A779" i="1" s="1"/>
  <c r="A778" i="1" a="1"/>
  <c r="A778" i="1" s="1"/>
  <c r="A777" i="1" a="1"/>
  <c r="A777" i="1" s="1"/>
  <c r="A776" i="1" a="1"/>
  <c r="A776" i="1" s="1"/>
  <c r="A775" i="1" a="1"/>
  <c r="A775" i="1" s="1"/>
  <c r="A774" i="1" a="1"/>
  <c r="A774" i="1" s="1"/>
  <c r="A773" i="1" a="1"/>
  <c r="A773" i="1" s="1"/>
  <c r="A772" i="1" a="1"/>
  <c r="A772" i="1" s="1"/>
  <c r="A771" i="1" a="1"/>
  <c r="A771" i="1" s="1"/>
  <c r="A770" i="1" a="1"/>
  <c r="A770" i="1" s="1"/>
  <c r="A769" i="1" a="1"/>
  <c r="A769" i="1" s="1"/>
  <c r="A768" i="1" a="1"/>
  <c r="A768" i="1" s="1"/>
  <c r="A767" i="1" a="1"/>
  <c r="A767" i="1" s="1"/>
  <c r="A766" i="1" a="1"/>
  <c r="A766" i="1" s="1"/>
  <c r="A765" i="1" a="1"/>
  <c r="A765" i="1" s="1"/>
  <c r="A764" i="1" a="1"/>
  <c r="A764" i="1" s="1"/>
  <c r="A763" i="1" a="1"/>
  <c r="A763" i="1" s="1"/>
  <c r="A762" i="1" a="1"/>
  <c r="A762" i="1" s="1"/>
  <c r="A761" i="1" a="1"/>
  <c r="A761" i="1" s="1"/>
  <c r="A760" i="1" a="1"/>
  <c r="A760" i="1" s="1"/>
  <c r="A759" i="1" a="1"/>
  <c r="A759" i="1" s="1"/>
  <c r="A758" i="1" a="1"/>
  <c r="A758" i="1" s="1"/>
  <c r="A757" i="1" a="1"/>
  <c r="A757" i="1" s="1"/>
  <c r="A756" i="1" a="1"/>
  <c r="A756" i="1" s="1"/>
  <c r="A755" i="1" a="1"/>
  <c r="A755" i="1" s="1"/>
  <c r="A754" i="1" a="1"/>
  <c r="A754" i="1" s="1"/>
  <c r="A753" i="1" a="1"/>
  <c r="A753" i="1" s="1"/>
  <c r="A752" i="1" a="1"/>
  <c r="A752" i="1" s="1"/>
  <c r="A751" i="1" a="1"/>
  <c r="A751" i="1" s="1"/>
  <c r="A750" i="1" a="1"/>
  <c r="A750" i="1" s="1"/>
  <c r="A749" i="1" a="1"/>
  <c r="A749" i="1" s="1"/>
  <c r="A748" i="1" a="1"/>
  <c r="A748" i="1" s="1"/>
  <c r="A747" i="1" a="1"/>
  <c r="A747" i="1" s="1"/>
  <c r="A746" i="1" a="1"/>
  <c r="A746" i="1" s="1"/>
  <c r="A745" i="1" a="1"/>
  <c r="A745" i="1" s="1"/>
  <c r="A744" i="1" a="1"/>
  <c r="A744" i="1" s="1"/>
  <c r="A743" i="1" a="1"/>
  <c r="A743" i="1" s="1"/>
  <c r="A742" i="1" a="1"/>
  <c r="A742" i="1" s="1"/>
  <c r="A741" i="1" a="1"/>
  <c r="A741" i="1" s="1"/>
  <c r="A740" i="1" a="1"/>
  <c r="A740" i="1" s="1"/>
  <c r="A739" i="1" a="1"/>
  <c r="A739" i="1" s="1"/>
  <c r="A738" i="1" a="1"/>
  <c r="A738" i="1" s="1"/>
  <c r="A737" i="1" a="1"/>
  <c r="A737" i="1" s="1"/>
  <c r="A736" i="1" a="1"/>
  <c r="A736" i="1" s="1"/>
  <c r="A735" i="1" a="1"/>
  <c r="A735" i="1" s="1"/>
  <c r="A734" i="1" a="1"/>
  <c r="A734" i="1" s="1"/>
  <c r="A733" i="1" a="1"/>
  <c r="A733" i="1" s="1"/>
  <c r="A732" i="1" a="1"/>
  <c r="A732" i="1" s="1"/>
  <c r="A731" i="1" a="1"/>
  <c r="A731" i="1" s="1"/>
  <c r="A730" i="1" a="1"/>
  <c r="A730" i="1" s="1"/>
  <c r="A729" i="1" a="1"/>
  <c r="A729" i="1" s="1"/>
  <c r="A728" i="1" a="1"/>
  <c r="A728" i="1" s="1"/>
  <c r="A727" i="1" a="1"/>
  <c r="A727" i="1" s="1"/>
  <c r="A726" i="1" a="1"/>
  <c r="A726" i="1" s="1"/>
  <c r="A725" i="1" a="1"/>
  <c r="A725" i="1" s="1"/>
  <c r="A724" i="1" a="1"/>
  <c r="A724" i="1" s="1"/>
  <c r="A723" i="1" a="1"/>
  <c r="A723" i="1" s="1"/>
  <c r="A722" i="1" a="1"/>
  <c r="A722" i="1" s="1"/>
  <c r="A721" i="1" a="1"/>
  <c r="A721" i="1" s="1"/>
  <c r="A720" i="1" a="1"/>
  <c r="A720" i="1" s="1"/>
  <c r="A719" i="1" a="1"/>
  <c r="A719" i="1" s="1"/>
  <c r="A718" i="1" a="1"/>
  <c r="A718" i="1" s="1"/>
  <c r="A717" i="1" a="1"/>
  <c r="A717" i="1" s="1"/>
  <c r="A716" i="1" a="1"/>
  <c r="A716" i="1" s="1"/>
  <c r="A715" i="1" a="1"/>
  <c r="A715" i="1" s="1"/>
  <c r="A714" i="1" a="1"/>
  <c r="A714" i="1" s="1"/>
  <c r="A713" i="1" a="1"/>
  <c r="A713" i="1" s="1"/>
  <c r="A712" i="1" a="1"/>
  <c r="A712" i="1" s="1"/>
  <c r="A711" i="1" a="1"/>
  <c r="A711" i="1" s="1"/>
  <c r="A710" i="1" a="1"/>
  <c r="A710" i="1" s="1"/>
  <c r="A709" i="1" a="1"/>
  <c r="A709" i="1" s="1"/>
  <c r="A708" i="1" a="1"/>
  <c r="A708" i="1" s="1"/>
  <c r="A707" i="1" a="1"/>
  <c r="A707" i="1" s="1"/>
  <c r="A706" i="1" a="1"/>
  <c r="A706" i="1" s="1"/>
  <c r="A705" i="1" a="1"/>
  <c r="A705" i="1" s="1"/>
  <c r="A704" i="1" a="1"/>
  <c r="A704" i="1" s="1"/>
  <c r="A703" i="1" a="1"/>
  <c r="A703" i="1" s="1"/>
  <c r="A702" i="1" a="1"/>
  <c r="A702" i="1" s="1"/>
  <c r="A701" i="1" a="1"/>
  <c r="A701" i="1" s="1"/>
  <c r="A700" i="1" a="1"/>
  <c r="A700" i="1" s="1"/>
  <c r="A699" i="1" a="1"/>
  <c r="A699" i="1" s="1"/>
  <c r="A698" i="1" a="1"/>
  <c r="A698" i="1" s="1"/>
  <c r="A697" i="1" a="1"/>
  <c r="A697" i="1" s="1"/>
  <c r="A696" i="1" a="1"/>
  <c r="A696" i="1" s="1"/>
  <c r="A695" i="1" a="1"/>
  <c r="A695" i="1" s="1"/>
  <c r="A694" i="1" a="1"/>
  <c r="A694" i="1" s="1"/>
  <c r="A693" i="1" a="1"/>
  <c r="A693" i="1" s="1"/>
  <c r="A692" i="1" a="1"/>
  <c r="A692" i="1" s="1"/>
  <c r="A691" i="1" a="1"/>
  <c r="A691" i="1" s="1"/>
  <c r="A690" i="1" a="1"/>
  <c r="A690" i="1" s="1"/>
  <c r="A689" i="1" a="1"/>
  <c r="A689" i="1" s="1"/>
  <c r="A688" i="1" a="1"/>
  <c r="A688" i="1" s="1"/>
  <c r="A687" i="1" a="1"/>
  <c r="A687" i="1" s="1"/>
  <c r="A686" i="1" a="1"/>
  <c r="A686" i="1" s="1"/>
  <c r="A685" i="1" a="1"/>
  <c r="A685" i="1" s="1"/>
  <c r="A684" i="1" a="1"/>
  <c r="A684" i="1" s="1"/>
  <c r="A683" i="1" a="1"/>
  <c r="A683" i="1" s="1"/>
  <c r="A682" i="1" a="1"/>
  <c r="A682" i="1" s="1"/>
  <c r="A681" i="1" a="1"/>
  <c r="A681" i="1" s="1"/>
  <c r="A680" i="1" a="1"/>
  <c r="A680" i="1" s="1"/>
  <c r="A679" i="1" a="1"/>
  <c r="A679" i="1" s="1"/>
  <c r="A678" i="1" a="1"/>
  <c r="A678" i="1" s="1"/>
  <c r="A677" i="1" a="1"/>
  <c r="A677" i="1" s="1"/>
  <c r="A676" i="1" a="1"/>
  <c r="A676" i="1" s="1"/>
  <c r="A675" i="1" a="1"/>
  <c r="A675" i="1" s="1"/>
  <c r="A674" i="1" a="1"/>
  <c r="A674" i="1" s="1"/>
  <c r="A673" i="1" a="1"/>
  <c r="A673" i="1" s="1"/>
  <c r="A672" i="1" a="1"/>
  <c r="A672" i="1" s="1"/>
  <c r="A671" i="1" a="1"/>
  <c r="A671" i="1" s="1"/>
  <c r="A670" i="1" a="1"/>
  <c r="A670" i="1" s="1"/>
  <c r="A669" i="1" a="1"/>
  <c r="A669" i="1" s="1"/>
  <c r="A668" i="1" a="1"/>
  <c r="A668" i="1" s="1"/>
  <c r="A667" i="1" a="1"/>
  <c r="A667" i="1" s="1"/>
  <c r="A666" i="1" a="1"/>
  <c r="A666" i="1" s="1"/>
  <c r="A665" i="1" a="1"/>
  <c r="A665" i="1" s="1"/>
  <c r="A664" i="1" a="1"/>
  <c r="A664" i="1" s="1"/>
  <c r="A663" i="1" a="1"/>
  <c r="A663" i="1" s="1"/>
  <c r="A662" i="1" a="1"/>
  <c r="A662" i="1" s="1"/>
  <c r="A661" i="1" a="1"/>
  <c r="A661" i="1" s="1"/>
  <c r="A660" i="1" a="1"/>
  <c r="A660" i="1" s="1"/>
  <c r="A659" i="1" a="1"/>
  <c r="A659" i="1" s="1"/>
  <c r="A658" i="1" a="1"/>
  <c r="A658" i="1" s="1"/>
  <c r="A657" i="1" a="1"/>
  <c r="A657" i="1" s="1"/>
  <c r="A656" i="1" a="1"/>
  <c r="A656" i="1" s="1"/>
  <c r="A655" i="1" a="1"/>
  <c r="A655" i="1" s="1"/>
  <c r="A654" i="1" a="1"/>
  <c r="A654" i="1" s="1"/>
  <c r="A653" i="1" a="1"/>
  <c r="A653" i="1" s="1"/>
  <c r="A652" i="1" a="1"/>
  <c r="A652" i="1" s="1"/>
  <c r="A651" i="1" a="1"/>
  <c r="A651" i="1" s="1"/>
  <c r="A650" i="1" a="1"/>
  <c r="A650" i="1" s="1"/>
  <c r="A649" i="1" a="1"/>
  <c r="A649" i="1" s="1"/>
  <c r="A648" i="1" a="1"/>
  <c r="A648" i="1" s="1"/>
  <c r="A647" i="1" a="1"/>
  <c r="A647" i="1" s="1"/>
  <c r="A646" i="1" a="1"/>
  <c r="A646" i="1" s="1"/>
  <c r="A645" i="1" a="1"/>
  <c r="A645" i="1" s="1"/>
  <c r="A644" i="1" a="1"/>
  <c r="A644" i="1" s="1"/>
  <c r="A643" i="1" a="1"/>
  <c r="A643" i="1" s="1"/>
  <c r="A642" i="1" a="1"/>
  <c r="A642" i="1" s="1"/>
  <c r="A641" i="1" a="1"/>
  <c r="A641" i="1" s="1"/>
  <c r="A640" i="1" a="1"/>
  <c r="A640" i="1" s="1"/>
  <c r="A639" i="1" a="1"/>
  <c r="A639" i="1" s="1"/>
  <c r="A638" i="1" a="1"/>
  <c r="A638" i="1" s="1"/>
  <c r="A637" i="1" a="1"/>
  <c r="A637" i="1" s="1"/>
  <c r="A636" i="1" a="1"/>
  <c r="A636" i="1" s="1"/>
  <c r="A635" i="1" a="1"/>
  <c r="A635" i="1" s="1"/>
  <c r="A634" i="1" a="1"/>
  <c r="A634" i="1" s="1"/>
  <c r="A633" i="1" a="1"/>
  <c r="A633" i="1" s="1"/>
  <c r="A632" i="1" a="1"/>
  <c r="A632" i="1" s="1"/>
  <c r="A631" i="1" a="1"/>
  <c r="A631" i="1" s="1"/>
  <c r="A630" i="1" a="1"/>
  <c r="A630" i="1" s="1"/>
  <c r="A629" i="1" a="1"/>
  <c r="A629" i="1" s="1"/>
  <c r="A628" i="1" a="1"/>
  <c r="A628" i="1" s="1"/>
  <c r="A627" i="1" a="1"/>
  <c r="A627" i="1" s="1"/>
  <c r="A626" i="1" a="1"/>
  <c r="A626" i="1" s="1"/>
  <c r="A625" i="1" a="1"/>
  <c r="A625" i="1" s="1"/>
  <c r="A624" i="1" a="1"/>
  <c r="A624" i="1" s="1"/>
  <c r="A623" i="1" a="1"/>
  <c r="A623" i="1" s="1"/>
  <c r="A622" i="1" a="1"/>
  <c r="A622" i="1" s="1"/>
  <c r="A621" i="1" a="1"/>
  <c r="A621" i="1" s="1"/>
  <c r="A620" i="1" a="1"/>
  <c r="A620" i="1" s="1"/>
  <c r="A619" i="1" a="1"/>
  <c r="A619" i="1" s="1"/>
  <c r="A618" i="1" a="1"/>
  <c r="A618" i="1" s="1"/>
  <c r="A617" i="1" a="1"/>
  <c r="A617" i="1" s="1"/>
  <c r="A616" i="1" a="1"/>
  <c r="A616" i="1" s="1"/>
  <c r="A615" i="1" a="1"/>
  <c r="A615" i="1" s="1"/>
  <c r="A614" i="1" a="1"/>
  <c r="A614" i="1" s="1"/>
  <c r="A613" i="1" a="1"/>
  <c r="A613" i="1" s="1"/>
  <c r="A612" i="1" a="1"/>
  <c r="A612" i="1" s="1"/>
  <c r="A611" i="1" a="1"/>
  <c r="A611" i="1" s="1"/>
  <c r="A610" i="1" a="1"/>
  <c r="A610" i="1" s="1"/>
  <c r="A609" i="1" a="1"/>
  <c r="A609" i="1" s="1"/>
  <c r="A608" i="1" a="1"/>
  <c r="A608" i="1" s="1"/>
  <c r="A607" i="1" a="1"/>
  <c r="A607" i="1" s="1"/>
  <c r="A606" i="1" a="1"/>
  <c r="A606" i="1" s="1"/>
  <c r="A605" i="1" a="1"/>
  <c r="A605" i="1" s="1"/>
  <c r="A604" i="1" a="1"/>
  <c r="A604" i="1" s="1"/>
  <c r="A603" i="1" a="1"/>
  <c r="A603" i="1" s="1"/>
  <c r="A602" i="1" a="1"/>
  <c r="A602" i="1" s="1"/>
  <c r="A601" i="1" a="1"/>
  <c r="A601" i="1" s="1"/>
  <c r="A600" i="1" a="1"/>
  <c r="A600" i="1" s="1"/>
  <c r="A599" i="1" a="1"/>
  <c r="A599" i="1" s="1"/>
  <c r="A598" i="1" a="1"/>
  <c r="A598" i="1" s="1"/>
  <c r="A597" i="1" a="1"/>
  <c r="A597" i="1" s="1"/>
  <c r="A596" i="1" a="1"/>
  <c r="A596" i="1" s="1"/>
  <c r="A595" i="1" a="1"/>
  <c r="A595" i="1" s="1"/>
  <c r="A594" i="1" a="1"/>
  <c r="A594" i="1" s="1"/>
  <c r="A593" i="1" a="1"/>
  <c r="A593" i="1" s="1"/>
  <c r="A592" i="1" a="1"/>
  <c r="A592" i="1" s="1"/>
  <c r="A591" i="1" a="1"/>
  <c r="A591" i="1" s="1"/>
  <c r="A590" i="1" a="1"/>
  <c r="A590" i="1" s="1"/>
  <c r="A589" i="1" a="1"/>
  <c r="A589" i="1" s="1"/>
  <c r="A588" i="1" a="1"/>
  <c r="A588" i="1" s="1"/>
  <c r="A587" i="1" a="1"/>
  <c r="A587" i="1" s="1"/>
  <c r="A586" i="1" a="1"/>
  <c r="A586" i="1" s="1"/>
  <c r="A585" i="1" a="1"/>
  <c r="A585" i="1" s="1"/>
  <c r="A584" i="1" a="1"/>
  <c r="A584" i="1" s="1"/>
  <c r="A583" i="1" a="1"/>
  <c r="A583" i="1" s="1"/>
  <c r="A582" i="1" a="1"/>
  <c r="A582" i="1" s="1"/>
  <c r="A581" i="1" a="1"/>
  <c r="A581" i="1" s="1"/>
  <c r="A580" i="1" a="1"/>
  <c r="A580" i="1" s="1"/>
  <c r="A579" i="1" a="1"/>
  <c r="A579" i="1" s="1"/>
  <c r="A578" i="1" a="1"/>
  <c r="A578" i="1" s="1"/>
  <c r="A577" i="1" a="1"/>
  <c r="A577" i="1" s="1"/>
  <c r="A576" i="1" a="1"/>
  <c r="A576" i="1" s="1"/>
  <c r="A575" i="1" a="1"/>
  <c r="A575" i="1" s="1"/>
  <c r="A574" i="1" a="1"/>
  <c r="A574" i="1" s="1"/>
  <c r="A573" i="1" a="1"/>
  <c r="A573" i="1" s="1"/>
  <c r="A572" i="1" a="1"/>
  <c r="A572" i="1" s="1"/>
  <c r="A571" i="1" a="1"/>
  <c r="A571" i="1" s="1"/>
  <c r="A570" i="1" a="1"/>
  <c r="A570" i="1" s="1"/>
  <c r="A569" i="1" a="1"/>
  <c r="A569" i="1" s="1"/>
  <c r="A568" i="1" a="1"/>
  <c r="A568" i="1" s="1"/>
  <c r="A567" i="1" a="1"/>
  <c r="A567" i="1" s="1"/>
  <c r="A566" i="1" a="1"/>
  <c r="A566" i="1" s="1"/>
  <c r="A565" i="1" a="1"/>
  <c r="A565" i="1" s="1"/>
  <c r="A564" i="1" a="1"/>
  <c r="A564" i="1" s="1"/>
  <c r="A563" i="1" a="1"/>
  <c r="A563" i="1" s="1"/>
  <c r="A562" i="1" a="1"/>
  <c r="A562" i="1" s="1"/>
  <c r="A561" i="1" a="1"/>
  <c r="A561" i="1" s="1"/>
  <c r="A560" i="1" a="1"/>
  <c r="A560" i="1" s="1"/>
  <c r="A559" i="1" a="1"/>
  <c r="A559" i="1" s="1"/>
  <c r="A558" i="1" a="1"/>
  <c r="A558" i="1" s="1"/>
  <c r="A557" i="1" a="1"/>
  <c r="A557" i="1" s="1"/>
  <c r="A556" i="1" a="1"/>
  <c r="A556" i="1" s="1"/>
  <c r="A555" i="1" a="1"/>
  <c r="A555" i="1" s="1"/>
  <c r="A554" i="1" a="1"/>
  <c r="A554" i="1" s="1"/>
  <c r="A553" i="1" a="1"/>
  <c r="A553" i="1" s="1"/>
  <c r="A552" i="1" a="1"/>
  <c r="A552" i="1" s="1"/>
  <c r="A551" i="1" a="1"/>
  <c r="A551" i="1" s="1"/>
  <c r="A550" i="1" a="1"/>
  <c r="A550" i="1" s="1"/>
  <c r="A549" i="1" a="1"/>
  <c r="A549" i="1" s="1"/>
  <c r="A548" i="1" a="1"/>
  <c r="A548" i="1" s="1"/>
  <c r="A547" i="1" a="1"/>
  <c r="A547" i="1" s="1"/>
  <c r="A546" i="1" a="1"/>
  <c r="A546" i="1" s="1"/>
  <c r="A545" i="1" a="1"/>
  <c r="A545" i="1" s="1"/>
  <c r="A544" i="1" a="1"/>
  <c r="A544" i="1" s="1"/>
  <c r="A543" i="1" a="1"/>
  <c r="A543" i="1" s="1"/>
  <c r="A542" i="1" a="1"/>
  <c r="A542" i="1" s="1"/>
  <c r="A541" i="1" a="1"/>
  <c r="A541" i="1" s="1"/>
  <c r="A540" i="1" a="1"/>
  <c r="A540" i="1" s="1"/>
  <c r="A539" i="1" a="1"/>
  <c r="A539" i="1" s="1"/>
  <c r="A538" i="1" a="1"/>
  <c r="A538" i="1" s="1"/>
  <c r="A537" i="1" a="1"/>
  <c r="A537" i="1" s="1"/>
  <c r="A536" i="1" a="1"/>
  <c r="A536" i="1" s="1"/>
  <c r="A535" i="1" a="1"/>
  <c r="A535" i="1" s="1"/>
  <c r="A534" i="1" a="1"/>
  <c r="A534" i="1" s="1"/>
  <c r="A533" i="1" a="1"/>
  <c r="A533" i="1" s="1"/>
  <c r="A532" i="1" a="1"/>
  <c r="A532" i="1" s="1"/>
  <c r="A531" i="1" a="1"/>
  <c r="A531" i="1" s="1"/>
  <c r="A530" i="1" a="1"/>
  <c r="A530" i="1" s="1"/>
  <c r="A529" i="1" a="1"/>
  <c r="A529" i="1" s="1"/>
  <c r="A528" i="1" a="1"/>
  <c r="A528" i="1" s="1"/>
  <c r="A527" i="1" a="1"/>
  <c r="A527" i="1" s="1"/>
  <c r="A526" i="1" a="1"/>
  <c r="A526" i="1" s="1"/>
  <c r="A525" i="1" a="1"/>
  <c r="A525" i="1" s="1"/>
  <c r="A524" i="1" a="1"/>
  <c r="A524" i="1" s="1"/>
  <c r="A523" i="1" a="1"/>
  <c r="A523" i="1" s="1"/>
  <c r="A522" i="1" a="1"/>
  <c r="A522" i="1" s="1"/>
  <c r="A521" i="1" a="1"/>
  <c r="A521" i="1" s="1"/>
  <c r="A520" i="1" a="1"/>
  <c r="A520" i="1" s="1"/>
  <c r="A519" i="1" a="1"/>
  <c r="A519" i="1" s="1"/>
  <c r="A518" i="1" a="1"/>
  <c r="A518" i="1" s="1"/>
  <c r="A517" i="1" a="1"/>
  <c r="A517" i="1" s="1"/>
  <c r="A516" i="1" a="1"/>
  <c r="A516" i="1" s="1"/>
  <c r="A515" i="1" a="1"/>
  <c r="A515" i="1" s="1"/>
  <c r="A514" i="1" a="1"/>
  <c r="A514" i="1" s="1"/>
  <c r="A513" i="1" a="1"/>
  <c r="A513" i="1" s="1"/>
  <c r="A512" i="1" a="1"/>
  <c r="A512" i="1" s="1"/>
  <c r="A511" i="1" a="1"/>
  <c r="A511" i="1" s="1"/>
  <c r="A510" i="1" a="1"/>
  <c r="A510" i="1" s="1"/>
  <c r="A509" i="1" a="1"/>
  <c r="A509" i="1" s="1"/>
  <c r="A508" i="1" a="1"/>
  <c r="A508" i="1" s="1"/>
  <c r="A507" i="1" a="1"/>
  <c r="A507" i="1" s="1"/>
  <c r="A506" i="1" a="1"/>
  <c r="A506" i="1" s="1"/>
  <c r="A505" i="1" a="1"/>
  <c r="A505" i="1" s="1"/>
  <c r="A504" i="1" a="1"/>
  <c r="A504" i="1" s="1"/>
  <c r="A503" i="1" a="1"/>
  <c r="A503" i="1" s="1"/>
  <c r="A502" i="1" a="1"/>
  <c r="A502" i="1" s="1"/>
  <c r="A501" i="1" a="1"/>
  <c r="A501" i="1" s="1"/>
  <c r="A500" i="1" a="1"/>
  <c r="A500" i="1" s="1"/>
  <c r="A499" i="1" a="1"/>
  <c r="A499" i="1" s="1"/>
  <c r="A498" i="1" a="1"/>
  <c r="A498" i="1" s="1"/>
  <c r="A497" i="1" a="1"/>
  <c r="A497" i="1" s="1"/>
  <c r="A496" i="1" a="1"/>
  <c r="A496" i="1" s="1"/>
  <c r="A495" i="1" a="1"/>
  <c r="A495" i="1" s="1"/>
  <c r="A494" i="1" a="1"/>
  <c r="A494" i="1" s="1"/>
  <c r="A493" i="1" a="1"/>
  <c r="A493" i="1" s="1"/>
  <c r="A492" i="1" a="1"/>
  <c r="A492" i="1" s="1"/>
  <c r="A491" i="1" a="1"/>
  <c r="A491" i="1" s="1"/>
  <c r="A490" i="1" a="1"/>
  <c r="A490" i="1" s="1"/>
  <c r="A489" i="1" a="1"/>
  <c r="A489" i="1" s="1"/>
  <c r="A488" i="1" a="1"/>
  <c r="A488" i="1" s="1"/>
  <c r="A487" i="1" a="1"/>
  <c r="A487" i="1" s="1"/>
  <c r="A486" i="1" a="1"/>
  <c r="A486" i="1" s="1"/>
  <c r="A485" i="1" a="1"/>
  <c r="A485" i="1" s="1"/>
  <c r="A484" i="1" a="1"/>
  <c r="A484" i="1" s="1"/>
  <c r="A483" i="1" a="1"/>
  <c r="A483" i="1" s="1"/>
  <c r="A482" i="1" a="1"/>
  <c r="A482" i="1" s="1"/>
  <c r="A481" i="1" a="1"/>
  <c r="A481" i="1" s="1"/>
  <c r="A480" i="1" a="1"/>
  <c r="A480" i="1" s="1"/>
  <c r="A479" i="1" a="1"/>
  <c r="A479" i="1" s="1"/>
  <c r="A478" i="1" a="1"/>
  <c r="A478" i="1" s="1"/>
  <c r="A477" i="1" a="1"/>
  <c r="A477" i="1" s="1"/>
  <c r="A476" i="1" a="1"/>
  <c r="A476" i="1" s="1"/>
  <c r="A475" i="1" a="1"/>
  <c r="A475" i="1" s="1"/>
  <c r="A474" i="1" a="1"/>
  <c r="A474" i="1" s="1"/>
  <c r="A473" i="1" a="1"/>
  <c r="A473" i="1" s="1"/>
  <c r="A472" i="1" a="1"/>
  <c r="A472" i="1" s="1"/>
  <c r="A471" i="1" a="1"/>
  <c r="A471" i="1" s="1"/>
  <c r="A470" i="1" a="1"/>
  <c r="A470" i="1" s="1"/>
  <c r="A469" i="1" a="1"/>
  <c r="A469" i="1" s="1"/>
  <c r="A468" i="1" a="1"/>
  <c r="A468" i="1" s="1"/>
  <c r="A467" i="1" a="1"/>
  <c r="A467" i="1" s="1"/>
  <c r="A466" i="1" a="1"/>
  <c r="A466" i="1" s="1"/>
  <c r="A465" i="1" a="1"/>
  <c r="A465" i="1" s="1"/>
  <c r="A464" i="1" a="1"/>
  <c r="A464" i="1" s="1"/>
  <c r="A463" i="1" a="1"/>
  <c r="A463" i="1" s="1"/>
  <c r="A462" i="1" a="1"/>
  <c r="A462" i="1" s="1"/>
  <c r="A461" i="1" a="1"/>
  <c r="A461" i="1" s="1"/>
  <c r="A460" i="1" a="1"/>
  <c r="A460" i="1" s="1"/>
  <c r="A459" i="1" a="1"/>
  <c r="A459" i="1" s="1"/>
  <c r="A458" i="1" a="1"/>
  <c r="A458" i="1" s="1"/>
  <c r="A457" i="1" a="1"/>
  <c r="A457" i="1" s="1"/>
  <c r="A456" i="1" a="1"/>
  <c r="A456" i="1" s="1"/>
  <c r="A455" i="1" a="1"/>
  <c r="A455" i="1" s="1"/>
  <c r="A454" i="1" a="1"/>
  <c r="A454" i="1" s="1"/>
  <c r="A453" i="1" a="1"/>
  <c r="A453" i="1" s="1"/>
  <c r="A452" i="1" a="1"/>
  <c r="A452" i="1" s="1"/>
  <c r="A451" i="1" a="1"/>
  <c r="A451" i="1" s="1"/>
  <c r="A450" i="1" a="1"/>
  <c r="A450" i="1" s="1"/>
  <c r="A449" i="1" a="1"/>
  <c r="A449" i="1" s="1"/>
  <c r="A448" i="1" a="1"/>
  <c r="A448" i="1" s="1"/>
  <c r="A447" i="1" a="1"/>
  <c r="A447" i="1" s="1"/>
  <c r="A446" i="1" a="1"/>
  <c r="A446" i="1" s="1"/>
  <c r="A445" i="1" a="1"/>
  <c r="A445" i="1" s="1"/>
  <c r="A444" i="1" a="1"/>
  <c r="A444" i="1" s="1"/>
  <c r="A443" i="1" a="1"/>
  <c r="A443" i="1" s="1"/>
  <c r="A442" i="1" a="1"/>
  <c r="A442" i="1" s="1"/>
  <c r="A441" i="1" a="1"/>
  <c r="A441" i="1" s="1"/>
  <c r="A440" i="1" a="1"/>
  <c r="A440" i="1" s="1"/>
  <c r="A439" i="1" a="1"/>
  <c r="A439" i="1" s="1"/>
  <c r="A438" i="1" a="1"/>
  <c r="A438" i="1" s="1"/>
  <c r="A437" i="1" a="1"/>
  <c r="A437" i="1" s="1"/>
  <c r="A436" i="1" a="1"/>
  <c r="A436" i="1" s="1"/>
  <c r="A435" i="1" a="1"/>
  <c r="A435" i="1" s="1"/>
  <c r="A434" i="1" a="1"/>
  <c r="A434" i="1" s="1"/>
  <c r="A433" i="1" a="1"/>
  <c r="A433" i="1" s="1"/>
  <c r="A432" i="1" a="1"/>
  <c r="A432" i="1" s="1"/>
  <c r="A431" i="1" a="1"/>
  <c r="A431" i="1" s="1"/>
  <c r="A430" i="1" a="1"/>
  <c r="A430" i="1" s="1"/>
  <c r="A429" i="1" a="1"/>
  <c r="A429" i="1" s="1"/>
  <c r="A428" i="1" a="1"/>
  <c r="A428" i="1" s="1"/>
  <c r="A427" i="1" a="1"/>
  <c r="A427" i="1" s="1"/>
  <c r="A426" i="1" a="1"/>
  <c r="A426" i="1" s="1"/>
  <c r="A425" i="1" a="1"/>
  <c r="A425" i="1" s="1"/>
  <c r="A424" i="1" a="1"/>
  <c r="A424" i="1" s="1"/>
  <c r="A423" i="1" a="1"/>
  <c r="A423" i="1" s="1"/>
  <c r="A422" i="1" a="1"/>
  <c r="A422" i="1" s="1"/>
  <c r="A421" i="1" a="1"/>
  <c r="A421" i="1" s="1"/>
  <c r="A420" i="1" a="1"/>
  <c r="A420" i="1" s="1"/>
  <c r="A419" i="1" a="1"/>
  <c r="A419" i="1" s="1"/>
  <c r="A418" i="1" a="1"/>
  <c r="A418" i="1" s="1"/>
  <c r="A417" i="1" a="1"/>
  <c r="A417" i="1" s="1"/>
  <c r="A416" i="1" a="1"/>
  <c r="A416" i="1" s="1"/>
  <c r="A415" i="1" a="1"/>
  <c r="A415" i="1" s="1"/>
  <c r="A414" i="1" a="1"/>
  <c r="A414" i="1" s="1"/>
  <c r="A413" i="1" a="1"/>
  <c r="A413" i="1" s="1"/>
  <c r="A412" i="1" a="1"/>
  <c r="A412" i="1" s="1"/>
  <c r="A411" i="1" a="1"/>
  <c r="A411" i="1" s="1"/>
  <c r="A410" i="1" a="1"/>
  <c r="A410" i="1" s="1"/>
  <c r="A409" i="1" a="1"/>
  <c r="A409" i="1" s="1"/>
  <c r="A408" i="1" a="1"/>
  <c r="A408" i="1" s="1"/>
  <c r="A407" i="1" a="1"/>
  <c r="A407" i="1" s="1"/>
  <c r="A406" i="1" a="1"/>
  <c r="A406" i="1" s="1"/>
  <c r="A405" i="1" a="1"/>
  <c r="A405" i="1" s="1"/>
  <c r="A404" i="1" a="1"/>
  <c r="A404" i="1" s="1"/>
  <c r="A403" i="1" a="1"/>
  <c r="A403" i="1" s="1"/>
  <c r="A402" i="1" a="1"/>
  <c r="A402" i="1" s="1"/>
  <c r="A401" i="1" a="1"/>
  <c r="A401" i="1" s="1"/>
  <c r="A400" i="1" a="1"/>
  <c r="A400" i="1" s="1"/>
  <c r="A399" i="1" a="1"/>
  <c r="A399" i="1" s="1"/>
  <c r="A398" i="1" a="1"/>
  <c r="A398" i="1" s="1"/>
  <c r="A397" i="1" a="1"/>
  <c r="A397" i="1" s="1"/>
  <c r="A396" i="1" a="1"/>
  <c r="A396" i="1" s="1"/>
  <c r="A395" i="1" a="1"/>
  <c r="A395" i="1" s="1"/>
  <c r="A394" i="1" a="1"/>
  <c r="A394" i="1" s="1"/>
  <c r="A393" i="1" a="1"/>
  <c r="A393" i="1" s="1"/>
  <c r="A392" i="1" a="1"/>
  <c r="A392" i="1" s="1"/>
  <c r="A391" i="1" a="1"/>
  <c r="A391" i="1" s="1"/>
  <c r="A390" i="1" a="1"/>
  <c r="A390" i="1" s="1"/>
  <c r="A389" i="1" a="1"/>
  <c r="A389" i="1" s="1"/>
  <c r="A388" i="1" a="1"/>
  <c r="A388" i="1" s="1"/>
  <c r="A387" i="1" a="1"/>
  <c r="A387" i="1" s="1"/>
  <c r="A386" i="1" a="1"/>
  <c r="A386" i="1" s="1"/>
  <c r="A385" i="1" a="1"/>
  <c r="A385" i="1" s="1"/>
  <c r="A384" i="1" a="1"/>
  <c r="A384" i="1" s="1"/>
  <c r="A383" i="1" a="1"/>
  <c r="A383" i="1" s="1"/>
  <c r="A382" i="1" a="1"/>
  <c r="A382" i="1" s="1"/>
  <c r="A381" i="1" a="1"/>
  <c r="A381" i="1" s="1"/>
  <c r="A380" i="1" a="1"/>
  <c r="A380" i="1" s="1"/>
  <c r="A379" i="1" a="1"/>
  <c r="A379" i="1" s="1"/>
  <c r="A378" i="1" a="1"/>
  <c r="A378" i="1" s="1"/>
  <c r="A377" i="1" a="1"/>
  <c r="A377" i="1" s="1"/>
  <c r="A376" i="1" a="1"/>
  <c r="A376" i="1" s="1"/>
  <c r="A375" i="1" a="1"/>
  <c r="A375" i="1" s="1"/>
  <c r="A374" i="1" a="1"/>
  <c r="A374" i="1" s="1"/>
  <c r="A373" i="1" a="1"/>
  <c r="A373" i="1" s="1"/>
  <c r="A372" i="1" a="1"/>
  <c r="A372" i="1" s="1"/>
  <c r="A371" i="1" a="1"/>
  <c r="A371" i="1" s="1"/>
  <c r="A370" i="1" a="1"/>
  <c r="A370" i="1" s="1"/>
  <c r="A369" i="1" a="1"/>
  <c r="A369" i="1" s="1"/>
  <c r="A368" i="1" a="1"/>
  <c r="A368" i="1" s="1"/>
  <c r="A367" i="1" a="1"/>
  <c r="A367" i="1" s="1"/>
  <c r="A366" i="1" a="1"/>
  <c r="A366" i="1" s="1"/>
  <c r="A365" i="1" a="1"/>
  <c r="A365" i="1" s="1"/>
  <c r="A364" i="1" a="1"/>
  <c r="A364" i="1" s="1"/>
  <c r="A363" i="1" a="1"/>
  <c r="A363" i="1" s="1"/>
  <c r="A362" i="1" a="1"/>
  <c r="A362" i="1" s="1"/>
  <c r="A361" i="1" a="1"/>
  <c r="A361" i="1" s="1"/>
  <c r="A360" i="1" a="1"/>
  <c r="A360" i="1" s="1"/>
  <c r="A359" i="1" a="1"/>
  <c r="A359" i="1" s="1"/>
  <c r="A358" i="1" a="1"/>
  <c r="A358" i="1" s="1"/>
  <c r="A357" i="1" a="1"/>
  <c r="A357" i="1" s="1"/>
  <c r="A356" i="1" a="1"/>
  <c r="A356" i="1" s="1"/>
  <c r="A355" i="1" a="1"/>
  <c r="A355" i="1" s="1"/>
  <c r="A354" i="1" a="1"/>
  <c r="A354" i="1" s="1"/>
  <c r="A353" i="1" a="1"/>
  <c r="A353" i="1" s="1"/>
  <c r="A352" i="1" a="1"/>
  <c r="A352" i="1" s="1"/>
  <c r="A351" i="1" a="1"/>
  <c r="A351" i="1" s="1"/>
  <c r="A350" i="1" a="1"/>
  <c r="A350" i="1" s="1"/>
  <c r="A349" i="1" a="1"/>
  <c r="A349" i="1" s="1"/>
  <c r="A348" i="1" a="1"/>
  <c r="A348" i="1" s="1"/>
  <c r="A347" i="1" a="1"/>
  <c r="A347" i="1" s="1"/>
  <c r="A346" i="1" a="1"/>
  <c r="A346" i="1" s="1"/>
  <c r="A345" i="1" a="1"/>
  <c r="A345" i="1" s="1"/>
  <c r="A344" i="1" a="1"/>
  <c r="A344" i="1" s="1"/>
  <c r="A343" i="1" a="1"/>
  <c r="A343" i="1" s="1"/>
  <c r="A342" i="1" a="1"/>
  <c r="A342" i="1" s="1"/>
  <c r="A341" i="1" a="1"/>
  <c r="A341" i="1" s="1"/>
  <c r="A340" i="1" a="1"/>
  <c r="A340" i="1" s="1"/>
  <c r="A339" i="1" a="1"/>
  <c r="A339" i="1" s="1"/>
  <c r="A338" i="1" a="1"/>
  <c r="A338" i="1" s="1"/>
  <c r="A337" i="1" a="1"/>
  <c r="A337" i="1" s="1"/>
  <c r="A336" i="1" a="1"/>
  <c r="A336" i="1" s="1"/>
  <c r="A335" i="1" a="1"/>
  <c r="A335" i="1" s="1"/>
  <c r="A334" i="1" a="1"/>
  <c r="A334" i="1" s="1"/>
  <c r="A333" i="1" a="1"/>
  <c r="A333" i="1" s="1"/>
  <c r="A332" i="1" a="1"/>
  <c r="A332" i="1" s="1"/>
  <c r="A331" i="1" a="1"/>
  <c r="A331" i="1" s="1"/>
  <c r="A330" i="1" a="1"/>
  <c r="A330" i="1" s="1"/>
  <c r="A329" i="1" a="1"/>
  <c r="A329" i="1" s="1"/>
  <c r="A328" i="1" a="1"/>
  <c r="A328" i="1" s="1"/>
  <c r="A327" i="1" a="1"/>
  <c r="A327" i="1" s="1"/>
  <c r="A326" i="1" a="1"/>
  <c r="A326" i="1" s="1"/>
  <c r="A325" i="1" a="1"/>
  <c r="A325" i="1" s="1"/>
  <c r="A324" i="1" a="1"/>
  <c r="A324" i="1" s="1"/>
  <c r="A323" i="1" a="1"/>
  <c r="A323" i="1" s="1"/>
  <c r="A322" i="1" a="1"/>
  <c r="A322" i="1" s="1"/>
  <c r="A321" i="1" a="1"/>
  <c r="A321" i="1" s="1"/>
  <c r="A320" i="1" a="1"/>
  <c r="A320" i="1" s="1"/>
  <c r="A319" i="1" a="1"/>
  <c r="A319" i="1" s="1"/>
  <c r="A318" i="1" a="1"/>
  <c r="A318" i="1" s="1"/>
  <c r="A317" i="1" a="1"/>
  <c r="A317" i="1" s="1"/>
  <c r="A316" i="1" a="1"/>
  <c r="A316" i="1" s="1"/>
  <c r="A315" i="1" a="1"/>
  <c r="A315" i="1" s="1"/>
  <c r="A314" i="1" a="1"/>
  <c r="A314" i="1" s="1"/>
  <c r="A313" i="1" a="1"/>
  <c r="A313" i="1" s="1"/>
  <c r="A312" i="1" a="1"/>
  <c r="A312" i="1" s="1"/>
  <c r="A311" i="1" a="1"/>
  <c r="A311" i="1" s="1"/>
  <c r="A310" i="1" a="1"/>
  <c r="A310" i="1" s="1"/>
  <c r="A309" i="1" a="1"/>
  <c r="A309" i="1" s="1"/>
  <c r="A308" i="1" a="1"/>
  <c r="A308" i="1" s="1"/>
  <c r="A307" i="1" a="1"/>
  <c r="A307" i="1" s="1"/>
  <c r="A306" i="1" a="1"/>
  <c r="A306" i="1" s="1"/>
  <c r="A305" i="1" a="1"/>
  <c r="A305" i="1" s="1"/>
  <c r="A304" i="1" a="1"/>
  <c r="A304" i="1" s="1"/>
  <c r="A303" i="1" a="1"/>
  <c r="A303" i="1" s="1"/>
  <c r="A302" i="1" a="1"/>
  <c r="A302" i="1" s="1"/>
  <c r="A301" i="1" a="1"/>
  <c r="A301" i="1" s="1"/>
  <c r="A300" i="1" a="1"/>
  <c r="A300" i="1" s="1"/>
  <c r="A299" i="1" a="1"/>
  <c r="A299" i="1" s="1"/>
  <c r="A298" i="1" a="1"/>
  <c r="A298" i="1" s="1"/>
  <c r="A297" i="1" a="1"/>
  <c r="A297" i="1" s="1"/>
  <c r="A296" i="1" a="1"/>
  <c r="A296" i="1" s="1"/>
  <c r="A295" i="1" a="1"/>
  <c r="A295" i="1" s="1"/>
  <c r="A294" i="1" a="1"/>
  <c r="A294" i="1" s="1"/>
  <c r="A293" i="1" a="1"/>
  <c r="A293" i="1" s="1"/>
  <c r="A292" i="1" a="1"/>
  <c r="A292" i="1" s="1"/>
  <c r="A291" i="1" a="1"/>
  <c r="A291" i="1" s="1"/>
  <c r="A290" i="1" a="1"/>
  <c r="A290" i="1" s="1"/>
  <c r="A289" i="1" a="1"/>
  <c r="A289" i="1" s="1"/>
  <c r="A288" i="1" a="1"/>
  <c r="A288" i="1" s="1"/>
  <c r="A287" i="1" a="1"/>
  <c r="A287" i="1" s="1"/>
  <c r="A286" i="1" a="1"/>
  <c r="A286" i="1" s="1"/>
  <c r="A285" i="1" a="1"/>
  <c r="A285" i="1" s="1"/>
  <c r="A284" i="1" a="1"/>
  <c r="A284" i="1" s="1"/>
  <c r="A283" i="1" a="1"/>
  <c r="A283" i="1" s="1"/>
  <c r="A282" i="1" a="1"/>
  <c r="A282" i="1" s="1"/>
  <c r="A281" i="1" a="1"/>
  <c r="A281" i="1" s="1"/>
  <c r="A280" i="1" a="1"/>
  <c r="A280" i="1" s="1"/>
  <c r="A279" i="1" a="1"/>
  <c r="A279" i="1" s="1"/>
  <c r="A278" i="1" a="1"/>
  <c r="A278" i="1" s="1"/>
  <c r="A277" i="1" a="1"/>
  <c r="A277" i="1" s="1"/>
  <c r="A276" i="1" a="1"/>
  <c r="A276" i="1" s="1"/>
  <c r="A275" i="1" a="1"/>
  <c r="A275" i="1" s="1"/>
  <c r="A274" i="1" a="1"/>
  <c r="A274" i="1" s="1"/>
  <c r="A273" i="1" a="1"/>
  <c r="A273" i="1" s="1"/>
  <c r="A272" i="1" a="1"/>
  <c r="A272" i="1" s="1"/>
  <c r="A271" i="1" a="1"/>
  <c r="A271" i="1" s="1"/>
  <c r="A270" i="1" a="1"/>
  <c r="A270" i="1" s="1"/>
  <c r="A269" i="1" a="1"/>
  <c r="A269" i="1" s="1"/>
  <c r="A268" i="1" a="1"/>
  <c r="A268" i="1" s="1"/>
  <c r="A267" i="1" a="1"/>
  <c r="A267" i="1" s="1"/>
  <c r="A266" i="1" a="1"/>
  <c r="A266" i="1" s="1"/>
  <c r="A265" i="1" a="1"/>
  <c r="A265" i="1" s="1"/>
  <c r="A264" i="1" a="1"/>
  <c r="A264" i="1" s="1"/>
  <c r="A263" i="1" a="1"/>
  <c r="A263" i="1" s="1"/>
  <c r="A262" i="1" a="1"/>
  <c r="A262" i="1" s="1"/>
  <c r="A261" i="1" a="1"/>
  <c r="A261" i="1" s="1"/>
  <c r="A260" i="1" a="1"/>
  <c r="A260" i="1" s="1"/>
  <c r="A259" i="1" a="1"/>
  <c r="A259" i="1" s="1"/>
  <c r="A258" i="1" a="1"/>
  <c r="A258" i="1" s="1"/>
  <c r="A257" i="1" a="1"/>
  <c r="A257" i="1" s="1"/>
  <c r="A256" i="1" a="1"/>
  <c r="A256" i="1" s="1"/>
  <c r="A255" i="1" a="1"/>
  <c r="A255" i="1" s="1"/>
  <c r="A254" i="1" a="1"/>
  <c r="A254" i="1" s="1"/>
  <c r="A253" i="1" a="1"/>
  <c r="A253" i="1" s="1"/>
  <c r="A252" i="1" a="1"/>
  <c r="A252" i="1" s="1"/>
  <c r="A251" i="1" a="1"/>
  <c r="A251" i="1" s="1"/>
  <c r="A250" i="1" a="1"/>
  <c r="A250" i="1" s="1"/>
  <c r="A249" i="1" a="1"/>
  <c r="A249" i="1" s="1"/>
  <c r="A248" i="1" a="1"/>
  <c r="A248" i="1" s="1"/>
  <c r="A247" i="1" a="1"/>
  <c r="A247" i="1" s="1"/>
  <c r="A246" i="1" a="1"/>
  <c r="A246" i="1" s="1"/>
  <c r="A245" i="1" a="1"/>
  <c r="A245" i="1" s="1"/>
  <c r="A244" i="1" a="1"/>
  <c r="A244" i="1" s="1"/>
  <c r="A243" i="1" a="1"/>
  <c r="A243" i="1" s="1"/>
  <c r="A242" i="1" a="1"/>
  <c r="A242" i="1" s="1"/>
  <c r="A241" i="1" a="1"/>
  <c r="A241" i="1" s="1"/>
  <c r="A240" i="1" a="1"/>
  <c r="A240" i="1" s="1"/>
  <c r="A239" i="1" a="1"/>
  <c r="A239" i="1" s="1"/>
  <c r="A238" i="1" a="1"/>
  <c r="A238" i="1" s="1"/>
  <c r="A237" i="1" a="1"/>
  <c r="A237" i="1" s="1"/>
  <c r="A236" i="1" a="1"/>
  <c r="A236" i="1" s="1"/>
  <c r="A235" i="1" a="1"/>
  <c r="A235" i="1" s="1"/>
  <c r="A234" i="1" a="1"/>
  <c r="A234" i="1" s="1"/>
  <c r="A233" i="1" a="1"/>
  <c r="A233" i="1" s="1"/>
  <c r="A232" i="1" a="1"/>
  <c r="A232" i="1" s="1"/>
  <c r="A231" i="1" a="1"/>
  <c r="A231" i="1" s="1"/>
  <c r="A230" i="1" a="1"/>
  <c r="A230" i="1" s="1"/>
  <c r="A229" i="1" a="1"/>
  <c r="A229" i="1" s="1"/>
  <c r="A228" i="1" a="1"/>
  <c r="A228" i="1" s="1"/>
  <c r="A227" i="1" a="1"/>
  <c r="A227" i="1" s="1"/>
  <c r="A226" i="1" a="1"/>
  <c r="A226" i="1" s="1"/>
  <c r="A225" i="1" a="1"/>
  <c r="A225" i="1" s="1"/>
  <c r="A224" i="1" a="1"/>
  <c r="A224" i="1" s="1"/>
  <c r="A223" i="1" a="1"/>
  <c r="A223" i="1" s="1"/>
  <c r="A222" i="1" a="1"/>
  <c r="A222" i="1" s="1"/>
  <c r="A221" i="1" a="1"/>
  <c r="A221" i="1" s="1"/>
  <c r="A220" i="1" a="1"/>
  <c r="A220" i="1" s="1"/>
  <c r="A219" i="1" a="1"/>
  <c r="A219" i="1" s="1"/>
  <c r="A218" i="1" a="1"/>
  <c r="A218" i="1" s="1"/>
  <c r="A217" i="1" a="1"/>
  <c r="A217" i="1" s="1"/>
  <c r="A216" i="1" a="1"/>
  <c r="A216" i="1" s="1"/>
  <c r="A215" i="1" a="1"/>
  <c r="A215" i="1" s="1"/>
  <c r="A214" i="1" a="1"/>
  <c r="A214" i="1" s="1"/>
  <c r="A213" i="1" a="1"/>
  <c r="A213" i="1" s="1"/>
  <c r="A212" i="1" a="1"/>
  <c r="A212" i="1" s="1"/>
  <c r="A211" i="1" a="1"/>
  <c r="A211" i="1" s="1"/>
  <c r="A210" i="1" a="1"/>
  <c r="A210" i="1" s="1"/>
  <c r="A209" i="1" a="1"/>
  <c r="A209" i="1" s="1"/>
  <c r="A208" i="1" a="1"/>
  <c r="A208" i="1" s="1"/>
  <c r="A207" i="1" a="1"/>
  <c r="A207" i="1" s="1"/>
  <c r="A206" i="1" a="1"/>
  <c r="A206" i="1" s="1"/>
  <c r="A205" i="1" a="1"/>
  <c r="A205" i="1" s="1"/>
  <c r="A204" i="1" a="1"/>
  <c r="A204" i="1" s="1"/>
  <c r="A203" i="1" a="1"/>
  <c r="A203" i="1" s="1"/>
  <c r="A202" i="1" a="1"/>
  <c r="A202" i="1" s="1"/>
  <c r="A201" i="1" a="1"/>
  <c r="A201" i="1" s="1"/>
  <c r="A200" i="1" a="1"/>
  <c r="A200" i="1" s="1"/>
  <c r="A199" i="1" a="1"/>
  <c r="A199" i="1" s="1"/>
  <c r="A198" i="1" a="1"/>
  <c r="A198" i="1" s="1"/>
  <c r="A197" i="1" a="1"/>
  <c r="A197" i="1" s="1"/>
  <c r="A196" i="1" a="1"/>
  <c r="A196" i="1" s="1"/>
  <c r="A195" i="1" a="1"/>
  <c r="A195" i="1" s="1"/>
  <c r="A194" i="1" a="1"/>
  <c r="A194" i="1" s="1"/>
  <c r="A193" i="1" a="1"/>
  <c r="A193" i="1" s="1"/>
  <c r="A192" i="1" a="1"/>
  <c r="A192" i="1" s="1"/>
  <c r="A191" i="1" a="1"/>
  <c r="A191" i="1" s="1"/>
  <c r="A190" i="1" a="1"/>
  <c r="A190" i="1" s="1"/>
  <c r="A189" i="1" a="1"/>
  <c r="A189" i="1" s="1"/>
  <c r="A188" i="1" a="1"/>
  <c r="A188" i="1" s="1"/>
  <c r="A187" i="1" a="1"/>
  <c r="A187" i="1" s="1"/>
  <c r="A186" i="1" a="1"/>
  <c r="A186" i="1" s="1"/>
  <c r="A185" i="1" a="1"/>
  <c r="A185" i="1" s="1"/>
  <c r="A184" i="1" a="1"/>
  <c r="A184" i="1" s="1"/>
  <c r="A183" i="1" a="1"/>
  <c r="A183" i="1" s="1"/>
  <c r="A182" i="1" a="1"/>
  <c r="A182" i="1" s="1"/>
  <c r="A181" i="1" a="1"/>
  <c r="A181" i="1" s="1"/>
  <c r="A180" i="1" a="1"/>
  <c r="A180" i="1" s="1"/>
  <c r="A179" i="1" a="1"/>
  <c r="A179" i="1" s="1"/>
  <c r="A178" i="1" a="1"/>
  <c r="A178" i="1" s="1"/>
  <c r="A177" i="1" a="1"/>
  <c r="A177" i="1" s="1"/>
  <c r="A176" i="1" a="1"/>
  <c r="A176" i="1" s="1"/>
  <c r="A175" i="1" a="1"/>
  <c r="A175" i="1" s="1"/>
  <c r="A174" i="1" a="1"/>
  <c r="A174" i="1" s="1"/>
  <c r="A173" i="1" a="1"/>
  <c r="A173" i="1" s="1"/>
  <c r="A172" i="1" a="1"/>
  <c r="A172" i="1" s="1"/>
  <c r="A171" i="1" a="1"/>
  <c r="A171" i="1" s="1"/>
  <c r="A170" i="1" a="1"/>
  <c r="A170" i="1" s="1"/>
  <c r="A169" i="1" a="1"/>
  <c r="A169" i="1" s="1"/>
  <c r="A168" i="1" a="1"/>
  <c r="A168" i="1" s="1"/>
  <c r="A167" i="1" a="1"/>
  <c r="A167" i="1" s="1"/>
  <c r="A166" i="1" a="1"/>
  <c r="A166" i="1" s="1"/>
  <c r="A165" i="1" a="1"/>
  <c r="A165" i="1" s="1"/>
  <c r="A164" i="1" a="1"/>
  <c r="A164" i="1" s="1"/>
  <c r="A163" i="1" a="1"/>
  <c r="A163" i="1" s="1"/>
  <c r="A162" i="1" a="1"/>
  <c r="A162" i="1" s="1"/>
  <c r="A161" i="1" a="1"/>
  <c r="A161" i="1" s="1"/>
  <c r="A160" i="1" a="1"/>
  <c r="A160" i="1" s="1"/>
  <c r="A159" i="1" a="1"/>
  <c r="A159" i="1" s="1"/>
  <c r="A158" i="1" a="1"/>
  <c r="A158" i="1" s="1"/>
  <c r="A157" i="1" a="1"/>
  <c r="A157" i="1" s="1"/>
  <c r="A156" i="1" a="1"/>
  <c r="A156" i="1" s="1"/>
  <c r="A155" i="1" a="1"/>
  <c r="A155" i="1" s="1"/>
  <c r="A154" i="1" a="1"/>
  <c r="A154" i="1" s="1"/>
  <c r="A153" i="1" a="1"/>
  <c r="A153" i="1" s="1"/>
  <c r="A152" i="1" a="1"/>
  <c r="A152" i="1" s="1"/>
  <c r="A151" i="1" a="1"/>
  <c r="A151" i="1" s="1"/>
  <c r="A150" i="1" a="1"/>
  <c r="A150" i="1" s="1"/>
  <c r="A149" i="1" a="1"/>
  <c r="A149" i="1" s="1"/>
  <c r="A148" i="1" a="1"/>
  <c r="A148" i="1" s="1"/>
  <c r="A147" i="1" a="1"/>
  <c r="A147" i="1" s="1"/>
  <c r="A146" i="1" a="1"/>
  <c r="A146" i="1" s="1"/>
  <c r="A145" i="1" a="1"/>
  <c r="A145" i="1" s="1"/>
  <c r="A144" i="1" a="1"/>
  <c r="A144" i="1" s="1"/>
  <c r="A143" i="1" a="1"/>
  <c r="A143" i="1" s="1"/>
  <c r="A142" i="1" a="1"/>
  <c r="A142" i="1" s="1"/>
  <c r="A141" i="1" a="1"/>
  <c r="A141" i="1" s="1"/>
  <c r="A140" i="1" a="1"/>
  <c r="A140" i="1" s="1"/>
  <c r="A139" i="1" a="1"/>
  <c r="A139" i="1" s="1"/>
  <c r="A138" i="1" a="1"/>
  <c r="A138" i="1" s="1"/>
  <c r="A137" i="1" a="1"/>
  <c r="A137" i="1" s="1"/>
  <c r="A136" i="1" a="1"/>
  <c r="A136" i="1" s="1"/>
  <c r="A135" i="1" a="1"/>
  <c r="A135" i="1" s="1"/>
  <c r="A134" i="1" a="1"/>
  <c r="A134" i="1" s="1"/>
  <c r="A133" i="1" a="1"/>
  <c r="A133" i="1" s="1"/>
  <c r="A132" i="1" a="1"/>
  <c r="A132" i="1" s="1"/>
  <c r="A131" i="1" a="1"/>
  <c r="A131" i="1" s="1"/>
  <c r="A130" i="1" a="1"/>
  <c r="A130" i="1" s="1"/>
  <c r="A129" i="1" a="1"/>
  <c r="A129" i="1" s="1"/>
  <c r="A128" i="1" a="1"/>
  <c r="A128" i="1" s="1"/>
  <c r="A127" i="1" a="1"/>
  <c r="A127" i="1" s="1"/>
  <c r="A126" i="1" a="1"/>
  <c r="A126" i="1" s="1"/>
  <c r="A125" i="1" a="1"/>
  <c r="A125" i="1" s="1"/>
  <c r="A124" i="1" a="1"/>
  <c r="A124" i="1" s="1"/>
  <c r="A123" i="1" a="1"/>
  <c r="A123" i="1" s="1"/>
  <c r="A122" i="1" a="1"/>
  <c r="A122" i="1" s="1"/>
  <c r="A121" i="1" a="1"/>
  <c r="A121" i="1" s="1"/>
  <c r="A120" i="1" a="1"/>
  <c r="A120" i="1" s="1"/>
  <c r="A119" i="1" a="1"/>
  <c r="A119" i="1" s="1"/>
  <c r="A118" i="1" a="1"/>
  <c r="A118" i="1" s="1"/>
  <c r="A117" i="1" a="1"/>
  <c r="A117" i="1" s="1"/>
  <c r="A116" i="1" a="1"/>
  <c r="A116" i="1" s="1"/>
  <c r="A115" i="1" a="1"/>
  <c r="A115" i="1" s="1"/>
  <c r="A114" i="1"/>
  <c r="A114" i="1" a="1"/>
  <c r="A113" i="1" a="1"/>
  <c r="A113" i="1" s="1"/>
  <c r="A112" i="1" a="1"/>
  <c r="A112" i="1" s="1"/>
  <c r="A111" i="1" a="1"/>
  <c r="A111" i="1" s="1"/>
  <c r="A110" i="1" a="1"/>
  <c r="A110" i="1" s="1"/>
  <c r="A109" i="1" a="1"/>
  <c r="A109" i="1" s="1"/>
  <c r="A108" i="1" a="1"/>
  <c r="A108" i="1" s="1"/>
  <c r="A107" i="1" a="1"/>
  <c r="A107" i="1" s="1"/>
  <c r="A106" i="1" a="1"/>
  <c r="A106" i="1" s="1"/>
  <c r="A105" i="1" a="1"/>
  <c r="A105" i="1" s="1"/>
  <c r="A104" i="1" a="1"/>
  <c r="A104" i="1" s="1"/>
  <c r="A103" i="1" a="1"/>
  <c r="A103" i="1" s="1"/>
  <c r="A102" i="1" a="1"/>
  <c r="A102" i="1" s="1"/>
  <c r="A101" i="1" a="1"/>
  <c r="A101" i="1" s="1"/>
  <c r="A100" i="1" a="1"/>
  <c r="A100" i="1" s="1"/>
  <c r="A99" i="1" a="1"/>
  <c r="A99" i="1" s="1"/>
  <c r="A98" i="1" a="1"/>
  <c r="A98" i="1" s="1"/>
  <c r="A97" i="1" a="1"/>
  <c r="A97" i="1" s="1"/>
  <c r="A96" i="1" a="1"/>
  <c r="A96" i="1" s="1"/>
  <c r="A95" i="1" a="1"/>
  <c r="A95" i="1" s="1"/>
  <c r="A94" i="1" a="1"/>
  <c r="A94" i="1" s="1"/>
  <c r="A93" i="1" a="1"/>
  <c r="A93" i="1" s="1"/>
  <c r="A92" i="1" a="1"/>
  <c r="A92" i="1" s="1"/>
  <c r="A91" i="1" a="1"/>
  <c r="A91" i="1" s="1"/>
  <c r="A90" i="1" a="1"/>
  <c r="A90" i="1" s="1"/>
  <c r="A89" i="1" a="1"/>
  <c r="A89" i="1" s="1"/>
  <c r="A88" i="1" a="1"/>
  <c r="A88" i="1" s="1"/>
  <c r="A87" i="1" a="1"/>
  <c r="A87" i="1" s="1"/>
  <c r="A86" i="1" a="1"/>
  <c r="A86" i="1" s="1"/>
  <c r="A85" i="1" a="1"/>
  <c r="A85" i="1" s="1"/>
  <c r="A84" i="1" a="1"/>
  <c r="A84" i="1" s="1"/>
  <c r="A83" i="1" a="1"/>
  <c r="A83" i="1" s="1"/>
  <c r="A82" i="1" a="1"/>
  <c r="A82" i="1" s="1"/>
  <c r="A81" i="1" a="1"/>
  <c r="A81" i="1" s="1"/>
  <c r="A80" i="1" a="1"/>
  <c r="A80" i="1" s="1"/>
  <c r="A79" i="1" a="1"/>
  <c r="A79" i="1" s="1"/>
  <c r="A78" i="1" a="1"/>
  <c r="A78" i="1" s="1"/>
  <c r="A77" i="1" a="1"/>
  <c r="A77" i="1" s="1"/>
  <c r="A76" i="1" a="1"/>
  <c r="A76" i="1" s="1"/>
  <c r="A75" i="1" a="1"/>
  <c r="A75" i="1" s="1"/>
  <c r="A74" i="1" a="1"/>
  <c r="A74" i="1" s="1"/>
  <c r="A73" i="1" a="1"/>
  <c r="A73" i="1" s="1"/>
  <c r="A72" i="1" a="1"/>
  <c r="A72" i="1" s="1"/>
  <c r="A71" i="1" a="1"/>
  <c r="A71" i="1" s="1"/>
  <c r="A70" i="1" a="1"/>
  <c r="A70" i="1" s="1"/>
  <c r="A69" i="1" a="1"/>
  <c r="A69" i="1" s="1"/>
  <c r="A68" i="1" a="1"/>
  <c r="A68" i="1" s="1"/>
  <c r="A67" i="1" a="1"/>
  <c r="A67" i="1" s="1"/>
  <c r="A66" i="1" a="1"/>
  <c r="A66" i="1" s="1"/>
  <c r="A65" i="1" a="1"/>
  <c r="A65" i="1" s="1"/>
  <c r="A64" i="1" a="1"/>
  <c r="A64" i="1" s="1"/>
  <c r="A63" i="1" a="1"/>
  <c r="A63" i="1" s="1"/>
  <c r="A62" i="1" a="1"/>
  <c r="A62" i="1" s="1"/>
  <c r="A61" i="1" a="1"/>
  <c r="A61" i="1" s="1"/>
  <c r="A60" i="1" a="1"/>
  <c r="A60" i="1" s="1"/>
  <c r="A59" i="1" a="1"/>
  <c r="A59" i="1" s="1"/>
  <c r="A58" i="1" a="1"/>
  <c r="A58" i="1" s="1"/>
  <c r="A57" i="1" a="1"/>
  <c r="A57" i="1" s="1"/>
  <c r="A56" i="1" a="1"/>
  <c r="A56" i="1" s="1"/>
  <c r="A55" i="1" a="1"/>
  <c r="A55" i="1" s="1"/>
  <c r="A54" i="1" a="1"/>
  <c r="A54" i="1" s="1"/>
  <c r="A53" i="1" a="1"/>
  <c r="A53" i="1" s="1"/>
  <c r="A52" i="1" a="1"/>
  <c r="A52" i="1" s="1"/>
  <c r="A51" i="1" a="1"/>
  <c r="A51" i="1" s="1"/>
  <c r="A50" i="1" a="1"/>
  <c r="A50" i="1" s="1"/>
  <c r="A49" i="1" a="1"/>
  <c r="A49" i="1" s="1"/>
  <c r="A48" i="1" a="1"/>
  <c r="A48" i="1" s="1"/>
  <c r="A47" i="1" a="1"/>
  <c r="A47" i="1" s="1"/>
  <c r="A46" i="1" a="1"/>
  <c r="A46" i="1" s="1"/>
  <c r="A45" i="1" a="1"/>
  <c r="A45" i="1" s="1"/>
  <c r="A44" i="1" a="1"/>
  <c r="A44" i="1" s="1"/>
  <c r="A43" i="1" a="1"/>
  <c r="A43" i="1" s="1"/>
  <c r="A42" i="1" a="1"/>
  <c r="A42" i="1" s="1"/>
  <c r="A41" i="1" a="1"/>
  <c r="A41" i="1" s="1"/>
  <c r="A40" i="1" a="1"/>
  <c r="A40" i="1" s="1"/>
  <c r="A39" i="1" a="1"/>
  <c r="A39" i="1" s="1"/>
  <c r="A38" i="1" a="1"/>
  <c r="A38" i="1" s="1"/>
  <c r="A37" i="1" a="1"/>
  <c r="A37" i="1" s="1"/>
  <c r="A36" i="1" a="1"/>
  <c r="A36" i="1" s="1"/>
  <c r="A35" i="1" a="1"/>
  <c r="A35" i="1" s="1"/>
  <c r="A34" i="1" a="1"/>
  <c r="A34" i="1" s="1"/>
  <c r="A33" i="1" a="1"/>
  <c r="A33" i="1" s="1"/>
  <c r="A32" i="1" a="1"/>
  <c r="A32" i="1" s="1"/>
  <c r="A31" i="1" a="1"/>
  <c r="A31" i="1" s="1"/>
  <c r="A30" i="1" a="1"/>
  <c r="A30" i="1" s="1"/>
  <c r="A29" i="1" a="1"/>
  <c r="A29" i="1" s="1"/>
  <c r="A28" i="1" a="1"/>
  <c r="A28" i="1" s="1"/>
  <c r="A27" i="1" a="1"/>
  <c r="A27" i="1" s="1"/>
  <c r="A26" i="1" a="1"/>
  <c r="A26" i="1" s="1"/>
  <c r="A25" i="1" a="1"/>
  <c r="A25" i="1" s="1"/>
  <c r="A24" i="1" a="1"/>
  <c r="A24" i="1" s="1"/>
  <c r="A23" i="1" a="1"/>
  <c r="A23" i="1" s="1"/>
  <c r="A22" i="1" a="1"/>
  <c r="A22" i="1" s="1"/>
  <c r="A21" i="1" a="1"/>
  <c r="A21" i="1" s="1"/>
  <c r="A20" i="1" a="1"/>
  <c r="A20" i="1" s="1"/>
  <c r="A19" i="1" a="1"/>
  <c r="A19" i="1" s="1"/>
  <c r="A18" i="1" a="1"/>
  <c r="A18" i="1" s="1"/>
  <c r="A17" i="1" a="1"/>
  <c r="A17" i="1" s="1"/>
  <c r="A16" i="1" a="1"/>
  <c r="A16" i="1" s="1"/>
  <c r="A15" i="1" a="1"/>
  <c r="A15" i="1" s="1"/>
  <c r="A14" i="1" a="1"/>
  <c r="A14" i="1" s="1"/>
  <c r="A13" i="1" a="1"/>
  <c r="A13" i="1" s="1"/>
  <c r="A12" i="1" a="1"/>
  <c r="A12" i="1" s="1"/>
  <c r="A11" i="1" a="1"/>
  <c r="A11" i="1" s="1"/>
  <c r="A8" i="1" a="1"/>
  <c r="A8" i="1" s="1"/>
  <c r="A6" i="1" a="1"/>
  <c r="A6" i="1" s="1"/>
  <c r="A5" i="1" a="1"/>
  <c r="A5" i="1" s="1"/>
  <c r="A7" i="1" a="1"/>
  <c r="A7" i="1" s="1"/>
  <c r="B6" i="1"/>
  <c r="B7" i="1"/>
  <c r="B8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5" i="1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N5859" i="2"/>
  <c r="B5859" i="2"/>
  <c r="N5858" i="2"/>
  <c r="B5858" i="2"/>
  <c r="N5857" i="2"/>
  <c r="B5857" i="2"/>
  <c r="N5856" i="2"/>
  <c r="B5856" i="2"/>
  <c r="N5855" i="2"/>
  <c r="B5855" i="2"/>
  <c r="N5854" i="2"/>
  <c r="B5854" i="2"/>
  <c r="N5853" i="2"/>
  <c r="B5853" i="2"/>
  <c r="N5852" i="2"/>
  <c r="B5852" i="2"/>
  <c r="N5851" i="2"/>
  <c r="B5851" i="2"/>
  <c r="N5850" i="2"/>
  <c r="B5850" i="2"/>
  <c r="N5849" i="2"/>
  <c r="B5849" i="2"/>
  <c r="N5848" i="2"/>
  <c r="B5848" i="2"/>
  <c r="N5847" i="2"/>
  <c r="B5847" i="2"/>
  <c r="N5846" i="2"/>
  <c r="B5846" i="2"/>
  <c r="N5845" i="2"/>
  <c r="B5845" i="2"/>
  <c r="N5844" i="2"/>
  <c r="B5844" i="2"/>
  <c r="N5843" i="2"/>
  <c r="B5843" i="2"/>
  <c r="N5842" i="2"/>
  <c r="B5842" i="2"/>
  <c r="N5841" i="2"/>
  <c r="B5841" i="2"/>
  <c r="N5840" i="2"/>
  <c r="B5840" i="2"/>
  <c r="N5839" i="2"/>
  <c r="B5839" i="2"/>
  <c r="N5838" i="2"/>
  <c r="B5838" i="2"/>
  <c r="N5837" i="2"/>
  <c r="B5837" i="2"/>
  <c r="N5836" i="2"/>
  <c r="B5836" i="2"/>
  <c r="N5835" i="2"/>
  <c r="B5835" i="2"/>
  <c r="N5834" i="2"/>
  <c r="B5834" i="2"/>
  <c r="N5833" i="2"/>
  <c r="B5833" i="2"/>
  <c r="N5832" i="2"/>
  <c r="B5832" i="2"/>
  <c r="N5831" i="2"/>
  <c r="B5831" i="2"/>
  <c r="N5830" i="2"/>
  <c r="B5830" i="2"/>
  <c r="N5829" i="2"/>
  <c r="B5829" i="2"/>
  <c r="N5828" i="2"/>
  <c r="B5828" i="2"/>
  <c r="N5827" i="2"/>
  <c r="B5827" i="2"/>
  <c r="N5826" i="2"/>
  <c r="B5826" i="2"/>
  <c r="N5825" i="2"/>
  <c r="B5825" i="2"/>
  <c r="N5824" i="2"/>
  <c r="B5824" i="2"/>
  <c r="N5823" i="2"/>
  <c r="B5823" i="2"/>
  <c r="N5822" i="2"/>
  <c r="B5822" i="2"/>
  <c r="N5821" i="2"/>
  <c r="B5821" i="2"/>
  <c r="N5820" i="2"/>
  <c r="B5820" i="2"/>
  <c r="N5819" i="2"/>
  <c r="B5819" i="2"/>
  <c r="N5818" i="2"/>
  <c r="B5818" i="2"/>
  <c r="N5817" i="2"/>
  <c r="B5817" i="2"/>
  <c r="N5816" i="2"/>
  <c r="B5816" i="2"/>
  <c r="N5815" i="2"/>
  <c r="B5815" i="2"/>
  <c r="N5814" i="2"/>
  <c r="B5814" i="2"/>
  <c r="N5813" i="2"/>
  <c r="B5813" i="2"/>
  <c r="N5812" i="2"/>
  <c r="B5812" i="2"/>
  <c r="N5811" i="2"/>
  <c r="B5811" i="2"/>
  <c r="N5810" i="2"/>
  <c r="B5810" i="2"/>
  <c r="N5809" i="2"/>
  <c r="B5809" i="2"/>
  <c r="N5808" i="2"/>
  <c r="B5808" i="2"/>
  <c r="N5807" i="2"/>
  <c r="B5807" i="2"/>
  <c r="N5806" i="2"/>
  <c r="B5806" i="2"/>
  <c r="N5805" i="2"/>
  <c r="B5805" i="2"/>
  <c r="N5804" i="2"/>
  <c r="B5804" i="2"/>
  <c r="N5803" i="2"/>
  <c r="B5803" i="2"/>
  <c r="N5802" i="2"/>
  <c r="B5802" i="2"/>
  <c r="N5801" i="2"/>
  <c r="B5801" i="2"/>
  <c r="N5800" i="2"/>
  <c r="B5800" i="2"/>
  <c r="N5799" i="2"/>
  <c r="B5799" i="2"/>
  <c r="N5798" i="2"/>
  <c r="B5798" i="2"/>
  <c r="N5797" i="2"/>
  <c r="B5797" i="2"/>
  <c r="N5796" i="2"/>
  <c r="B5796" i="2"/>
  <c r="N5795" i="2"/>
  <c r="B5795" i="2"/>
  <c r="N5794" i="2"/>
  <c r="B5794" i="2"/>
  <c r="N5793" i="2"/>
  <c r="B5793" i="2"/>
  <c r="N5792" i="2"/>
  <c r="B5792" i="2"/>
  <c r="N5791" i="2"/>
  <c r="B5791" i="2"/>
  <c r="N5790" i="2"/>
  <c r="B5790" i="2"/>
  <c r="N5789" i="2"/>
  <c r="B5789" i="2"/>
  <c r="N5788" i="2"/>
  <c r="B5788" i="2"/>
  <c r="N5787" i="2"/>
  <c r="B5787" i="2"/>
  <c r="N5786" i="2"/>
  <c r="B5786" i="2"/>
  <c r="N5785" i="2"/>
  <c r="B5785" i="2"/>
  <c r="N5784" i="2"/>
  <c r="B5784" i="2"/>
  <c r="N5783" i="2"/>
  <c r="B5783" i="2"/>
  <c r="N5782" i="2"/>
  <c r="B5782" i="2"/>
  <c r="N5781" i="2"/>
  <c r="B5781" i="2"/>
  <c r="N5780" i="2"/>
  <c r="B5780" i="2"/>
  <c r="N5779" i="2"/>
  <c r="B5779" i="2"/>
  <c r="N5778" i="2"/>
  <c r="B5778" i="2"/>
  <c r="N5777" i="2"/>
  <c r="B5777" i="2"/>
  <c r="N5776" i="2"/>
  <c r="B5776" i="2"/>
  <c r="N5775" i="2"/>
  <c r="B5775" i="2"/>
  <c r="N5774" i="2"/>
  <c r="B5774" i="2"/>
  <c r="N5773" i="2"/>
  <c r="B5773" i="2"/>
  <c r="N5772" i="2"/>
  <c r="B5772" i="2"/>
  <c r="N5771" i="2"/>
  <c r="B5771" i="2"/>
  <c r="N5770" i="2"/>
  <c r="B5770" i="2"/>
  <c r="N5769" i="2"/>
  <c r="B5769" i="2"/>
  <c r="N5768" i="2"/>
  <c r="B5768" i="2"/>
  <c r="N5767" i="2"/>
  <c r="B5767" i="2"/>
  <c r="N5766" i="2"/>
  <c r="B5766" i="2"/>
  <c r="N5765" i="2"/>
  <c r="B5765" i="2"/>
  <c r="N5764" i="2"/>
  <c r="B5764" i="2"/>
  <c r="N5763" i="2"/>
  <c r="B5763" i="2"/>
  <c r="N5762" i="2"/>
  <c r="B5762" i="2"/>
  <c r="N5761" i="2"/>
  <c r="B5761" i="2"/>
  <c r="N5760" i="2"/>
  <c r="B5760" i="2"/>
  <c r="N5759" i="2"/>
  <c r="B5759" i="2"/>
  <c r="N5758" i="2"/>
  <c r="B5758" i="2"/>
  <c r="N5757" i="2"/>
  <c r="B5757" i="2"/>
  <c r="N5756" i="2"/>
  <c r="B5756" i="2"/>
  <c r="N5755" i="2"/>
  <c r="B5755" i="2"/>
  <c r="N5754" i="2"/>
  <c r="B5754" i="2"/>
  <c r="N5753" i="2"/>
  <c r="B5753" i="2"/>
  <c r="N5752" i="2"/>
  <c r="B5752" i="2"/>
  <c r="N5751" i="2"/>
  <c r="B5751" i="2"/>
  <c r="N5750" i="2"/>
  <c r="B5750" i="2"/>
  <c r="N5749" i="2"/>
  <c r="B5749" i="2"/>
  <c r="N5748" i="2"/>
  <c r="B5748" i="2"/>
  <c r="N5747" i="2"/>
  <c r="B5747" i="2"/>
  <c r="N5746" i="2"/>
  <c r="B5746" i="2"/>
  <c r="N5745" i="2"/>
  <c r="B5745" i="2"/>
  <c r="N5744" i="2"/>
  <c r="B5744" i="2"/>
  <c r="N5743" i="2"/>
  <c r="B5743" i="2"/>
  <c r="N5742" i="2"/>
  <c r="B5742" i="2"/>
  <c r="N5741" i="2"/>
  <c r="B5741" i="2"/>
  <c r="N5740" i="2"/>
  <c r="B5740" i="2"/>
  <c r="N5739" i="2"/>
  <c r="B5739" i="2"/>
  <c r="N5738" i="2"/>
  <c r="B5738" i="2"/>
  <c r="N5737" i="2"/>
  <c r="B5737" i="2"/>
  <c r="N5736" i="2"/>
  <c r="B5736" i="2"/>
  <c r="N5735" i="2"/>
  <c r="B5735" i="2"/>
  <c r="N5734" i="2"/>
  <c r="B5734" i="2"/>
  <c r="N5733" i="2"/>
  <c r="B5733" i="2"/>
  <c r="N5732" i="2"/>
  <c r="B5732" i="2"/>
  <c r="N5731" i="2"/>
  <c r="B5731" i="2"/>
  <c r="N5730" i="2"/>
  <c r="B5730" i="2"/>
  <c r="N5729" i="2"/>
  <c r="B5729" i="2"/>
  <c r="N5728" i="2"/>
  <c r="B5728" i="2"/>
  <c r="N5727" i="2"/>
  <c r="B5727" i="2"/>
  <c r="N5726" i="2"/>
  <c r="B5726" i="2"/>
  <c r="N5725" i="2"/>
  <c r="B5725" i="2"/>
  <c r="N5724" i="2"/>
  <c r="B5724" i="2"/>
  <c r="N5723" i="2"/>
  <c r="B5723" i="2"/>
  <c r="N5722" i="2"/>
  <c r="B5722" i="2"/>
  <c r="N5721" i="2"/>
  <c r="B5721" i="2"/>
  <c r="N5720" i="2"/>
  <c r="B5720" i="2"/>
  <c r="N5719" i="2"/>
  <c r="B5719" i="2"/>
  <c r="N5718" i="2"/>
  <c r="B5718" i="2"/>
  <c r="N5717" i="2"/>
  <c r="B5717" i="2"/>
  <c r="N5716" i="2"/>
  <c r="B5716" i="2"/>
  <c r="N5715" i="2"/>
  <c r="B5715" i="2"/>
  <c r="N5714" i="2"/>
  <c r="B5714" i="2"/>
  <c r="N5713" i="2"/>
  <c r="B5713" i="2"/>
  <c r="N5712" i="2"/>
  <c r="B5712" i="2"/>
  <c r="N5711" i="2"/>
  <c r="B5711" i="2"/>
  <c r="N5710" i="2"/>
  <c r="B5710" i="2"/>
  <c r="N5709" i="2"/>
  <c r="B5709" i="2"/>
  <c r="N5708" i="2"/>
  <c r="B5708" i="2"/>
  <c r="N5707" i="2"/>
  <c r="B5707" i="2"/>
  <c r="N5706" i="2"/>
  <c r="B5706" i="2"/>
  <c r="N5705" i="2"/>
  <c r="B5705" i="2"/>
  <c r="N5704" i="2"/>
  <c r="B5704" i="2"/>
  <c r="N5703" i="2"/>
  <c r="B5703" i="2"/>
  <c r="N5702" i="2"/>
  <c r="B5702" i="2"/>
  <c r="N5701" i="2"/>
  <c r="B5701" i="2"/>
  <c r="N5700" i="2"/>
  <c r="B5700" i="2"/>
  <c r="N5699" i="2"/>
  <c r="B5699" i="2"/>
  <c r="N5698" i="2"/>
  <c r="B5698" i="2"/>
  <c r="N5697" i="2"/>
  <c r="B5697" i="2"/>
  <c r="N5696" i="2"/>
  <c r="B5696" i="2"/>
  <c r="N5695" i="2"/>
  <c r="B5695" i="2"/>
  <c r="N5694" i="2"/>
  <c r="B5694" i="2"/>
  <c r="N5693" i="2"/>
  <c r="B5693" i="2"/>
  <c r="N5692" i="2"/>
  <c r="B5692" i="2"/>
  <c r="N5691" i="2"/>
  <c r="B5691" i="2"/>
  <c r="N5690" i="2"/>
  <c r="B5690" i="2"/>
  <c r="N5689" i="2"/>
  <c r="B5689" i="2"/>
  <c r="N5688" i="2"/>
  <c r="B5688" i="2"/>
  <c r="N5687" i="2"/>
  <c r="B5687" i="2"/>
  <c r="N5686" i="2"/>
  <c r="B5686" i="2"/>
  <c r="N5685" i="2"/>
  <c r="B5685" i="2"/>
  <c r="N5684" i="2"/>
  <c r="B5684" i="2"/>
  <c r="N5683" i="2"/>
  <c r="B5683" i="2"/>
  <c r="N5682" i="2"/>
  <c r="B5682" i="2"/>
  <c r="N5681" i="2"/>
  <c r="B5681" i="2"/>
  <c r="N5680" i="2"/>
  <c r="B5680" i="2"/>
  <c r="N5679" i="2"/>
  <c r="B5679" i="2"/>
  <c r="N5678" i="2"/>
  <c r="B5678" i="2"/>
  <c r="N5677" i="2"/>
  <c r="B5677" i="2"/>
  <c r="N5676" i="2"/>
  <c r="B5676" i="2"/>
  <c r="N5675" i="2"/>
  <c r="B5675" i="2"/>
  <c r="N5674" i="2"/>
  <c r="B5674" i="2"/>
  <c r="N5673" i="2"/>
  <c r="B5673" i="2"/>
  <c r="N5672" i="2"/>
  <c r="B5672" i="2"/>
  <c r="N5671" i="2"/>
  <c r="B5671" i="2"/>
  <c r="N5670" i="2"/>
  <c r="B5670" i="2"/>
  <c r="N5669" i="2"/>
  <c r="B5669" i="2"/>
  <c r="N5668" i="2"/>
  <c r="B5668" i="2"/>
  <c r="N5667" i="2"/>
  <c r="B5667" i="2"/>
  <c r="N5666" i="2"/>
  <c r="B5666" i="2"/>
  <c r="N5665" i="2"/>
  <c r="B5665" i="2"/>
  <c r="N5664" i="2"/>
  <c r="B5664" i="2"/>
  <c r="N5663" i="2"/>
  <c r="B5663" i="2"/>
  <c r="N5662" i="2"/>
  <c r="B5662" i="2"/>
  <c r="N5661" i="2"/>
  <c r="B5661" i="2"/>
  <c r="N5660" i="2"/>
  <c r="B5660" i="2"/>
  <c r="N5659" i="2"/>
  <c r="B5659" i="2"/>
  <c r="N5658" i="2"/>
  <c r="B5658" i="2"/>
  <c r="N5657" i="2"/>
  <c r="B5657" i="2"/>
  <c r="N5656" i="2"/>
  <c r="B5656" i="2"/>
  <c r="N5655" i="2"/>
  <c r="B5655" i="2"/>
  <c r="N5654" i="2"/>
  <c r="B5654" i="2"/>
  <c r="N5653" i="2"/>
  <c r="B5653" i="2"/>
  <c r="N5652" i="2"/>
  <c r="B5652" i="2"/>
  <c r="N5651" i="2"/>
  <c r="B5651" i="2"/>
  <c r="N5650" i="2"/>
  <c r="B5650" i="2"/>
  <c r="N5649" i="2"/>
  <c r="B5649" i="2"/>
  <c r="N5648" i="2"/>
  <c r="B5648" i="2"/>
  <c r="N5647" i="2"/>
  <c r="B5647" i="2"/>
  <c r="N5646" i="2"/>
  <c r="B5646" i="2"/>
  <c r="N5645" i="2"/>
  <c r="B5645" i="2"/>
  <c r="N5644" i="2"/>
  <c r="B5644" i="2"/>
  <c r="N5643" i="2"/>
  <c r="B5643" i="2"/>
  <c r="N5642" i="2"/>
  <c r="B5642" i="2"/>
  <c r="N5641" i="2"/>
  <c r="B5641" i="2"/>
  <c r="N5640" i="2"/>
  <c r="B5640" i="2"/>
  <c r="N5639" i="2"/>
  <c r="B5639" i="2"/>
  <c r="N5638" i="2"/>
  <c r="B5638" i="2"/>
  <c r="N5637" i="2"/>
  <c r="B5637" i="2"/>
  <c r="N5636" i="2"/>
  <c r="B5636" i="2"/>
  <c r="N5635" i="2"/>
  <c r="B5635" i="2"/>
  <c r="N5634" i="2"/>
  <c r="B5634" i="2"/>
  <c r="N5633" i="2"/>
  <c r="B5633" i="2"/>
  <c r="N5632" i="2"/>
  <c r="B5632" i="2"/>
  <c r="N5631" i="2"/>
  <c r="B5631" i="2"/>
  <c r="N5630" i="2"/>
  <c r="B5630" i="2"/>
  <c r="N5629" i="2"/>
  <c r="B5629" i="2"/>
  <c r="N5628" i="2"/>
  <c r="B5628" i="2"/>
  <c r="N5627" i="2"/>
  <c r="B5627" i="2"/>
  <c r="N5626" i="2"/>
  <c r="B5626" i="2"/>
  <c r="N5625" i="2"/>
  <c r="B5625" i="2"/>
  <c r="N5624" i="2"/>
  <c r="B5624" i="2"/>
  <c r="N5623" i="2"/>
  <c r="B5623" i="2"/>
  <c r="N5622" i="2"/>
  <c r="B5622" i="2"/>
  <c r="N5621" i="2"/>
  <c r="B5621" i="2"/>
  <c r="N5620" i="2"/>
  <c r="B5620" i="2"/>
  <c r="N5619" i="2"/>
  <c r="B5619" i="2"/>
  <c r="N5618" i="2"/>
  <c r="B5618" i="2"/>
  <c r="N5617" i="2"/>
  <c r="B5617" i="2"/>
  <c r="N5616" i="2"/>
  <c r="B5616" i="2"/>
  <c r="N5615" i="2"/>
  <c r="B5615" i="2"/>
  <c r="N5614" i="2"/>
  <c r="B5614" i="2"/>
  <c r="N5613" i="2"/>
  <c r="B5613" i="2"/>
  <c r="N5612" i="2"/>
  <c r="B5612" i="2"/>
  <c r="N5611" i="2"/>
  <c r="B5611" i="2"/>
  <c r="N5610" i="2"/>
  <c r="B5610" i="2"/>
  <c r="N5609" i="2"/>
  <c r="B5609" i="2"/>
  <c r="N5608" i="2"/>
  <c r="B5608" i="2"/>
  <c r="N5607" i="2"/>
  <c r="B5607" i="2"/>
  <c r="N5606" i="2"/>
  <c r="B5606" i="2"/>
  <c r="N5605" i="2"/>
  <c r="B5605" i="2"/>
  <c r="N5604" i="2"/>
  <c r="B5604" i="2"/>
  <c r="N5603" i="2"/>
  <c r="B5603" i="2"/>
  <c r="N5602" i="2"/>
  <c r="B5602" i="2"/>
  <c r="N5601" i="2"/>
  <c r="B5601" i="2"/>
  <c r="N5600" i="2"/>
  <c r="B5600" i="2"/>
  <c r="N5599" i="2"/>
  <c r="B5599" i="2"/>
  <c r="N5598" i="2"/>
  <c r="B5598" i="2"/>
  <c r="N5597" i="2"/>
  <c r="B5597" i="2"/>
  <c r="N5596" i="2"/>
  <c r="B5596" i="2"/>
  <c r="N5595" i="2"/>
  <c r="B5595" i="2"/>
  <c r="N5594" i="2"/>
  <c r="B5594" i="2"/>
  <c r="N5593" i="2"/>
  <c r="B5593" i="2"/>
  <c r="N5592" i="2"/>
  <c r="B5592" i="2"/>
  <c r="N5591" i="2"/>
  <c r="B5591" i="2"/>
  <c r="N5590" i="2"/>
  <c r="B5590" i="2"/>
  <c r="N5589" i="2"/>
  <c r="B5589" i="2"/>
  <c r="N5588" i="2"/>
  <c r="B5588" i="2"/>
  <c r="N5587" i="2"/>
  <c r="B5587" i="2"/>
  <c r="N5586" i="2"/>
  <c r="B5586" i="2"/>
  <c r="N5585" i="2"/>
  <c r="B5585" i="2"/>
  <c r="N5584" i="2"/>
  <c r="B5584" i="2"/>
  <c r="N5583" i="2"/>
  <c r="B5583" i="2"/>
  <c r="N5582" i="2"/>
  <c r="B5582" i="2"/>
  <c r="N5581" i="2"/>
  <c r="B5581" i="2"/>
  <c r="N5580" i="2"/>
  <c r="B5580" i="2"/>
  <c r="N5579" i="2"/>
  <c r="B5579" i="2"/>
  <c r="N5578" i="2"/>
  <c r="B5578" i="2"/>
  <c r="N5577" i="2"/>
  <c r="B5577" i="2"/>
  <c r="N5576" i="2"/>
  <c r="B5576" i="2"/>
  <c r="N5575" i="2"/>
  <c r="B5575" i="2"/>
  <c r="N5574" i="2"/>
  <c r="B5574" i="2"/>
  <c r="N5573" i="2"/>
  <c r="B5573" i="2"/>
  <c r="N5572" i="2"/>
  <c r="B5572" i="2"/>
  <c r="N5571" i="2"/>
  <c r="B5571" i="2"/>
  <c r="N5570" i="2"/>
  <c r="B5570" i="2"/>
  <c r="N5569" i="2"/>
  <c r="B5569" i="2"/>
  <c r="N5568" i="2"/>
  <c r="B5568" i="2"/>
  <c r="N5567" i="2"/>
  <c r="B5567" i="2"/>
  <c r="N5566" i="2"/>
  <c r="B5566" i="2"/>
  <c r="N5565" i="2"/>
  <c r="B5565" i="2"/>
  <c r="N5564" i="2"/>
  <c r="B5564" i="2"/>
  <c r="N5563" i="2"/>
  <c r="B5563" i="2"/>
  <c r="N5562" i="2"/>
  <c r="B5562" i="2"/>
  <c r="N5561" i="2"/>
  <c r="B5561" i="2"/>
  <c r="N5560" i="2"/>
  <c r="B5560" i="2"/>
  <c r="N5559" i="2"/>
  <c r="B5559" i="2"/>
  <c r="N5558" i="2"/>
  <c r="B5558" i="2"/>
  <c r="N5557" i="2"/>
  <c r="B5557" i="2"/>
  <c r="N5556" i="2"/>
  <c r="B5556" i="2"/>
  <c r="N5555" i="2"/>
  <c r="B5555" i="2"/>
  <c r="N5554" i="2"/>
  <c r="B5554" i="2"/>
  <c r="N5553" i="2"/>
  <c r="B5553" i="2"/>
  <c r="N5552" i="2"/>
  <c r="B5552" i="2"/>
  <c r="N5551" i="2"/>
  <c r="B5551" i="2"/>
  <c r="N5550" i="2"/>
  <c r="B5550" i="2"/>
  <c r="N5549" i="2"/>
  <c r="B5549" i="2"/>
  <c r="N5548" i="2"/>
  <c r="B5548" i="2"/>
  <c r="N5547" i="2"/>
  <c r="B5547" i="2"/>
  <c r="N5546" i="2"/>
  <c r="B5546" i="2"/>
  <c r="N5545" i="2"/>
  <c r="B5545" i="2"/>
  <c r="N5544" i="2"/>
  <c r="B5544" i="2"/>
  <c r="N5543" i="2"/>
  <c r="B5543" i="2"/>
  <c r="N5542" i="2"/>
  <c r="B5542" i="2"/>
  <c r="N5541" i="2"/>
  <c r="B5541" i="2"/>
  <c r="N5540" i="2"/>
  <c r="B5540" i="2"/>
  <c r="N5539" i="2"/>
  <c r="B5539" i="2"/>
  <c r="N5538" i="2"/>
  <c r="B5538" i="2"/>
  <c r="N5537" i="2"/>
  <c r="B5537" i="2"/>
  <c r="N5536" i="2"/>
  <c r="B5536" i="2"/>
  <c r="N5535" i="2"/>
  <c r="B5535" i="2"/>
  <c r="N5534" i="2"/>
  <c r="B5534" i="2"/>
  <c r="N5533" i="2"/>
  <c r="B5533" i="2"/>
  <c r="N5532" i="2"/>
  <c r="B5532" i="2"/>
  <c r="N5531" i="2"/>
  <c r="B5531" i="2"/>
  <c r="N5530" i="2"/>
  <c r="B5530" i="2"/>
  <c r="N5529" i="2"/>
  <c r="B5529" i="2"/>
  <c r="N5528" i="2"/>
  <c r="B5528" i="2"/>
  <c r="N5527" i="2"/>
  <c r="B5527" i="2"/>
  <c r="N5526" i="2"/>
  <c r="B5526" i="2"/>
  <c r="N5525" i="2"/>
  <c r="B5525" i="2"/>
  <c r="N5524" i="2"/>
  <c r="B5524" i="2"/>
  <c r="N5523" i="2"/>
  <c r="B5523" i="2"/>
  <c r="N5522" i="2"/>
  <c r="B5522" i="2"/>
  <c r="N5521" i="2"/>
  <c r="B5521" i="2"/>
  <c r="N5520" i="2"/>
  <c r="B5520" i="2"/>
  <c r="N5519" i="2"/>
  <c r="B5519" i="2"/>
  <c r="N5518" i="2"/>
  <c r="B5518" i="2"/>
  <c r="N5517" i="2"/>
  <c r="B5517" i="2"/>
  <c r="N5516" i="2"/>
  <c r="B5516" i="2"/>
  <c r="N5515" i="2"/>
  <c r="B5515" i="2"/>
  <c r="N5514" i="2"/>
  <c r="B5514" i="2"/>
  <c r="N5513" i="2"/>
  <c r="B5513" i="2"/>
  <c r="N5512" i="2"/>
  <c r="B5512" i="2"/>
  <c r="N5511" i="2"/>
  <c r="B5511" i="2"/>
  <c r="N5510" i="2"/>
  <c r="B5510" i="2"/>
  <c r="N5509" i="2"/>
  <c r="B5509" i="2"/>
  <c r="N5508" i="2"/>
  <c r="B5508" i="2"/>
  <c r="N5507" i="2"/>
  <c r="B5507" i="2"/>
  <c r="N5506" i="2"/>
  <c r="B5506" i="2"/>
  <c r="N5505" i="2"/>
  <c r="B5505" i="2"/>
  <c r="N5504" i="2"/>
  <c r="B5504" i="2"/>
  <c r="N5503" i="2"/>
  <c r="B5503" i="2"/>
  <c r="N5502" i="2"/>
  <c r="B5502" i="2"/>
  <c r="N5501" i="2"/>
  <c r="B5501" i="2"/>
  <c r="N5500" i="2"/>
  <c r="B5500" i="2"/>
  <c r="N5499" i="2"/>
  <c r="B5499" i="2"/>
  <c r="N5498" i="2"/>
  <c r="B5498" i="2"/>
  <c r="N5497" i="2"/>
  <c r="B5497" i="2"/>
  <c r="N5496" i="2"/>
  <c r="B5496" i="2"/>
  <c r="N5495" i="2"/>
  <c r="B5495" i="2"/>
  <c r="N5494" i="2"/>
  <c r="B5494" i="2"/>
  <c r="N5493" i="2"/>
  <c r="B5493" i="2"/>
  <c r="N5492" i="2"/>
  <c r="B5492" i="2"/>
  <c r="N5491" i="2"/>
  <c r="B5491" i="2"/>
  <c r="N5490" i="2"/>
  <c r="B5490" i="2"/>
  <c r="N5489" i="2"/>
  <c r="B5489" i="2"/>
  <c r="N5488" i="2"/>
  <c r="B5488" i="2"/>
  <c r="N5487" i="2"/>
  <c r="B5487" i="2"/>
  <c r="N5486" i="2"/>
  <c r="B5486" i="2"/>
  <c r="N5485" i="2"/>
  <c r="B5485" i="2"/>
  <c r="N5484" i="2"/>
  <c r="B5484" i="2"/>
  <c r="N5483" i="2"/>
  <c r="B5483" i="2"/>
  <c r="N5482" i="2"/>
  <c r="B5482" i="2"/>
  <c r="N5481" i="2"/>
  <c r="B5481" i="2"/>
  <c r="N5480" i="2"/>
  <c r="B5480" i="2"/>
  <c r="N5479" i="2"/>
  <c r="B5479" i="2"/>
  <c r="N5478" i="2"/>
  <c r="B5478" i="2"/>
  <c r="N5477" i="2"/>
  <c r="B5477" i="2"/>
  <c r="N5476" i="2"/>
  <c r="B5476" i="2"/>
  <c r="N5475" i="2"/>
  <c r="B5475" i="2"/>
  <c r="N5474" i="2"/>
  <c r="B5474" i="2"/>
  <c r="N5473" i="2"/>
  <c r="B5473" i="2"/>
  <c r="N5472" i="2"/>
  <c r="B5472" i="2"/>
  <c r="N5471" i="2"/>
  <c r="B5471" i="2"/>
  <c r="N5470" i="2"/>
  <c r="B5470" i="2"/>
  <c r="N5469" i="2"/>
  <c r="B5469" i="2"/>
  <c r="N5468" i="2"/>
  <c r="B5468" i="2"/>
  <c r="N5467" i="2"/>
  <c r="B5467" i="2"/>
  <c r="N5466" i="2"/>
  <c r="B5466" i="2"/>
  <c r="N5465" i="2"/>
  <c r="B5465" i="2"/>
  <c r="N5464" i="2"/>
  <c r="B5464" i="2"/>
  <c r="N5463" i="2"/>
  <c r="B5463" i="2"/>
  <c r="N5462" i="2"/>
  <c r="B5462" i="2"/>
  <c r="N5461" i="2"/>
  <c r="B5461" i="2"/>
  <c r="N5460" i="2"/>
  <c r="B5460" i="2"/>
  <c r="N5459" i="2"/>
  <c r="B5459" i="2"/>
  <c r="N5458" i="2"/>
  <c r="B5458" i="2"/>
  <c r="N5457" i="2"/>
  <c r="B5457" i="2"/>
  <c r="N5456" i="2"/>
  <c r="B5456" i="2"/>
  <c r="N5455" i="2"/>
  <c r="B5455" i="2"/>
  <c r="N5454" i="2"/>
  <c r="B5454" i="2"/>
  <c r="N5453" i="2"/>
  <c r="B5453" i="2"/>
  <c r="N5452" i="2"/>
  <c r="B5452" i="2"/>
  <c r="N5451" i="2"/>
  <c r="B5451" i="2"/>
  <c r="N5450" i="2"/>
  <c r="B5450" i="2"/>
  <c r="N5449" i="2"/>
  <c r="B5449" i="2"/>
  <c r="N5448" i="2"/>
  <c r="B5448" i="2"/>
  <c r="N5447" i="2"/>
  <c r="B5447" i="2"/>
  <c r="N5446" i="2"/>
  <c r="B5446" i="2"/>
  <c r="N5445" i="2"/>
  <c r="B5445" i="2"/>
  <c r="N5444" i="2"/>
  <c r="B5444" i="2"/>
  <c r="N5443" i="2"/>
  <c r="B5443" i="2"/>
  <c r="N5442" i="2"/>
  <c r="B5442" i="2"/>
  <c r="N5441" i="2"/>
  <c r="B5441" i="2"/>
  <c r="N5440" i="2"/>
  <c r="B5440" i="2"/>
  <c r="N5439" i="2"/>
  <c r="B5439" i="2"/>
  <c r="N5438" i="2"/>
  <c r="B5438" i="2"/>
  <c r="N5437" i="2"/>
  <c r="B5437" i="2"/>
  <c r="N5436" i="2"/>
  <c r="B5436" i="2"/>
  <c r="N5435" i="2"/>
  <c r="B5435" i="2"/>
  <c r="N5434" i="2"/>
  <c r="B5434" i="2"/>
  <c r="N5433" i="2"/>
  <c r="B5433" i="2"/>
  <c r="N5432" i="2"/>
  <c r="B5432" i="2"/>
  <c r="N5431" i="2"/>
  <c r="B5431" i="2"/>
  <c r="N5430" i="2"/>
  <c r="B5430" i="2"/>
  <c r="N5429" i="2"/>
  <c r="B5429" i="2"/>
  <c r="N5428" i="2"/>
  <c r="B5428" i="2"/>
  <c r="N5427" i="2"/>
  <c r="B5427" i="2"/>
  <c r="N5426" i="2"/>
  <c r="B5426" i="2"/>
  <c r="N5425" i="2"/>
  <c r="B5425" i="2"/>
  <c r="N5424" i="2"/>
  <c r="B5424" i="2"/>
  <c r="N5423" i="2"/>
  <c r="B5423" i="2"/>
  <c r="N5422" i="2"/>
  <c r="B5422" i="2"/>
  <c r="N5421" i="2"/>
  <c r="B5421" i="2"/>
  <c r="N5420" i="2"/>
  <c r="B5420" i="2"/>
  <c r="N5419" i="2"/>
  <c r="B5419" i="2"/>
  <c r="N5418" i="2"/>
  <c r="B5418" i="2"/>
  <c r="N5417" i="2"/>
  <c r="B5417" i="2"/>
  <c r="N5416" i="2"/>
  <c r="B5416" i="2"/>
  <c r="N5415" i="2"/>
  <c r="B5415" i="2"/>
  <c r="N5414" i="2"/>
  <c r="B5414" i="2"/>
  <c r="N5413" i="2"/>
  <c r="B5413" i="2"/>
  <c r="N5412" i="2"/>
  <c r="B5412" i="2"/>
  <c r="N5411" i="2"/>
  <c r="B5411" i="2"/>
  <c r="N5410" i="2"/>
  <c r="B5410" i="2"/>
  <c r="N5409" i="2"/>
  <c r="B5409" i="2"/>
  <c r="N5408" i="2"/>
  <c r="B5408" i="2"/>
  <c r="N5407" i="2"/>
  <c r="B5407" i="2"/>
  <c r="N5406" i="2"/>
  <c r="B5406" i="2"/>
  <c r="N5405" i="2"/>
  <c r="B5405" i="2"/>
  <c r="N5404" i="2"/>
  <c r="B5404" i="2"/>
  <c r="N5403" i="2"/>
  <c r="B5403" i="2"/>
  <c r="N5402" i="2"/>
  <c r="B5402" i="2"/>
  <c r="N5401" i="2"/>
  <c r="B5401" i="2"/>
  <c r="N5400" i="2"/>
  <c r="B5400" i="2"/>
  <c r="N5399" i="2"/>
  <c r="B5399" i="2"/>
  <c r="N5398" i="2"/>
  <c r="B5398" i="2"/>
  <c r="N5397" i="2"/>
  <c r="B5397" i="2"/>
  <c r="N5396" i="2"/>
  <c r="B5396" i="2"/>
  <c r="N5395" i="2"/>
  <c r="B5395" i="2"/>
  <c r="N5394" i="2"/>
  <c r="B5394" i="2"/>
  <c r="N5393" i="2"/>
  <c r="B5393" i="2"/>
  <c r="N5392" i="2"/>
  <c r="B5392" i="2"/>
  <c r="N5391" i="2"/>
  <c r="B5391" i="2"/>
  <c r="N5390" i="2"/>
  <c r="B5390" i="2"/>
  <c r="N5389" i="2"/>
  <c r="B5389" i="2"/>
  <c r="N5388" i="2"/>
  <c r="B5388" i="2"/>
  <c r="N5387" i="2"/>
  <c r="B5387" i="2"/>
  <c r="N5386" i="2"/>
  <c r="B5386" i="2"/>
  <c r="N5385" i="2"/>
  <c r="B5385" i="2"/>
  <c r="N5384" i="2"/>
  <c r="B5384" i="2"/>
  <c r="N5383" i="2"/>
  <c r="B5383" i="2"/>
  <c r="N5382" i="2"/>
  <c r="B5382" i="2"/>
  <c r="N5381" i="2"/>
  <c r="B5381" i="2"/>
  <c r="N5380" i="2"/>
  <c r="B5380" i="2"/>
  <c r="N5379" i="2"/>
  <c r="B5379" i="2"/>
  <c r="N5378" i="2"/>
  <c r="B5378" i="2"/>
  <c r="N5377" i="2"/>
  <c r="B5377" i="2"/>
  <c r="N5376" i="2"/>
  <c r="B5376" i="2"/>
  <c r="N5375" i="2"/>
  <c r="B5375" i="2"/>
  <c r="N5374" i="2"/>
  <c r="B5374" i="2"/>
  <c r="N5373" i="2"/>
  <c r="B5373" i="2"/>
  <c r="N5372" i="2"/>
  <c r="B5372" i="2"/>
  <c r="N5371" i="2"/>
  <c r="B5371" i="2"/>
  <c r="N5370" i="2"/>
  <c r="B5370" i="2"/>
  <c r="N5369" i="2"/>
  <c r="B5369" i="2"/>
  <c r="N5368" i="2"/>
  <c r="B5368" i="2"/>
  <c r="N5367" i="2"/>
  <c r="B5367" i="2"/>
  <c r="N5366" i="2"/>
  <c r="B5366" i="2"/>
  <c r="N5365" i="2"/>
  <c r="B5365" i="2"/>
  <c r="N5364" i="2"/>
  <c r="B5364" i="2"/>
  <c r="N5363" i="2"/>
  <c r="B5363" i="2"/>
  <c r="N5362" i="2"/>
  <c r="B5362" i="2"/>
  <c r="N5361" i="2"/>
  <c r="B5361" i="2"/>
  <c r="N5360" i="2"/>
  <c r="B5360" i="2"/>
  <c r="N5359" i="2"/>
  <c r="B5359" i="2"/>
  <c r="N5358" i="2"/>
  <c r="B5358" i="2"/>
  <c r="N5357" i="2"/>
  <c r="B5357" i="2"/>
  <c r="N5356" i="2"/>
  <c r="B5356" i="2"/>
  <c r="N5355" i="2"/>
  <c r="B5355" i="2"/>
  <c r="N5354" i="2"/>
  <c r="B5354" i="2"/>
  <c r="N5353" i="2"/>
  <c r="B5353" i="2"/>
  <c r="N5352" i="2"/>
  <c r="B5352" i="2"/>
  <c r="N5351" i="2"/>
  <c r="B5351" i="2"/>
  <c r="N5350" i="2"/>
  <c r="B5350" i="2"/>
  <c r="N5349" i="2"/>
  <c r="B5349" i="2"/>
  <c r="N5348" i="2"/>
  <c r="B5348" i="2"/>
  <c r="N5347" i="2"/>
  <c r="B5347" i="2"/>
  <c r="N5346" i="2"/>
  <c r="B5346" i="2"/>
  <c r="N5345" i="2"/>
  <c r="B5345" i="2"/>
  <c r="N5344" i="2"/>
  <c r="B5344" i="2"/>
  <c r="N5343" i="2"/>
  <c r="B5343" i="2"/>
  <c r="N5342" i="2"/>
  <c r="B5342" i="2"/>
  <c r="N5341" i="2"/>
  <c r="B5341" i="2"/>
  <c r="N5340" i="2"/>
  <c r="B5340" i="2"/>
  <c r="N5339" i="2"/>
  <c r="B5339" i="2"/>
  <c r="N5338" i="2"/>
  <c r="B5338" i="2"/>
  <c r="N5337" i="2"/>
  <c r="B5337" i="2"/>
  <c r="N5336" i="2"/>
  <c r="B5336" i="2"/>
  <c r="N5335" i="2"/>
  <c r="B5335" i="2"/>
  <c r="N5334" i="2"/>
  <c r="B5334" i="2"/>
  <c r="N5333" i="2"/>
  <c r="B5333" i="2"/>
  <c r="N5332" i="2"/>
  <c r="B5332" i="2"/>
  <c r="N5331" i="2"/>
  <c r="B5331" i="2"/>
  <c r="N5330" i="2"/>
  <c r="B5330" i="2"/>
  <c r="N5329" i="2"/>
  <c r="B5329" i="2"/>
  <c r="N5328" i="2"/>
  <c r="B5328" i="2"/>
  <c r="N5327" i="2"/>
  <c r="B5327" i="2"/>
  <c r="N5326" i="2"/>
  <c r="B5326" i="2"/>
  <c r="N5325" i="2"/>
  <c r="B5325" i="2"/>
  <c r="N5324" i="2"/>
  <c r="B5324" i="2"/>
  <c r="N5323" i="2"/>
  <c r="B5323" i="2"/>
  <c r="N5322" i="2"/>
  <c r="B5322" i="2"/>
  <c r="N5321" i="2"/>
  <c r="B5321" i="2"/>
  <c r="N5320" i="2"/>
  <c r="B5320" i="2"/>
  <c r="N5319" i="2"/>
  <c r="B5319" i="2"/>
  <c r="N5318" i="2"/>
  <c r="B5318" i="2"/>
  <c r="N5317" i="2"/>
  <c r="B5317" i="2"/>
  <c r="N5316" i="2"/>
  <c r="B5316" i="2"/>
  <c r="N5315" i="2"/>
  <c r="B5315" i="2"/>
  <c r="N5314" i="2"/>
  <c r="B5314" i="2"/>
  <c r="N5313" i="2"/>
  <c r="B5313" i="2"/>
  <c r="N5312" i="2"/>
  <c r="B5312" i="2"/>
  <c r="N5311" i="2"/>
  <c r="B5311" i="2"/>
  <c r="N5310" i="2"/>
  <c r="B5310" i="2"/>
  <c r="N5309" i="2"/>
  <c r="B5309" i="2"/>
  <c r="N5308" i="2"/>
  <c r="B5308" i="2"/>
  <c r="N5307" i="2"/>
  <c r="B5307" i="2"/>
  <c r="N5306" i="2"/>
  <c r="B5306" i="2"/>
  <c r="N5305" i="2"/>
  <c r="B5305" i="2"/>
  <c r="N5304" i="2"/>
  <c r="B5304" i="2"/>
  <c r="N5303" i="2"/>
  <c r="B5303" i="2"/>
  <c r="N5302" i="2"/>
  <c r="B5302" i="2"/>
  <c r="N5301" i="2"/>
  <c r="B5301" i="2"/>
  <c r="N5300" i="2"/>
  <c r="B5300" i="2"/>
  <c r="N5299" i="2"/>
  <c r="B5299" i="2"/>
  <c r="N5298" i="2"/>
  <c r="B5298" i="2"/>
  <c r="N5297" i="2"/>
  <c r="B5297" i="2"/>
  <c r="N5296" i="2"/>
  <c r="B5296" i="2"/>
  <c r="N5295" i="2"/>
  <c r="B5295" i="2"/>
  <c r="N5294" i="2"/>
  <c r="B5294" i="2"/>
  <c r="N5293" i="2"/>
  <c r="B5293" i="2"/>
  <c r="N5292" i="2"/>
  <c r="B5292" i="2"/>
  <c r="N5291" i="2"/>
  <c r="B5291" i="2"/>
  <c r="N5290" i="2"/>
  <c r="B5290" i="2"/>
  <c r="N5289" i="2"/>
  <c r="B5289" i="2"/>
  <c r="N5288" i="2"/>
  <c r="B5288" i="2"/>
  <c r="N5287" i="2"/>
  <c r="B5287" i="2"/>
  <c r="N5286" i="2"/>
  <c r="B5286" i="2"/>
  <c r="N5285" i="2"/>
  <c r="B5285" i="2"/>
  <c r="N5284" i="2"/>
  <c r="B5284" i="2"/>
  <c r="N5283" i="2"/>
  <c r="B5283" i="2"/>
  <c r="N5282" i="2"/>
  <c r="B5282" i="2"/>
  <c r="N5281" i="2"/>
  <c r="B5281" i="2"/>
  <c r="N5280" i="2"/>
  <c r="B5280" i="2"/>
  <c r="N5279" i="2"/>
  <c r="B5279" i="2"/>
  <c r="N5278" i="2"/>
  <c r="B5278" i="2"/>
  <c r="N5277" i="2"/>
  <c r="B5277" i="2"/>
  <c r="N5276" i="2"/>
  <c r="B5276" i="2"/>
  <c r="N5275" i="2"/>
  <c r="B5275" i="2"/>
  <c r="N5274" i="2"/>
  <c r="B5274" i="2"/>
  <c r="N5273" i="2"/>
  <c r="B5273" i="2"/>
  <c r="N5272" i="2"/>
  <c r="B5272" i="2"/>
  <c r="N5271" i="2"/>
  <c r="B5271" i="2"/>
  <c r="N5270" i="2"/>
  <c r="B5270" i="2"/>
  <c r="N5269" i="2"/>
  <c r="B5269" i="2"/>
  <c r="N5268" i="2"/>
  <c r="B5268" i="2"/>
  <c r="N5267" i="2"/>
  <c r="B5267" i="2"/>
  <c r="N5266" i="2"/>
  <c r="B5266" i="2"/>
  <c r="N5265" i="2"/>
  <c r="B5265" i="2"/>
  <c r="N5264" i="2"/>
  <c r="B5264" i="2"/>
  <c r="N5263" i="2"/>
  <c r="B5263" i="2"/>
  <c r="N5262" i="2"/>
  <c r="B5262" i="2"/>
  <c r="N5261" i="2"/>
  <c r="B5261" i="2"/>
  <c r="N5260" i="2"/>
  <c r="B5260" i="2"/>
  <c r="N5259" i="2"/>
  <c r="B5259" i="2"/>
  <c r="N5258" i="2"/>
  <c r="B5258" i="2"/>
  <c r="N5257" i="2"/>
  <c r="B5257" i="2"/>
  <c r="N5256" i="2"/>
  <c r="B5256" i="2"/>
  <c r="N5255" i="2"/>
  <c r="B5255" i="2"/>
  <c r="N5254" i="2"/>
  <c r="B5254" i="2"/>
  <c r="N5253" i="2"/>
  <c r="B5253" i="2"/>
  <c r="N5252" i="2"/>
  <c r="B5252" i="2"/>
  <c r="N5251" i="2"/>
  <c r="B5251" i="2"/>
  <c r="N5250" i="2"/>
  <c r="B5250" i="2"/>
  <c r="N5249" i="2"/>
  <c r="B5249" i="2"/>
  <c r="N5248" i="2"/>
  <c r="B5248" i="2"/>
  <c r="N5247" i="2"/>
  <c r="B5247" i="2"/>
  <c r="N5246" i="2"/>
  <c r="B5246" i="2"/>
  <c r="N5245" i="2"/>
  <c r="B5245" i="2"/>
  <c r="N5244" i="2"/>
  <c r="B5244" i="2"/>
  <c r="N5243" i="2"/>
  <c r="B5243" i="2"/>
  <c r="N5242" i="2"/>
  <c r="B5242" i="2"/>
  <c r="N5241" i="2"/>
  <c r="B5241" i="2"/>
  <c r="N5240" i="2"/>
  <c r="B5240" i="2"/>
  <c r="N5239" i="2"/>
  <c r="B5239" i="2"/>
  <c r="N5238" i="2"/>
  <c r="B5238" i="2"/>
  <c r="N5237" i="2"/>
  <c r="B5237" i="2"/>
  <c r="N5236" i="2"/>
  <c r="B5236" i="2"/>
  <c r="N5235" i="2"/>
  <c r="B5235" i="2"/>
  <c r="N5234" i="2"/>
  <c r="B5234" i="2"/>
  <c r="N5233" i="2"/>
  <c r="B5233" i="2"/>
  <c r="N5232" i="2"/>
  <c r="B5232" i="2"/>
  <c r="N5231" i="2"/>
  <c r="B5231" i="2"/>
  <c r="N5230" i="2"/>
  <c r="B5230" i="2"/>
  <c r="N5229" i="2"/>
  <c r="B5229" i="2"/>
  <c r="N5228" i="2"/>
  <c r="B5228" i="2"/>
  <c r="N5227" i="2"/>
  <c r="B5227" i="2"/>
  <c r="N5226" i="2"/>
  <c r="B5226" i="2"/>
  <c r="N5225" i="2"/>
  <c r="B5225" i="2"/>
  <c r="N5224" i="2"/>
  <c r="B5224" i="2"/>
  <c r="N5223" i="2"/>
  <c r="B5223" i="2"/>
  <c r="N5222" i="2"/>
  <c r="B5222" i="2"/>
  <c r="N5221" i="2"/>
  <c r="B5221" i="2"/>
  <c r="N5220" i="2"/>
  <c r="B5220" i="2"/>
  <c r="N5219" i="2"/>
  <c r="B5219" i="2"/>
  <c r="N5218" i="2"/>
  <c r="B5218" i="2"/>
  <c r="N5217" i="2"/>
  <c r="B5217" i="2"/>
  <c r="N5216" i="2"/>
  <c r="B5216" i="2"/>
  <c r="N5215" i="2"/>
  <c r="B5215" i="2"/>
  <c r="N5214" i="2"/>
  <c r="B5214" i="2"/>
  <c r="N5213" i="2"/>
  <c r="B5213" i="2"/>
  <c r="N5212" i="2"/>
  <c r="B5212" i="2"/>
  <c r="N5211" i="2"/>
  <c r="B5211" i="2"/>
  <c r="N5210" i="2"/>
  <c r="B5210" i="2"/>
  <c r="N5209" i="2"/>
  <c r="B5209" i="2"/>
  <c r="N5208" i="2"/>
  <c r="B5208" i="2"/>
  <c r="N5207" i="2"/>
  <c r="B5207" i="2"/>
  <c r="N5206" i="2"/>
  <c r="B5206" i="2"/>
  <c r="N5205" i="2"/>
  <c r="B5205" i="2"/>
  <c r="N5204" i="2"/>
  <c r="B5204" i="2"/>
  <c r="N5203" i="2"/>
  <c r="B5203" i="2"/>
  <c r="N5202" i="2"/>
  <c r="B5202" i="2"/>
  <c r="N5201" i="2"/>
  <c r="B5201" i="2"/>
  <c r="N5200" i="2"/>
  <c r="B5200" i="2"/>
  <c r="N5199" i="2"/>
  <c r="B5199" i="2"/>
  <c r="N5198" i="2"/>
  <c r="B5198" i="2"/>
  <c r="N5197" i="2"/>
  <c r="B5197" i="2"/>
  <c r="N5196" i="2"/>
  <c r="B5196" i="2"/>
  <c r="N5195" i="2"/>
  <c r="B5195" i="2"/>
  <c r="N5194" i="2"/>
  <c r="B5194" i="2"/>
  <c r="N5193" i="2"/>
  <c r="B5193" i="2"/>
  <c r="N5192" i="2"/>
  <c r="B5192" i="2"/>
  <c r="N5191" i="2"/>
  <c r="B5191" i="2"/>
  <c r="N5190" i="2"/>
  <c r="B5190" i="2"/>
  <c r="N5189" i="2"/>
  <c r="B5189" i="2"/>
  <c r="N5188" i="2"/>
  <c r="B5188" i="2"/>
  <c r="N5187" i="2"/>
  <c r="B5187" i="2"/>
  <c r="N5186" i="2"/>
  <c r="B5186" i="2"/>
  <c r="N5185" i="2"/>
  <c r="B5185" i="2"/>
  <c r="N5184" i="2"/>
  <c r="B5184" i="2"/>
  <c r="N5183" i="2"/>
  <c r="B5183" i="2"/>
  <c r="N5182" i="2"/>
  <c r="B5182" i="2"/>
  <c r="N5181" i="2"/>
  <c r="B5181" i="2"/>
  <c r="N5180" i="2"/>
  <c r="B5180" i="2"/>
  <c r="N5179" i="2"/>
  <c r="B5179" i="2"/>
  <c r="N5178" i="2"/>
  <c r="B5178" i="2"/>
  <c r="N5177" i="2"/>
  <c r="B5177" i="2"/>
  <c r="N5176" i="2"/>
  <c r="B5176" i="2"/>
  <c r="N5175" i="2"/>
  <c r="B5175" i="2"/>
  <c r="N5174" i="2"/>
  <c r="B5174" i="2"/>
  <c r="N5173" i="2"/>
  <c r="B5173" i="2"/>
  <c r="N5172" i="2"/>
  <c r="B5172" i="2"/>
  <c r="N5171" i="2"/>
  <c r="B5171" i="2"/>
  <c r="N5170" i="2"/>
  <c r="B5170" i="2"/>
  <c r="N5169" i="2"/>
  <c r="B5169" i="2"/>
  <c r="N5168" i="2"/>
  <c r="B5168" i="2"/>
  <c r="N5167" i="2"/>
  <c r="B5167" i="2"/>
  <c r="N5166" i="2"/>
  <c r="B5166" i="2"/>
  <c r="N5165" i="2"/>
  <c r="B5165" i="2"/>
  <c r="N5164" i="2"/>
  <c r="B5164" i="2"/>
  <c r="N5163" i="2"/>
  <c r="B5163" i="2"/>
  <c r="N5162" i="2"/>
  <c r="B5162" i="2"/>
  <c r="N5161" i="2"/>
  <c r="B5161" i="2"/>
  <c r="N5160" i="2"/>
  <c r="B5160" i="2"/>
  <c r="N5159" i="2"/>
  <c r="B5159" i="2"/>
  <c r="N5158" i="2"/>
  <c r="B5158" i="2"/>
  <c r="N5157" i="2"/>
  <c r="B5157" i="2"/>
  <c r="N5156" i="2"/>
  <c r="B5156" i="2"/>
  <c r="N5155" i="2"/>
  <c r="B5155" i="2"/>
  <c r="N5154" i="2"/>
  <c r="B5154" i="2"/>
  <c r="N5153" i="2"/>
  <c r="B5153" i="2"/>
  <c r="N5152" i="2"/>
  <c r="B5152" i="2"/>
  <c r="N5151" i="2"/>
  <c r="B5151" i="2"/>
  <c r="N5150" i="2"/>
  <c r="B5150" i="2"/>
  <c r="N5149" i="2"/>
  <c r="B5149" i="2"/>
  <c r="N5148" i="2"/>
  <c r="B5148" i="2"/>
  <c r="N5147" i="2"/>
  <c r="B5147" i="2"/>
  <c r="N5146" i="2"/>
  <c r="B5146" i="2"/>
  <c r="N5145" i="2"/>
  <c r="B5145" i="2"/>
  <c r="N5144" i="2"/>
  <c r="B5144" i="2"/>
  <c r="N5143" i="2"/>
  <c r="B5143" i="2"/>
  <c r="N5142" i="2"/>
  <c r="B5142" i="2"/>
  <c r="N5141" i="2"/>
  <c r="B5141" i="2"/>
  <c r="N5140" i="2"/>
  <c r="B5140" i="2"/>
  <c r="N5139" i="2"/>
  <c r="B5139" i="2"/>
  <c r="N5138" i="2"/>
  <c r="B5138" i="2"/>
  <c r="N5137" i="2"/>
  <c r="B5137" i="2"/>
  <c r="N5136" i="2"/>
  <c r="B5136" i="2"/>
  <c r="N5135" i="2"/>
  <c r="B5135" i="2"/>
  <c r="N5134" i="2"/>
  <c r="B5134" i="2"/>
  <c r="N5133" i="2"/>
  <c r="B5133" i="2"/>
  <c r="N5132" i="2"/>
  <c r="B5132" i="2"/>
  <c r="N5131" i="2"/>
  <c r="B5131" i="2"/>
  <c r="N5130" i="2"/>
  <c r="B5130" i="2"/>
  <c r="N5129" i="2"/>
  <c r="B5129" i="2"/>
  <c r="N5128" i="2"/>
  <c r="B5128" i="2"/>
  <c r="N5127" i="2"/>
  <c r="B5127" i="2"/>
  <c r="N5126" i="2"/>
  <c r="B5126" i="2"/>
  <c r="N5125" i="2"/>
  <c r="B5125" i="2"/>
  <c r="N5124" i="2"/>
  <c r="B5124" i="2"/>
  <c r="N5123" i="2"/>
  <c r="B5123" i="2"/>
  <c r="N5122" i="2"/>
  <c r="B5122" i="2"/>
  <c r="N5121" i="2"/>
  <c r="B5121" i="2"/>
  <c r="N5120" i="2"/>
  <c r="B5120" i="2"/>
  <c r="N5119" i="2"/>
  <c r="B5119" i="2"/>
  <c r="N5118" i="2"/>
  <c r="B5118" i="2"/>
  <c r="N5117" i="2"/>
  <c r="B5117" i="2"/>
  <c r="N5116" i="2"/>
  <c r="B5116" i="2"/>
  <c r="N5115" i="2"/>
  <c r="B5115" i="2"/>
  <c r="N5114" i="2"/>
  <c r="B5114" i="2"/>
  <c r="N5113" i="2"/>
  <c r="B5113" i="2"/>
  <c r="N5112" i="2"/>
  <c r="B5112" i="2"/>
  <c r="N5111" i="2"/>
  <c r="B5111" i="2"/>
  <c r="N5110" i="2"/>
  <c r="B5110" i="2"/>
  <c r="N5109" i="2"/>
  <c r="B5109" i="2"/>
  <c r="N5108" i="2"/>
  <c r="B5108" i="2"/>
  <c r="N5107" i="2"/>
  <c r="B5107" i="2"/>
  <c r="N5106" i="2"/>
  <c r="B5106" i="2"/>
  <c r="N5105" i="2"/>
  <c r="B5105" i="2"/>
  <c r="N5104" i="2"/>
  <c r="B5104" i="2"/>
  <c r="N5103" i="2"/>
  <c r="B5103" i="2"/>
  <c r="N5102" i="2"/>
  <c r="B5102" i="2"/>
  <c r="N5101" i="2"/>
  <c r="B5101" i="2"/>
  <c r="N5100" i="2"/>
  <c r="B5100" i="2"/>
  <c r="N5099" i="2"/>
  <c r="B5099" i="2"/>
  <c r="N5098" i="2"/>
  <c r="B5098" i="2"/>
  <c r="N5097" i="2"/>
  <c r="B5097" i="2"/>
  <c r="N5096" i="2"/>
  <c r="B5096" i="2"/>
  <c r="N5095" i="2"/>
  <c r="B5095" i="2"/>
  <c r="N5094" i="2"/>
  <c r="B5094" i="2"/>
  <c r="N5093" i="2"/>
  <c r="B5093" i="2"/>
  <c r="N5092" i="2"/>
  <c r="B5092" i="2"/>
  <c r="N5091" i="2"/>
  <c r="B5091" i="2"/>
  <c r="N5090" i="2"/>
  <c r="B5090" i="2"/>
  <c r="N5089" i="2"/>
  <c r="B5089" i="2"/>
  <c r="N5088" i="2"/>
  <c r="B5088" i="2"/>
  <c r="N5087" i="2"/>
  <c r="B5087" i="2"/>
  <c r="N5086" i="2"/>
  <c r="B5086" i="2"/>
  <c r="N5085" i="2"/>
  <c r="B5085" i="2"/>
  <c r="N5084" i="2"/>
  <c r="B5084" i="2"/>
  <c r="N5083" i="2"/>
  <c r="B5083" i="2"/>
  <c r="N5082" i="2"/>
  <c r="B5082" i="2"/>
  <c r="N5081" i="2"/>
  <c r="B5081" i="2"/>
  <c r="N5080" i="2"/>
  <c r="B5080" i="2"/>
  <c r="N5079" i="2"/>
  <c r="B5079" i="2"/>
  <c r="N5078" i="2"/>
  <c r="B5078" i="2"/>
  <c r="N5077" i="2"/>
  <c r="B5077" i="2"/>
  <c r="N5076" i="2"/>
  <c r="B5076" i="2"/>
  <c r="N5075" i="2"/>
  <c r="B5075" i="2"/>
  <c r="N5074" i="2"/>
  <c r="B5074" i="2"/>
  <c r="N5073" i="2"/>
  <c r="B5073" i="2"/>
  <c r="N5072" i="2"/>
  <c r="B5072" i="2"/>
  <c r="N5071" i="2"/>
  <c r="B5071" i="2"/>
  <c r="N5070" i="2"/>
  <c r="B5070" i="2"/>
  <c r="N5069" i="2"/>
  <c r="B5069" i="2"/>
  <c r="N5068" i="2"/>
  <c r="B5068" i="2"/>
  <c r="N5067" i="2"/>
  <c r="B5067" i="2"/>
  <c r="N5066" i="2"/>
  <c r="B5066" i="2"/>
  <c r="N5065" i="2"/>
  <c r="B5065" i="2"/>
  <c r="N5064" i="2"/>
  <c r="B5064" i="2"/>
  <c r="N5063" i="2"/>
  <c r="B5063" i="2"/>
  <c r="N5062" i="2"/>
  <c r="B5062" i="2"/>
  <c r="N5061" i="2"/>
  <c r="B5061" i="2"/>
  <c r="N5060" i="2"/>
  <c r="B5060" i="2"/>
  <c r="N5059" i="2"/>
  <c r="B5059" i="2"/>
  <c r="N5058" i="2"/>
  <c r="B5058" i="2"/>
  <c r="N5057" i="2"/>
  <c r="B5057" i="2"/>
  <c r="N5056" i="2"/>
  <c r="B5056" i="2"/>
  <c r="N5055" i="2"/>
  <c r="B5055" i="2"/>
  <c r="N5054" i="2"/>
  <c r="B5054" i="2"/>
  <c r="N5053" i="2"/>
  <c r="B5053" i="2"/>
  <c r="N5052" i="2"/>
  <c r="B5052" i="2"/>
  <c r="N5051" i="2"/>
  <c r="B5051" i="2"/>
  <c r="N5050" i="2"/>
  <c r="B5050" i="2"/>
  <c r="N5049" i="2"/>
  <c r="B5049" i="2"/>
  <c r="N5048" i="2"/>
  <c r="B5048" i="2"/>
  <c r="N5047" i="2"/>
  <c r="B5047" i="2"/>
  <c r="N5046" i="2"/>
  <c r="B5046" i="2"/>
  <c r="N5045" i="2"/>
  <c r="B5045" i="2"/>
  <c r="N5044" i="2"/>
  <c r="B5044" i="2"/>
  <c r="N5043" i="2"/>
  <c r="B5043" i="2"/>
  <c r="N5042" i="2"/>
  <c r="B5042" i="2"/>
  <c r="N5041" i="2"/>
  <c r="B5041" i="2"/>
  <c r="N5040" i="2"/>
  <c r="B5040" i="2"/>
  <c r="N5039" i="2"/>
  <c r="B5039" i="2"/>
  <c r="N5038" i="2"/>
  <c r="B5038" i="2"/>
  <c r="N5037" i="2"/>
  <c r="B5037" i="2"/>
  <c r="N5036" i="2"/>
  <c r="B5036" i="2"/>
  <c r="N5035" i="2"/>
  <c r="B5035" i="2"/>
  <c r="N5034" i="2"/>
  <c r="B5034" i="2"/>
  <c r="N5033" i="2"/>
  <c r="B5033" i="2"/>
  <c r="N5032" i="2"/>
  <c r="B5032" i="2"/>
  <c r="N5031" i="2"/>
  <c r="B5031" i="2"/>
  <c r="N5030" i="2"/>
  <c r="B5030" i="2"/>
  <c r="N5029" i="2"/>
  <c r="B5029" i="2"/>
  <c r="N5028" i="2"/>
  <c r="B5028" i="2"/>
  <c r="N5027" i="2"/>
  <c r="B5027" i="2"/>
  <c r="N5026" i="2"/>
  <c r="B5026" i="2"/>
  <c r="N5025" i="2"/>
  <c r="B5025" i="2"/>
  <c r="N5024" i="2"/>
  <c r="B5024" i="2"/>
  <c r="N5023" i="2"/>
  <c r="B5023" i="2"/>
  <c r="N5022" i="2"/>
  <c r="B5022" i="2"/>
  <c r="N5021" i="2"/>
  <c r="B5021" i="2"/>
  <c r="N5020" i="2"/>
  <c r="B5020" i="2"/>
  <c r="N5019" i="2"/>
  <c r="B5019" i="2"/>
  <c r="N5018" i="2"/>
  <c r="B5018" i="2"/>
  <c r="N5017" i="2"/>
  <c r="B5017" i="2"/>
  <c r="N5016" i="2"/>
  <c r="B5016" i="2"/>
  <c r="N5015" i="2"/>
  <c r="B5015" i="2"/>
  <c r="N5014" i="2"/>
  <c r="B5014" i="2"/>
  <c r="N5013" i="2"/>
  <c r="B5013" i="2"/>
  <c r="N5012" i="2"/>
  <c r="B5012" i="2"/>
  <c r="N5011" i="2"/>
  <c r="B5011" i="2"/>
  <c r="N5010" i="2"/>
  <c r="B5010" i="2"/>
  <c r="N5009" i="2"/>
  <c r="B5009" i="2"/>
  <c r="N5008" i="2"/>
  <c r="B5008" i="2"/>
  <c r="N5007" i="2"/>
  <c r="B5007" i="2"/>
  <c r="N5006" i="2"/>
  <c r="B5006" i="2"/>
  <c r="N5005" i="2"/>
  <c r="B5005" i="2"/>
  <c r="N5004" i="2"/>
  <c r="B5004" i="2"/>
  <c r="N5003" i="2"/>
  <c r="B5003" i="2"/>
  <c r="N5002" i="2"/>
  <c r="B5002" i="2"/>
  <c r="N5001" i="2"/>
  <c r="B5001" i="2"/>
  <c r="N5000" i="2"/>
  <c r="B5000" i="2"/>
  <c r="N4999" i="2"/>
  <c r="B4999" i="2"/>
  <c r="N4998" i="2"/>
  <c r="B4998" i="2"/>
  <c r="N4997" i="2"/>
  <c r="B4997" i="2"/>
  <c r="N4996" i="2"/>
  <c r="B4996" i="2"/>
  <c r="N4995" i="2"/>
  <c r="B4995" i="2"/>
  <c r="N4994" i="2"/>
  <c r="B4994" i="2"/>
  <c r="N4993" i="2"/>
  <c r="B4993" i="2"/>
  <c r="N4992" i="2"/>
  <c r="B4992" i="2"/>
  <c r="N4991" i="2"/>
  <c r="B4991" i="2"/>
  <c r="N4990" i="2"/>
  <c r="B4990" i="2"/>
  <c r="N4989" i="2"/>
  <c r="B4989" i="2"/>
  <c r="N4988" i="2"/>
  <c r="B4988" i="2"/>
  <c r="N4987" i="2"/>
  <c r="B4987" i="2"/>
  <c r="N4986" i="2"/>
  <c r="B4986" i="2"/>
  <c r="N4985" i="2"/>
  <c r="B4985" i="2"/>
  <c r="N4984" i="2"/>
  <c r="B4984" i="2"/>
  <c r="N4983" i="2"/>
  <c r="B4983" i="2"/>
  <c r="N4982" i="2"/>
  <c r="B4982" i="2"/>
  <c r="N4981" i="2"/>
  <c r="B4981" i="2"/>
  <c r="N4980" i="2"/>
  <c r="B4980" i="2"/>
  <c r="N4979" i="2"/>
  <c r="B4979" i="2"/>
  <c r="N4978" i="2"/>
  <c r="B4978" i="2"/>
  <c r="N4977" i="2"/>
  <c r="B4977" i="2"/>
  <c r="N4976" i="2"/>
  <c r="B4976" i="2"/>
  <c r="N4975" i="2"/>
  <c r="B4975" i="2"/>
  <c r="N4974" i="2"/>
  <c r="B4974" i="2"/>
  <c r="N4973" i="2"/>
  <c r="B4973" i="2"/>
  <c r="N4972" i="2"/>
  <c r="B4972" i="2"/>
  <c r="N4971" i="2"/>
  <c r="B4971" i="2"/>
  <c r="N4970" i="2"/>
  <c r="B4970" i="2"/>
  <c r="N4969" i="2"/>
  <c r="B4969" i="2"/>
  <c r="N4968" i="2"/>
  <c r="B4968" i="2"/>
  <c r="N4967" i="2"/>
  <c r="B4967" i="2"/>
  <c r="N4966" i="2"/>
  <c r="B4966" i="2"/>
  <c r="N4965" i="2"/>
  <c r="B4965" i="2"/>
  <c r="N4964" i="2"/>
  <c r="B4964" i="2"/>
  <c r="N4963" i="2"/>
  <c r="B4963" i="2"/>
  <c r="N4962" i="2"/>
  <c r="B4962" i="2"/>
  <c r="N4961" i="2"/>
  <c r="B4961" i="2"/>
  <c r="N4960" i="2"/>
  <c r="B4960" i="2"/>
  <c r="N4959" i="2"/>
  <c r="B4959" i="2"/>
  <c r="N4958" i="2"/>
  <c r="B4958" i="2"/>
  <c r="N4957" i="2"/>
  <c r="B4957" i="2"/>
  <c r="N4956" i="2"/>
  <c r="B4956" i="2"/>
  <c r="N4955" i="2"/>
  <c r="B4955" i="2"/>
  <c r="N4954" i="2"/>
  <c r="B4954" i="2"/>
  <c r="N4953" i="2"/>
  <c r="B4953" i="2"/>
  <c r="N4952" i="2"/>
  <c r="B4952" i="2"/>
  <c r="N4951" i="2"/>
  <c r="B4951" i="2"/>
  <c r="N4950" i="2"/>
  <c r="B4950" i="2"/>
  <c r="N4949" i="2"/>
  <c r="B4949" i="2"/>
  <c r="N4948" i="2"/>
  <c r="B4948" i="2"/>
  <c r="N4947" i="2"/>
  <c r="B4947" i="2"/>
  <c r="N4946" i="2"/>
  <c r="B4946" i="2"/>
  <c r="N4945" i="2"/>
  <c r="B4945" i="2"/>
  <c r="N4944" i="2"/>
  <c r="B4944" i="2"/>
  <c r="N4943" i="2"/>
  <c r="B4943" i="2"/>
  <c r="N4942" i="2"/>
  <c r="B4942" i="2"/>
  <c r="N4941" i="2"/>
  <c r="B4941" i="2"/>
  <c r="N4940" i="2"/>
  <c r="B4940" i="2"/>
  <c r="N4939" i="2"/>
  <c r="B4939" i="2"/>
  <c r="N4938" i="2"/>
  <c r="B4938" i="2"/>
  <c r="N4937" i="2"/>
  <c r="B4937" i="2"/>
  <c r="N4936" i="2"/>
  <c r="B4936" i="2"/>
  <c r="N4935" i="2"/>
  <c r="B4935" i="2"/>
  <c r="N4934" i="2"/>
  <c r="B4934" i="2"/>
  <c r="N4933" i="2"/>
  <c r="B4933" i="2"/>
  <c r="N4932" i="2"/>
  <c r="B4932" i="2"/>
  <c r="N4931" i="2"/>
  <c r="B4931" i="2"/>
  <c r="N4930" i="2"/>
  <c r="B4930" i="2"/>
  <c r="N4929" i="2"/>
  <c r="B4929" i="2"/>
  <c r="N4928" i="2"/>
  <c r="B4928" i="2"/>
  <c r="N4927" i="2"/>
  <c r="B4927" i="2"/>
  <c r="N4926" i="2"/>
  <c r="B4926" i="2"/>
  <c r="N4925" i="2"/>
  <c r="B4925" i="2"/>
  <c r="N4924" i="2"/>
  <c r="B4924" i="2"/>
  <c r="N4923" i="2"/>
  <c r="B4923" i="2"/>
  <c r="N4922" i="2"/>
  <c r="B4922" i="2"/>
  <c r="N4921" i="2"/>
  <c r="B4921" i="2"/>
  <c r="N4920" i="2"/>
  <c r="B4920" i="2"/>
  <c r="N4919" i="2"/>
  <c r="B4919" i="2"/>
  <c r="N4918" i="2"/>
  <c r="B4918" i="2"/>
  <c r="N4917" i="2"/>
  <c r="B4917" i="2"/>
  <c r="N4916" i="2"/>
  <c r="B4916" i="2"/>
  <c r="N4915" i="2"/>
  <c r="B4915" i="2"/>
  <c r="N4914" i="2"/>
  <c r="B4914" i="2"/>
  <c r="N4913" i="2"/>
  <c r="B4913" i="2"/>
  <c r="N4912" i="2"/>
  <c r="B4912" i="2"/>
  <c r="N4911" i="2"/>
  <c r="B4911" i="2"/>
  <c r="N4910" i="2"/>
  <c r="B4910" i="2"/>
  <c r="N4909" i="2"/>
  <c r="B4909" i="2"/>
  <c r="N4908" i="2"/>
  <c r="B4908" i="2"/>
  <c r="N4907" i="2"/>
  <c r="B4907" i="2"/>
  <c r="N4906" i="2"/>
  <c r="B4906" i="2"/>
  <c r="N4905" i="2"/>
  <c r="B4905" i="2"/>
  <c r="N4904" i="2"/>
  <c r="B4904" i="2"/>
  <c r="N4903" i="2"/>
  <c r="B4903" i="2"/>
  <c r="N4902" i="2"/>
  <c r="B4902" i="2"/>
  <c r="N4901" i="2"/>
  <c r="B4901" i="2"/>
  <c r="N4900" i="2"/>
  <c r="B4900" i="2"/>
  <c r="N4899" i="2"/>
  <c r="B4899" i="2"/>
  <c r="N4898" i="2"/>
  <c r="B4898" i="2"/>
  <c r="N4897" i="2"/>
  <c r="B4897" i="2"/>
  <c r="N4896" i="2"/>
  <c r="B4896" i="2"/>
  <c r="N4895" i="2"/>
  <c r="B4895" i="2"/>
  <c r="N4894" i="2"/>
  <c r="B4894" i="2"/>
  <c r="N4893" i="2"/>
  <c r="B4893" i="2"/>
  <c r="N4892" i="2"/>
  <c r="B4892" i="2"/>
  <c r="N4891" i="2"/>
  <c r="B4891" i="2"/>
  <c r="N4890" i="2"/>
  <c r="B4890" i="2"/>
  <c r="N4889" i="2"/>
  <c r="B4889" i="2"/>
  <c r="N4888" i="2"/>
  <c r="B4888" i="2"/>
  <c r="N4887" i="2"/>
  <c r="B4887" i="2"/>
  <c r="N4886" i="2"/>
  <c r="B4886" i="2"/>
  <c r="N4885" i="2"/>
  <c r="B4885" i="2"/>
  <c r="N4884" i="2"/>
  <c r="B4884" i="2"/>
  <c r="N4883" i="2"/>
  <c r="B4883" i="2"/>
  <c r="N4882" i="2"/>
  <c r="B4882" i="2"/>
  <c r="N4881" i="2"/>
  <c r="B4881" i="2"/>
  <c r="N4880" i="2"/>
  <c r="B4880" i="2"/>
  <c r="N4879" i="2"/>
  <c r="B4879" i="2"/>
  <c r="N4878" i="2"/>
  <c r="B4878" i="2"/>
  <c r="N4877" i="2"/>
  <c r="B4877" i="2"/>
  <c r="N4876" i="2"/>
  <c r="B4876" i="2"/>
  <c r="N4875" i="2"/>
  <c r="B4875" i="2"/>
  <c r="N4874" i="2"/>
  <c r="B4874" i="2"/>
  <c r="N4873" i="2"/>
  <c r="B4873" i="2"/>
  <c r="N4872" i="2"/>
  <c r="B4872" i="2"/>
  <c r="N4871" i="2"/>
  <c r="B4871" i="2"/>
  <c r="N4870" i="2"/>
  <c r="B4870" i="2"/>
  <c r="N4869" i="2"/>
  <c r="B4869" i="2"/>
  <c r="N4868" i="2"/>
  <c r="B4868" i="2"/>
  <c r="N4867" i="2"/>
  <c r="B4867" i="2"/>
  <c r="N4866" i="2"/>
  <c r="B4866" i="2"/>
  <c r="N4865" i="2"/>
  <c r="B4865" i="2"/>
  <c r="N4864" i="2"/>
  <c r="B4864" i="2"/>
  <c r="N4863" i="2"/>
  <c r="B4863" i="2"/>
  <c r="N4862" i="2"/>
  <c r="B4862" i="2"/>
  <c r="N4861" i="2"/>
  <c r="B4861" i="2"/>
  <c r="N4860" i="2"/>
  <c r="B4860" i="2"/>
  <c r="N4859" i="2"/>
  <c r="B4859" i="2"/>
  <c r="N4858" i="2"/>
  <c r="B4858" i="2"/>
  <c r="N4857" i="2"/>
  <c r="B4857" i="2"/>
  <c r="N4856" i="2"/>
  <c r="B4856" i="2"/>
  <c r="N4855" i="2"/>
  <c r="B4855" i="2"/>
  <c r="N4854" i="2"/>
  <c r="B4854" i="2"/>
  <c r="N4853" i="2"/>
  <c r="B4853" i="2"/>
  <c r="N4852" i="2"/>
  <c r="B4852" i="2"/>
  <c r="N4851" i="2"/>
  <c r="B4851" i="2"/>
  <c r="N4850" i="2"/>
  <c r="B4850" i="2"/>
  <c r="N4849" i="2"/>
  <c r="B4849" i="2"/>
  <c r="N4848" i="2"/>
  <c r="B4848" i="2"/>
  <c r="N4847" i="2"/>
  <c r="B4847" i="2"/>
  <c r="N4846" i="2"/>
  <c r="B4846" i="2"/>
  <c r="N4845" i="2"/>
  <c r="B4845" i="2"/>
  <c r="N4844" i="2"/>
  <c r="B4844" i="2"/>
  <c r="N4843" i="2"/>
  <c r="B4843" i="2"/>
  <c r="N4842" i="2"/>
  <c r="B4842" i="2"/>
  <c r="N4841" i="2"/>
  <c r="B4841" i="2"/>
  <c r="N4840" i="2"/>
  <c r="B4840" i="2"/>
  <c r="N4839" i="2"/>
  <c r="B4839" i="2"/>
  <c r="N4838" i="2"/>
  <c r="B4838" i="2"/>
  <c r="N4837" i="2"/>
  <c r="B4837" i="2"/>
  <c r="N4836" i="2"/>
  <c r="B4836" i="2"/>
  <c r="N4835" i="2"/>
  <c r="B4835" i="2"/>
  <c r="N4834" i="2"/>
  <c r="B4834" i="2"/>
  <c r="N4833" i="2"/>
  <c r="B4833" i="2"/>
  <c r="N4832" i="2"/>
  <c r="B4832" i="2"/>
  <c r="N4831" i="2"/>
  <c r="B4831" i="2"/>
  <c r="N4830" i="2"/>
  <c r="B4830" i="2"/>
  <c r="N4829" i="2"/>
  <c r="B4829" i="2"/>
  <c r="N4828" i="2"/>
  <c r="B4828" i="2"/>
  <c r="N4827" i="2"/>
  <c r="B4827" i="2"/>
  <c r="N4826" i="2"/>
  <c r="B4826" i="2"/>
  <c r="N4825" i="2"/>
  <c r="B4825" i="2"/>
  <c r="N4824" i="2"/>
  <c r="B4824" i="2"/>
  <c r="N4823" i="2"/>
  <c r="B4823" i="2"/>
  <c r="N4822" i="2"/>
  <c r="B4822" i="2"/>
  <c r="N4821" i="2"/>
  <c r="B4821" i="2"/>
  <c r="N4820" i="2"/>
  <c r="B4820" i="2"/>
  <c r="N4819" i="2"/>
  <c r="B4819" i="2"/>
  <c r="N4818" i="2"/>
  <c r="B4818" i="2"/>
  <c r="N4817" i="2"/>
  <c r="B4817" i="2"/>
  <c r="N4816" i="2"/>
  <c r="B4816" i="2"/>
  <c r="N4815" i="2"/>
  <c r="B4815" i="2"/>
  <c r="N4814" i="2"/>
  <c r="B4814" i="2"/>
  <c r="N4813" i="2"/>
  <c r="B4813" i="2"/>
  <c r="N4812" i="2"/>
  <c r="B4812" i="2"/>
  <c r="N4811" i="2"/>
  <c r="B4811" i="2"/>
  <c r="N4810" i="2"/>
  <c r="B4810" i="2"/>
  <c r="N4809" i="2"/>
  <c r="B4809" i="2"/>
  <c r="N4808" i="2"/>
  <c r="B4808" i="2"/>
  <c r="N4807" i="2"/>
  <c r="B4807" i="2"/>
  <c r="N4806" i="2"/>
  <c r="B4806" i="2"/>
  <c r="N4805" i="2"/>
  <c r="B4805" i="2"/>
  <c r="N4804" i="2"/>
  <c r="B4804" i="2"/>
  <c r="N4803" i="2"/>
  <c r="B4803" i="2"/>
  <c r="N4802" i="2"/>
  <c r="B4802" i="2"/>
  <c r="N4801" i="2"/>
  <c r="B4801" i="2"/>
  <c r="N4800" i="2"/>
  <c r="B4800" i="2"/>
  <c r="N4799" i="2"/>
  <c r="B4799" i="2"/>
  <c r="N4798" i="2"/>
  <c r="B4798" i="2"/>
  <c r="N4797" i="2"/>
  <c r="B4797" i="2"/>
  <c r="N4796" i="2"/>
  <c r="B4796" i="2"/>
  <c r="N4795" i="2"/>
  <c r="B4795" i="2"/>
  <c r="N4794" i="2"/>
  <c r="B4794" i="2"/>
  <c r="N4793" i="2"/>
  <c r="B4793" i="2"/>
  <c r="N4792" i="2"/>
  <c r="B4792" i="2"/>
  <c r="N4791" i="2"/>
  <c r="B4791" i="2"/>
  <c r="N4790" i="2"/>
  <c r="B4790" i="2"/>
  <c r="N4789" i="2"/>
  <c r="B4789" i="2"/>
  <c r="N4788" i="2"/>
  <c r="B4788" i="2"/>
  <c r="N4787" i="2"/>
  <c r="B4787" i="2"/>
  <c r="N4786" i="2"/>
  <c r="B4786" i="2"/>
  <c r="N4785" i="2"/>
  <c r="B4785" i="2"/>
  <c r="N4784" i="2"/>
  <c r="B4784" i="2"/>
  <c r="N4783" i="2"/>
  <c r="B4783" i="2"/>
  <c r="N4782" i="2"/>
  <c r="B4782" i="2"/>
  <c r="N4781" i="2"/>
  <c r="B4781" i="2"/>
  <c r="N4780" i="2"/>
  <c r="B4780" i="2"/>
  <c r="N4779" i="2"/>
  <c r="B4779" i="2"/>
  <c r="N4778" i="2"/>
  <c r="B4778" i="2"/>
  <c r="N4777" i="2"/>
  <c r="B4777" i="2"/>
  <c r="N4776" i="2"/>
  <c r="B4776" i="2"/>
  <c r="N4775" i="2"/>
  <c r="B4775" i="2"/>
  <c r="N4774" i="2"/>
  <c r="B4774" i="2"/>
  <c r="N4773" i="2"/>
  <c r="B4773" i="2"/>
  <c r="N4772" i="2"/>
  <c r="B4772" i="2"/>
  <c r="N4771" i="2"/>
  <c r="B4771" i="2"/>
  <c r="N4770" i="2"/>
  <c r="B4770" i="2"/>
  <c r="N4769" i="2"/>
  <c r="B4769" i="2"/>
  <c r="N4768" i="2"/>
  <c r="B4768" i="2"/>
  <c r="N4767" i="2"/>
  <c r="B4767" i="2"/>
  <c r="N4766" i="2"/>
  <c r="B4766" i="2"/>
  <c r="N4765" i="2"/>
  <c r="B4765" i="2"/>
  <c r="N4764" i="2"/>
  <c r="B4764" i="2"/>
  <c r="N4763" i="2"/>
  <c r="B4763" i="2"/>
  <c r="N4762" i="2"/>
  <c r="B4762" i="2"/>
  <c r="N4761" i="2"/>
  <c r="B4761" i="2"/>
  <c r="N4760" i="2"/>
  <c r="B4760" i="2"/>
  <c r="N4759" i="2"/>
  <c r="B4759" i="2"/>
  <c r="N4758" i="2"/>
  <c r="B4758" i="2"/>
  <c r="N4757" i="2"/>
  <c r="B4757" i="2"/>
  <c r="N4756" i="2"/>
  <c r="B4756" i="2"/>
  <c r="N4755" i="2"/>
  <c r="B4755" i="2"/>
  <c r="N4754" i="2"/>
  <c r="B4754" i="2"/>
  <c r="N4753" i="2"/>
  <c r="B4753" i="2"/>
  <c r="N4752" i="2"/>
  <c r="B4752" i="2"/>
  <c r="N4751" i="2"/>
  <c r="B4751" i="2"/>
  <c r="N4750" i="2"/>
  <c r="B4750" i="2"/>
  <c r="N4749" i="2"/>
  <c r="B4749" i="2"/>
  <c r="N4748" i="2"/>
  <c r="B4748" i="2"/>
  <c r="N4747" i="2"/>
  <c r="B4747" i="2"/>
  <c r="N4746" i="2"/>
  <c r="B4746" i="2"/>
  <c r="N4745" i="2"/>
  <c r="B4745" i="2"/>
  <c r="N4744" i="2"/>
  <c r="B4744" i="2"/>
  <c r="N4743" i="2"/>
  <c r="B4743" i="2"/>
  <c r="N4742" i="2"/>
  <c r="B4742" i="2"/>
  <c r="N4741" i="2"/>
  <c r="B4741" i="2"/>
  <c r="N4740" i="2"/>
  <c r="B4740" i="2"/>
  <c r="N4739" i="2"/>
  <c r="B4739" i="2"/>
  <c r="N4738" i="2"/>
  <c r="B4738" i="2"/>
  <c r="N4737" i="2"/>
  <c r="B4737" i="2"/>
  <c r="N4736" i="2"/>
  <c r="B4736" i="2"/>
  <c r="N4735" i="2"/>
  <c r="B4735" i="2"/>
  <c r="N4734" i="2"/>
  <c r="B4734" i="2"/>
  <c r="N4733" i="2"/>
  <c r="B4733" i="2"/>
  <c r="N4732" i="2"/>
  <c r="B4732" i="2"/>
  <c r="N4731" i="2"/>
  <c r="B4731" i="2"/>
  <c r="N4730" i="2"/>
  <c r="B4730" i="2"/>
  <c r="N4729" i="2"/>
  <c r="B4729" i="2"/>
  <c r="N4728" i="2"/>
  <c r="B4728" i="2"/>
  <c r="N4727" i="2"/>
  <c r="B4727" i="2"/>
  <c r="N4726" i="2"/>
  <c r="B4726" i="2"/>
  <c r="N4725" i="2"/>
  <c r="B4725" i="2"/>
  <c r="N4724" i="2"/>
  <c r="B4724" i="2"/>
  <c r="N4723" i="2"/>
  <c r="B4723" i="2"/>
  <c r="N4722" i="2"/>
  <c r="B4722" i="2"/>
  <c r="N4721" i="2"/>
  <c r="B4721" i="2"/>
  <c r="N4720" i="2"/>
  <c r="B4720" i="2"/>
  <c r="N4719" i="2"/>
  <c r="B4719" i="2"/>
  <c r="N4718" i="2"/>
  <c r="B4718" i="2"/>
  <c r="N4717" i="2"/>
  <c r="B4717" i="2"/>
  <c r="N4716" i="2"/>
  <c r="B4716" i="2"/>
  <c r="N4715" i="2"/>
  <c r="B4715" i="2"/>
  <c r="N4714" i="2"/>
  <c r="B4714" i="2"/>
  <c r="N4713" i="2"/>
  <c r="B4713" i="2"/>
  <c r="N4712" i="2"/>
  <c r="B4712" i="2"/>
  <c r="N4711" i="2"/>
  <c r="B4711" i="2"/>
  <c r="N4710" i="2"/>
  <c r="B4710" i="2"/>
  <c r="N4709" i="2"/>
  <c r="B4709" i="2"/>
  <c r="N4708" i="2"/>
  <c r="B4708" i="2"/>
  <c r="N4707" i="2"/>
  <c r="B4707" i="2"/>
  <c r="N4706" i="2"/>
  <c r="B4706" i="2"/>
  <c r="N4705" i="2"/>
  <c r="B4705" i="2"/>
  <c r="N4704" i="2"/>
  <c r="B4704" i="2"/>
  <c r="N4703" i="2"/>
  <c r="B4703" i="2"/>
  <c r="N4702" i="2"/>
  <c r="B4702" i="2"/>
  <c r="N4701" i="2"/>
  <c r="B4701" i="2"/>
  <c r="N4700" i="2"/>
  <c r="B4700" i="2"/>
  <c r="N4699" i="2"/>
  <c r="B4699" i="2"/>
  <c r="N4698" i="2"/>
  <c r="B4698" i="2"/>
  <c r="N4697" i="2"/>
  <c r="B4697" i="2"/>
  <c r="N4696" i="2"/>
  <c r="B4696" i="2"/>
  <c r="N4695" i="2"/>
  <c r="B4695" i="2"/>
  <c r="N4694" i="2"/>
  <c r="B4694" i="2"/>
  <c r="N4693" i="2"/>
  <c r="B4693" i="2"/>
  <c r="N4692" i="2"/>
  <c r="B4692" i="2"/>
  <c r="N4691" i="2"/>
  <c r="B4691" i="2"/>
  <c r="N4690" i="2"/>
  <c r="B4690" i="2"/>
  <c r="N4689" i="2"/>
  <c r="B4689" i="2"/>
  <c r="N4688" i="2"/>
  <c r="B4688" i="2"/>
  <c r="N4687" i="2"/>
  <c r="B4687" i="2"/>
  <c r="N4686" i="2"/>
  <c r="B4686" i="2"/>
  <c r="N4685" i="2"/>
  <c r="B4685" i="2"/>
  <c r="N4684" i="2"/>
  <c r="B4684" i="2"/>
  <c r="N4683" i="2"/>
  <c r="B4683" i="2"/>
  <c r="N4682" i="2"/>
  <c r="B4682" i="2"/>
  <c r="N4681" i="2"/>
  <c r="B4681" i="2"/>
  <c r="N4680" i="2"/>
  <c r="B4680" i="2"/>
  <c r="N4679" i="2"/>
  <c r="B4679" i="2"/>
  <c r="N4678" i="2"/>
  <c r="B4678" i="2"/>
  <c r="N4677" i="2"/>
  <c r="B4677" i="2"/>
  <c r="N4676" i="2"/>
  <c r="B4676" i="2"/>
  <c r="N4675" i="2"/>
  <c r="B4675" i="2"/>
  <c r="N4674" i="2"/>
  <c r="B4674" i="2"/>
  <c r="N4673" i="2"/>
  <c r="B4673" i="2"/>
  <c r="N4672" i="2"/>
  <c r="B4672" i="2"/>
  <c r="N4671" i="2"/>
  <c r="B4671" i="2"/>
  <c r="N4670" i="2"/>
  <c r="B4670" i="2"/>
  <c r="N4669" i="2"/>
  <c r="B4669" i="2"/>
  <c r="N4668" i="2"/>
  <c r="B4668" i="2"/>
  <c r="N4667" i="2"/>
  <c r="B4667" i="2"/>
  <c r="N4666" i="2"/>
  <c r="B4666" i="2"/>
  <c r="N4665" i="2"/>
  <c r="B4665" i="2"/>
  <c r="N4664" i="2"/>
  <c r="B4664" i="2"/>
  <c r="N4663" i="2"/>
  <c r="B4663" i="2"/>
  <c r="N4662" i="2"/>
  <c r="B4662" i="2"/>
  <c r="N4661" i="2"/>
  <c r="B4661" i="2"/>
  <c r="N4660" i="2"/>
  <c r="B4660" i="2"/>
  <c r="N4659" i="2"/>
  <c r="B4659" i="2"/>
  <c r="N4658" i="2"/>
  <c r="B4658" i="2"/>
  <c r="N4657" i="2"/>
  <c r="B4657" i="2"/>
  <c r="N4656" i="2"/>
  <c r="B4656" i="2"/>
  <c r="N4655" i="2"/>
  <c r="B4655" i="2"/>
  <c r="N4654" i="2"/>
  <c r="B4654" i="2"/>
  <c r="N4653" i="2"/>
  <c r="B4653" i="2"/>
  <c r="N4652" i="2"/>
  <c r="B4652" i="2"/>
  <c r="N4651" i="2"/>
  <c r="B4651" i="2"/>
  <c r="N4650" i="2"/>
  <c r="B4650" i="2"/>
  <c r="N4649" i="2"/>
  <c r="B4649" i="2"/>
  <c r="N4648" i="2"/>
  <c r="B4648" i="2"/>
  <c r="N4647" i="2"/>
  <c r="B4647" i="2"/>
  <c r="N4646" i="2"/>
  <c r="B4646" i="2"/>
  <c r="N4645" i="2"/>
  <c r="B4645" i="2"/>
  <c r="N4644" i="2"/>
  <c r="B4644" i="2"/>
  <c r="N4643" i="2"/>
  <c r="B4643" i="2"/>
  <c r="N4642" i="2"/>
  <c r="B4642" i="2"/>
  <c r="N4641" i="2"/>
  <c r="B4641" i="2"/>
  <c r="N4640" i="2"/>
  <c r="B4640" i="2"/>
  <c r="N4639" i="2"/>
  <c r="B4639" i="2"/>
  <c r="N4638" i="2"/>
  <c r="B4638" i="2"/>
  <c r="N4637" i="2"/>
  <c r="B4637" i="2"/>
  <c r="N4636" i="2"/>
  <c r="B4636" i="2"/>
  <c r="N4635" i="2"/>
  <c r="B4635" i="2"/>
  <c r="N4634" i="2"/>
  <c r="B4634" i="2"/>
  <c r="N4633" i="2"/>
  <c r="B4633" i="2"/>
  <c r="N4632" i="2"/>
  <c r="B4632" i="2"/>
  <c r="N4631" i="2"/>
  <c r="B4631" i="2"/>
  <c r="N4630" i="2"/>
  <c r="B4630" i="2"/>
  <c r="N4629" i="2"/>
  <c r="B4629" i="2"/>
  <c r="N4628" i="2"/>
  <c r="B4628" i="2"/>
  <c r="N4627" i="2"/>
  <c r="B4627" i="2"/>
  <c r="N4626" i="2"/>
  <c r="B4626" i="2"/>
  <c r="N4625" i="2"/>
  <c r="B4625" i="2"/>
  <c r="N4624" i="2"/>
  <c r="B4624" i="2"/>
  <c r="N4623" i="2"/>
  <c r="B4623" i="2"/>
  <c r="N4622" i="2"/>
  <c r="B4622" i="2"/>
  <c r="N4621" i="2"/>
  <c r="B4621" i="2"/>
  <c r="N4620" i="2"/>
  <c r="B4620" i="2"/>
  <c r="N4619" i="2"/>
  <c r="B4619" i="2"/>
  <c r="N4618" i="2"/>
  <c r="B4618" i="2"/>
  <c r="N4617" i="2"/>
  <c r="B4617" i="2"/>
  <c r="N4616" i="2"/>
  <c r="B4616" i="2"/>
  <c r="N4615" i="2"/>
  <c r="B4615" i="2"/>
  <c r="N4614" i="2"/>
  <c r="B4614" i="2"/>
  <c r="N4613" i="2"/>
  <c r="B4613" i="2"/>
  <c r="N4612" i="2"/>
  <c r="B4612" i="2"/>
  <c r="N4611" i="2"/>
  <c r="B4611" i="2"/>
  <c r="N4610" i="2"/>
  <c r="B4610" i="2"/>
  <c r="N4609" i="2"/>
  <c r="B4609" i="2"/>
  <c r="N4608" i="2"/>
  <c r="B4608" i="2"/>
  <c r="N4607" i="2"/>
  <c r="B4607" i="2"/>
  <c r="N4606" i="2"/>
  <c r="B4606" i="2"/>
  <c r="N4605" i="2"/>
  <c r="B4605" i="2"/>
  <c r="N4604" i="2"/>
  <c r="B4604" i="2"/>
  <c r="N4603" i="2"/>
  <c r="B4603" i="2"/>
  <c r="N4602" i="2"/>
  <c r="B4602" i="2"/>
  <c r="N4601" i="2"/>
  <c r="B4601" i="2"/>
  <c r="N4600" i="2"/>
  <c r="B4600" i="2"/>
  <c r="N4599" i="2"/>
  <c r="B4599" i="2"/>
  <c r="N4598" i="2"/>
  <c r="B4598" i="2"/>
  <c r="N4597" i="2"/>
  <c r="B4597" i="2"/>
  <c r="N4596" i="2"/>
  <c r="B4596" i="2"/>
  <c r="N4595" i="2"/>
  <c r="B4595" i="2"/>
  <c r="N4594" i="2"/>
  <c r="B4594" i="2"/>
  <c r="N4593" i="2"/>
  <c r="B4593" i="2"/>
  <c r="N4592" i="2"/>
  <c r="B4592" i="2"/>
  <c r="N4591" i="2"/>
  <c r="B4591" i="2"/>
  <c r="N4590" i="2"/>
  <c r="B4590" i="2"/>
  <c r="N4589" i="2"/>
  <c r="B4589" i="2"/>
  <c r="N4588" i="2"/>
  <c r="B4588" i="2"/>
  <c r="N4587" i="2"/>
  <c r="B4587" i="2"/>
  <c r="N4586" i="2"/>
  <c r="B4586" i="2"/>
  <c r="N4585" i="2"/>
  <c r="B4585" i="2"/>
  <c r="N4584" i="2"/>
  <c r="B4584" i="2"/>
  <c r="N4583" i="2"/>
  <c r="B4583" i="2"/>
  <c r="N4582" i="2"/>
  <c r="B4582" i="2"/>
  <c r="N4581" i="2"/>
  <c r="B4581" i="2"/>
  <c r="N4580" i="2"/>
  <c r="B4580" i="2"/>
  <c r="N4579" i="2"/>
  <c r="B4579" i="2"/>
  <c r="N4578" i="2"/>
  <c r="B4578" i="2"/>
  <c r="N4577" i="2"/>
  <c r="B4577" i="2"/>
  <c r="N4576" i="2"/>
  <c r="B4576" i="2"/>
  <c r="N4575" i="2"/>
  <c r="B4575" i="2"/>
  <c r="N4574" i="2"/>
  <c r="B4574" i="2"/>
  <c r="N4573" i="2"/>
  <c r="B4573" i="2"/>
  <c r="N4572" i="2"/>
  <c r="B4572" i="2"/>
  <c r="N4571" i="2"/>
  <c r="B4571" i="2"/>
  <c r="N4570" i="2"/>
  <c r="B4570" i="2"/>
  <c r="N4569" i="2"/>
  <c r="B4569" i="2"/>
  <c r="N4568" i="2"/>
  <c r="B4568" i="2"/>
  <c r="N4567" i="2"/>
  <c r="B4567" i="2"/>
  <c r="N4566" i="2"/>
  <c r="B4566" i="2"/>
  <c r="N4565" i="2"/>
  <c r="B4565" i="2"/>
  <c r="N4564" i="2"/>
  <c r="B4564" i="2"/>
  <c r="N4563" i="2"/>
  <c r="B4563" i="2"/>
  <c r="N4562" i="2"/>
  <c r="B4562" i="2"/>
  <c r="N4561" i="2"/>
  <c r="B4561" i="2"/>
  <c r="N4560" i="2"/>
  <c r="B4560" i="2"/>
  <c r="N4559" i="2"/>
  <c r="B4559" i="2"/>
  <c r="N4558" i="2"/>
  <c r="B4558" i="2"/>
  <c r="N4557" i="2"/>
  <c r="B4557" i="2"/>
  <c r="N4556" i="2"/>
  <c r="B4556" i="2"/>
  <c r="N4555" i="2"/>
  <c r="B4555" i="2"/>
  <c r="N4554" i="2"/>
  <c r="B4554" i="2"/>
  <c r="N4553" i="2"/>
  <c r="B4553" i="2"/>
  <c r="N4552" i="2"/>
  <c r="B4552" i="2"/>
  <c r="N4551" i="2"/>
  <c r="B4551" i="2"/>
  <c r="N4550" i="2"/>
  <c r="B4550" i="2"/>
  <c r="N4549" i="2"/>
  <c r="B4549" i="2"/>
  <c r="N4548" i="2"/>
  <c r="B4548" i="2"/>
  <c r="N4547" i="2"/>
  <c r="B4547" i="2"/>
  <c r="N4546" i="2"/>
  <c r="B4546" i="2"/>
  <c r="N4545" i="2"/>
  <c r="B4545" i="2"/>
  <c r="N4544" i="2"/>
  <c r="B4544" i="2"/>
  <c r="N4543" i="2"/>
  <c r="B4543" i="2"/>
  <c r="N4542" i="2"/>
  <c r="B4542" i="2"/>
  <c r="N4541" i="2"/>
  <c r="B4541" i="2"/>
  <c r="N4540" i="2"/>
  <c r="B4540" i="2"/>
  <c r="N4539" i="2"/>
  <c r="B4539" i="2"/>
  <c r="N4538" i="2"/>
  <c r="B4538" i="2"/>
  <c r="N4537" i="2"/>
  <c r="B4537" i="2"/>
  <c r="N4536" i="2"/>
  <c r="B4536" i="2"/>
  <c r="N4535" i="2"/>
  <c r="B4535" i="2"/>
  <c r="N4534" i="2"/>
  <c r="B4534" i="2"/>
  <c r="N4533" i="2"/>
  <c r="B4533" i="2"/>
  <c r="N4532" i="2"/>
  <c r="B4532" i="2"/>
  <c r="N4531" i="2"/>
  <c r="B4531" i="2"/>
  <c r="N4530" i="2"/>
  <c r="B4530" i="2"/>
  <c r="N4529" i="2"/>
  <c r="B4529" i="2"/>
  <c r="N4528" i="2"/>
  <c r="B4528" i="2"/>
  <c r="N4527" i="2"/>
  <c r="B4527" i="2"/>
  <c r="N4526" i="2"/>
  <c r="B4526" i="2"/>
  <c r="N4525" i="2"/>
  <c r="B4525" i="2"/>
  <c r="N4524" i="2"/>
  <c r="B4524" i="2"/>
  <c r="N4523" i="2"/>
  <c r="B4523" i="2"/>
  <c r="N4522" i="2"/>
  <c r="B4522" i="2"/>
  <c r="N4521" i="2"/>
  <c r="B4521" i="2"/>
  <c r="N4520" i="2"/>
  <c r="B4520" i="2"/>
  <c r="N4519" i="2"/>
  <c r="B4519" i="2"/>
  <c r="N4518" i="2"/>
  <c r="B4518" i="2"/>
  <c r="N4517" i="2"/>
  <c r="B4517" i="2"/>
  <c r="N4516" i="2"/>
  <c r="B4516" i="2"/>
  <c r="N4515" i="2"/>
  <c r="B4515" i="2"/>
  <c r="N4514" i="2"/>
  <c r="B4514" i="2"/>
  <c r="N4513" i="2"/>
  <c r="B4513" i="2"/>
  <c r="N4512" i="2"/>
  <c r="B4512" i="2"/>
  <c r="N4511" i="2"/>
  <c r="B4511" i="2"/>
  <c r="N4510" i="2"/>
  <c r="B4510" i="2"/>
  <c r="N4509" i="2"/>
  <c r="B4509" i="2"/>
  <c r="N4508" i="2"/>
  <c r="B4508" i="2"/>
  <c r="N4507" i="2"/>
  <c r="B4507" i="2"/>
  <c r="N4506" i="2"/>
  <c r="B4506" i="2"/>
  <c r="N4505" i="2"/>
  <c r="B4505" i="2"/>
  <c r="N4504" i="2"/>
  <c r="B4504" i="2"/>
  <c r="N4503" i="2"/>
  <c r="B4503" i="2"/>
  <c r="N4502" i="2"/>
  <c r="B4502" i="2"/>
  <c r="N4501" i="2"/>
  <c r="B4501" i="2"/>
  <c r="N4500" i="2"/>
  <c r="B4500" i="2"/>
  <c r="N4499" i="2"/>
  <c r="B4499" i="2"/>
  <c r="N4498" i="2"/>
  <c r="B4498" i="2"/>
  <c r="N4497" i="2"/>
  <c r="B4497" i="2"/>
  <c r="N4496" i="2"/>
  <c r="B4496" i="2"/>
  <c r="N4495" i="2"/>
  <c r="B4495" i="2"/>
  <c r="N4494" i="2"/>
  <c r="B4494" i="2"/>
  <c r="N4493" i="2"/>
  <c r="B4493" i="2"/>
  <c r="N4492" i="2"/>
  <c r="B4492" i="2"/>
  <c r="N4491" i="2"/>
  <c r="B4491" i="2"/>
  <c r="N4490" i="2"/>
  <c r="B4490" i="2"/>
  <c r="N4489" i="2"/>
  <c r="B4489" i="2"/>
  <c r="N4488" i="2"/>
  <c r="B4488" i="2"/>
  <c r="N4487" i="2"/>
  <c r="B4487" i="2"/>
  <c r="N4486" i="2"/>
  <c r="B4486" i="2"/>
  <c r="N4485" i="2"/>
  <c r="B4485" i="2"/>
  <c r="N4484" i="2"/>
  <c r="B4484" i="2"/>
  <c r="N4483" i="2"/>
  <c r="B4483" i="2"/>
  <c r="N4482" i="2"/>
  <c r="B4482" i="2"/>
  <c r="N4481" i="2"/>
  <c r="B4481" i="2"/>
  <c r="N4480" i="2"/>
  <c r="B4480" i="2"/>
  <c r="N4479" i="2"/>
  <c r="B4479" i="2"/>
  <c r="N4478" i="2"/>
  <c r="B4478" i="2"/>
  <c r="N4477" i="2"/>
  <c r="B4477" i="2"/>
  <c r="N4476" i="2"/>
  <c r="B4476" i="2"/>
  <c r="N4475" i="2"/>
  <c r="B4475" i="2"/>
  <c r="N4474" i="2"/>
  <c r="B4474" i="2"/>
  <c r="N4473" i="2"/>
  <c r="B4473" i="2"/>
  <c r="N4472" i="2"/>
  <c r="B4472" i="2"/>
  <c r="N4471" i="2"/>
  <c r="B4471" i="2"/>
  <c r="N4470" i="2"/>
  <c r="B4470" i="2"/>
  <c r="N4469" i="2"/>
  <c r="B4469" i="2"/>
  <c r="N4468" i="2"/>
  <c r="B4468" i="2"/>
  <c r="N4467" i="2"/>
  <c r="B4467" i="2"/>
  <c r="N4466" i="2"/>
  <c r="B4466" i="2"/>
  <c r="N4465" i="2"/>
  <c r="B4465" i="2"/>
  <c r="N4464" i="2"/>
  <c r="B4464" i="2"/>
  <c r="N4463" i="2"/>
  <c r="B4463" i="2"/>
  <c r="N4462" i="2"/>
  <c r="B4462" i="2"/>
  <c r="N4461" i="2"/>
  <c r="B4461" i="2"/>
  <c r="N4460" i="2"/>
  <c r="B4460" i="2"/>
  <c r="N4459" i="2"/>
  <c r="B4459" i="2"/>
  <c r="N4458" i="2"/>
  <c r="B4458" i="2"/>
  <c r="N4457" i="2"/>
  <c r="B4457" i="2"/>
  <c r="N4456" i="2"/>
  <c r="B4456" i="2"/>
  <c r="N4455" i="2"/>
  <c r="B4455" i="2"/>
  <c r="N4454" i="2"/>
  <c r="B4454" i="2"/>
  <c r="N4453" i="2"/>
  <c r="B4453" i="2"/>
  <c r="N4452" i="2"/>
  <c r="B4452" i="2"/>
  <c r="N4451" i="2"/>
  <c r="B4451" i="2"/>
  <c r="N4450" i="2"/>
  <c r="B4450" i="2"/>
  <c r="N4449" i="2"/>
  <c r="B4449" i="2"/>
  <c r="N4448" i="2"/>
  <c r="B4448" i="2"/>
  <c r="N4447" i="2"/>
  <c r="B4447" i="2"/>
  <c r="N4446" i="2"/>
  <c r="B4446" i="2"/>
  <c r="N4445" i="2"/>
  <c r="B4445" i="2"/>
  <c r="N4444" i="2"/>
  <c r="B4444" i="2"/>
  <c r="N4443" i="2"/>
  <c r="B4443" i="2"/>
  <c r="N4442" i="2"/>
  <c r="B4442" i="2"/>
  <c r="N4441" i="2"/>
  <c r="B4441" i="2"/>
  <c r="N4440" i="2"/>
  <c r="B4440" i="2"/>
  <c r="N4439" i="2"/>
  <c r="B4439" i="2"/>
  <c r="N4438" i="2"/>
  <c r="B4438" i="2"/>
  <c r="N4437" i="2"/>
  <c r="B4437" i="2"/>
  <c r="N4436" i="2"/>
  <c r="B4436" i="2"/>
  <c r="N4435" i="2"/>
  <c r="B4435" i="2"/>
  <c r="N4434" i="2"/>
  <c r="B4434" i="2"/>
  <c r="N4433" i="2"/>
  <c r="B4433" i="2"/>
  <c r="N4432" i="2"/>
  <c r="B4432" i="2"/>
  <c r="N4431" i="2"/>
  <c r="B4431" i="2"/>
  <c r="N4430" i="2"/>
  <c r="B4430" i="2"/>
  <c r="N4429" i="2"/>
  <c r="B4429" i="2"/>
  <c r="N4428" i="2"/>
  <c r="B4428" i="2"/>
  <c r="N4427" i="2"/>
  <c r="B4427" i="2"/>
  <c r="N4426" i="2"/>
  <c r="B4426" i="2"/>
  <c r="N4425" i="2"/>
  <c r="B4425" i="2"/>
  <c r="N4424" i="2"/>
  <c r="B4424" i="2"/>
  <c r="N4423" i="2"/>
  <c r="B4423" i="2"/>
  <c r="N4422" i="2"/>
  <c r="B4422" i="2"/>
  <c r="N4421" i="2"/>
  <c r="B4421" i="2"/>
  <c r="N4420" i="2"/>
  <c r="B4420" i="2"/>
  <c r="N4419" i="2"/>
  <c r="B4419" i="2"/>
  <c r="N4418" i="2"/>
  <c r="B4418" i="2"/>
  <c r="N4417" i="2"/>
  <c r="B4417" i="2"/>
  <c r="N4416" i="2"/>
  <c r="B4416" i="2"/>
  <c r="N4415" i="2"/>
  <c r="B4415" i="2"/>
  <c r="N4414" i="2"/>
  <c r="B4414" i="2"/>
  <c r="N4413" i="2"/>
  <c r="B4413" i="2"/>
  <c r="N4412" i="2"/>
  <c r="B4412" i="2"/>
  <c r="N4411" i="2"/>
  <c r="B4411" i="2"/>
  <c r="N4410" i="2"/>
  <c r="B4410" i="2"/>
  <c r="N4409" i="2"/>
  <c r="B4409" i="2"/>
  <c r="N4408" i="2"/>
  <c r="B4408" i="2"/>
  <c r="N4407" i="2"/>
  <c r="B4407" i="2"/>
  <c r="N4406" i="2"/>
  <c r="B4406" i="2"/>
  <c r="N4405" i="2"/>
  <c r="B4405" i="2"/>
  <c r="N4404" i="2"/>
  <c r="B4404" i="2"/>
  <c r="N4403" i="2"/>
  <c r="B4403" i="2"/>
  <c r="N4402" i="2"/>
  <c r="B4402" i="2"/>
  <c r="N4401" i="2"/>
  <c r="B4401" i="2"/>
  <c r="N4400" i="2"/>
  <c r="B4400" i="2"/>
  <c r="N4399" i="2"/>
  <c r="B4399" i="2"/>
  <c r="N4398" i="2"/>
  <c r="B4398" i="2"/>
  <c r="N4397" i="2"/>
  <c r="B4397" i="2"/>
  <c r="N4396" i="2"/>
  <c r="B4396" i="2"/>
  <c r="N4395" i="2"/>
  <c r="B4395" i="2"/>
  <c r="N4394" i="2"/>
  <c r="B4394" i="2"/>
  <c r="N4393" i="2"/>
  <c r="B4393" i="2"/>
  <c r="N4392" i="2"/>
  <c r="B4392" i="2"/>
  <c r="N4391" i="2"/>
  <c r="B4391" i="2"/>
  <c r="N4390" i="2"/>
  <c r="B4390" i="2"/>
  <c r="N4389" i="2"/>
  <c r="B4389" i="2"/>
  <c r="N4388" i="2"/>
  <c r="B4388" i="2"/>
  <c r="N4387" i="2"/>
  <c r="B4387" i="2"/>
  <c r="N4386" i="2"/>
  <c r="B4386" i="2"/>
  <c r="N4385" i="2"/>
  <c r="B4385" i="2"/>
  <c r="N4384" i="2"/>
  <c r="B4384" i="2"/>
  <c r="N4383" i="2"/>
  <c r="B4383" i="2"/>
  <c r="N4382" i="2"/>
  <c r="B4382" i="2"/>
  <c r="N4381" i="2"/>
  <c r="B4381" i="2"/>
  <c r="N4380" i="2"/>
  <c r="B4380" i="2"/>
  <c r="N4379" i="2"/>
  <c r="B4379" i="2"/>
  <c r="N4378" i="2"/>
  <c r="B4378" i="2"/>
  <c r="N4377" i="2"/>
  <c r="B4377" i="2"/>
  <c r="N4376" i="2"/>
  <c r="B4376" i="2"/>
  <c r="N4375" i="2"/>
  <c r="B4375" i="2"/>
  <c r="N4374" i="2"/>
  <c r="B4374" i="2"/>
  <c r="N4373" i="2"/>
  <c r="B4373" i="2"/>
  <c r="N4372" i="2"/>
  <c r="B4372" i="2"/>
  <c r="N4371" i="2"/>
  <c r="B4371" i="2"/>
  <c r="N4370" i="2"/>
  <c r="B4370" i="2"/>
  <c r="N4369" i="2"/>
  <c r="B4369" i="2"/>
  <c r="N4368" i="2"/>
  <c r="B4368" i="2"/>
  <c r="N4367" i="2"/>
  <c r="B4367" i="2"/>
  <c r="N4366" i="2"/>
  <c r="B4366" i="2"/>
  <c r="N4365" i="2"/>
  <c r="B4365" i="2"/>
  <c r="N4364" i="2"/>
  <c r="B4364" i="2"/>
  <c r="N4363" i="2"/>
  <c r="B4363" i="2"/>
  <c r="N4362" i="2"/>
  <c r="B4362" i="2"/>
  <c r="N4361" i="2"/>
  <c r="B4361" i="2"/>
  <c r="N4360" i="2"/>
  <c r="B4360" i="2"/>
  <c r="N4359" i="2"/>
  <c r="B4359" i="2"/>
  <c r="N4358" i="2"/>
  <c r="B4358" i="2"/>
  <c r="N4357" i="2"/>
  <c r="B4357" i="2"/>
  <c r="N4356" i="2"/>
  <c r="B4356" i="2"/>
  <c r="N4355" i="2"/>
  <c r="B4355" i="2"/>
  <c r="N4354" i="2"/>
  <c r="B4354" i="2"/>
  <c r="N4353" i="2"/>
  <c r="B4353" i="2"/>
  <c r="N4352" i="2"/>
  <c r="B4352" i="2"/>
  <c r="N4351" i="2"/>
  <c r="B4351" i="2"/>
  <c r="N4350" i="2"/>
  <c r="B4350" i="2"/>
  <c r="N4349" i="2"/>
  <c r="B4349" i="2"/>
  <c r="N4348" i="2"/>
  <c r="B4348" i="2"/>
  <c r="N4347" i="2"/>
  <c r="B4347" i="2"/>
  <c r="N4346" i="2"/>
  <c r="B4346" i="2"/>
  <c r="N4345" i="2"/>
  <c r="B4345" i="2"/>
  <c r="N4344" i="2"/>
  <c r="B4344" i="2"/>
  <c r="N4343" i="2"/>
  <c r="B4343" i="2"/>
  <c r="N4342" i="2"/>
  <c r="B4342" i="2"/>
  <c r="N4341" i="2"/>
  <c r="B4341" i="2"/>
  <c r="N4340" i="2"/>
  <c r="B4340" i="2"/>
  <c r="N4339" i="2"/>
  <c r="B4339" i="2"/>
  <c r="N4338" i="2"/>
  <c r="B4338" i="2"/>
  <c r="N4337" i="2"/>
  <c r="B4337" i="2"/>
  <c r="N4336" i="2"/>
  <c r="B4336" i="2"/>
  <c r="N4335" i="2"/>
  <c r="B4335" i="2"/>
  <c r="N4334" i="2"/>
  <c r="B4334" i="2"/>
  <c r="N4333" i="2"/>
  <c r="B4333" i="2"/>
  <c r="N4332" i="2"/>
  <c r="B4332" i="2"/>
  <c r="N4331" i="2"/>
  <c r="B4331" i="2"/>
  <c r="N4330" i="2"/>
  <c r="B4330" i="2"/>
  <c r="N4329" i="2"/>
  <c r="B4329" i="2"/>
  <c r="N4328" i="2"/>
  <c r="B4328" i="2"/>
  <c r="N4327" i="2"/>
  <c r="B4327" i="2"/>
  <c r="N4326" i="2"/>
  <c r="B4326" i="2"/>
  <c r="N4325" i="2"/>
  <c r="B4325" i="2"/>
  <c r="N4324" i="2"/>
  <c r="B4324" i="2"/>
  <c r="N4323" i="2"/>
  <c r="B4323" i="2"/>
  <c r="N4322" i="2"/>
  <c r="B4322" i="2"/>
  <c r="N4321" i="2"/>
  <c r="B4321" i="2"/>
  <c r="N4320" i="2"/>
  <c r="B4320" i="2"/>
  <c r="N4319" i="2"/>
  <c r="B4319" i="2"/>
  <c r="N4318" i="2"/>
  <c r="B4318" i="2"/>
  <c r="N4317" i="2"/>
  <c r="B4317" i="2"/>
  <c r="N4316" i="2"/>
  <c r="B4316" i="2"/>
  <c r="N4315" i="2"/>
  <c r="B4315" i="2"/>
  <c r="N4314" i="2"/>
  <c r="B4314" i="2"/>
  <c r="N4313" i="2"/>
  <c r="B4313" i="2"/>
  <c r="N4312" i="2"/>
  <c r="B4312" i="2"/>
  <c r="N4311" i="2"/>
  <c r="B4311" i="2"/>
  <c r="N4310" i="2"/>
  <c r="B4310" i="2"/>
  <c r="N4309" i="2"/>
  <c r="B4309" i="2"/>
  <c r="N4308" i="2"/>
  <c r="B4308" i="2"/>
  <c r="N4307" i="2"/>
  <c r="B4307" i="2"/>
  <c r="N4306" i="2"/>
  <c r="B4306" i="2"/>
  <c r="N4305" i="2"/>
  <c r="B4305" i="2"/>
  <c r="N4304" i="2"/>
  <c r="B4304" i="2"/>
  <c r="N4303" i="2"/>
  <c r="B4303" i="2"/>
  <c r="N4302" i="2"/>
  <c r="B4302" i="2"/>
  <c r="N4301" i="2"/>
  <c r="B4301" i="2"/>
  <c r="N4300" i="2"/>
  <c r="B4300" i="2"/>
  <c r="N4299" i="2"/>
  <c r="B4299" i="2"/>
  <c r="N4298" i="2"/>
  <c r="B4298" i="2"/>
  <c r="N4297" i="2"/>
  <c r="B4297" i="2"/>
  <c r="N4296" i="2"/>
  <c r="B4296" i="2"/>
  <c r="N4295" i="2"/>
  <c r="B4295" i="2"/>
  <c r="N4294" i="2"/>
  <c r="B4294" i="2"/>
  <c r="N4293" i="2"/>
  <c r="B4293" i="2"/>
  <c r="N4292" i="2"/>
  <c r="B4292" i="2"/>
  <c r="N4291" i="2"/>
  <c r="B4291" i="2"/>
  <c r="N4290" i="2"/>
  <c r="B4290" i="2"/>
  <c r="N4289" i="2"/>
  <c r="B4289" i="2"/>
  <c r="N4288" i="2"/>
  <c r="B4288" i="2"/>
  <c r="N4287" i="2"/>
  <c r="B4287" i="2"/>
  <c r="N4286" i="2"/>
  <c r="B4286" i="2"/>
  <c r="N4285" i="2"/>
  <c r="B4285" i="2"/>
  <c r="N4284" i="2"/>
  <c r="B4284" i="2"/>
  <c r="N4283" i="2"/>
  <c r="B4283" i="2"/>
  <c r="N4282" i="2"/>
  <c r="B4282" i="2"/>
  <c r="N4281" i="2"/>
  <c r="B4281" i="2"/>
  <c r="N4280" i="2"/>
  <c r="B4280" i="2"/>
  <c r="N4279" i="2"/>
  <c r="B4279" i="2"/>
  <c r="N4278" i="2"/>
  <c r="B4278" i="2"/>
  <c r="N4277" i="2"/>
  <c r="B4277" i="2"/>
  <c r="N4276" i="2"/>
  <c r="B4276" i="2"/>
  <c r="N4275" i="2"/>
  <c r="B4275" i="2"/>
  <c r="N4274" i="2"/>
  <c r="B4274" i="2"/>
  <c r="N4273" i="2"/>
  <c r="B4273" i="2"/>
  <c r="N4272" i="2"/>
  <c r="B4272" i="2"/>
  <c r="N4271" i="2"/>
  <c r="B4271" i="2"/>
  <c r="N4270" i="2"/>
  <c r="B4270" i="2"/>
  <c r="N4269" i="2"/>
  <c r="B4269" i="2"/>
  <c r="N4268" i="2"/>
  <c r="B4268" i="2"/>
  <c r="N4267" i="2"/>
  <c r="B4267" i="2"/>
  <c r="N4266" i="2"/>
  <c r="B4266" i="2"/>
  <c r="N4265" i="2"/>
  <c r="B4265" i="2"/>
  <c r="N4264" i="2"/>
  <c r="B4264" i="2"/>
  <c r="N4263" i="2"/>
  <c r="B4263" i="2"/>
  <c r="N4262" i="2"/>
  <c r="B4262" i="2"/>
  <c r="N4261" i="2"/>
  <c r="B4261" i="2"/>
  <c r="N4260" i="2"/>
  <c r="B4260" i="2"/>
  <c r="N4259" i="2"/>
  <c r="B4259" i="2"/>
  <c r="N4258" i="2"/>
  <c r="B4258" i="2"/>
  <c r="N4257" i="2"/>
  <c r="B4257" i="2"/>
  <c r="N4256" i="2"/>
  <c r="B4256" i="2"/>
  <c r="N4255" i="2"/>
  <c r="B4255" i="2"/>
  <c r="N4254" i="2"/>
  <c r="B4254" i="2"/>
  <c r="N4253" i="2"/>
  <c r="B4253" i="2"/>
  <c r="N4252" i="2"/>
  <c r="B4252" i="2"/>
  <c r="N4251" i="2"/>
  <c r="B4251" i="2"/>
  <c r="N4250" i="2"/>
  <c r="B4250" i="2"/>
  <c r="N4249" i="2"/>
  <c r="B4249" i="2"/>
  <c r="N4248" i="2"/>
  <c r="B4248" i="2"/>
  <c r="N4247" i="2"/>
  <c r="B4247" i="2"/>
  <c r="N4246" i="2"/>
  <c r="B4246" i="2"/>
  <c r="N4245" i="2"/>
  <c r="B4245" i="2"/>
  <c r="N4244" i="2"/>
  <c r="B4244" i="2"/>
  <c r="N4243" i="2"/>
  <c r="B4243" i="2"/>
  <c r="N4242" i="2"/>
  <c r="B4242" i="2"/>
  <c r="N4241" i="2"/>
  <c r="B4241" i="2"/>
  <c r="N4240" i="2"/>
  <c r="B4240" i="2"/>
  <c r="N4239" i="2"/>
  <c r="B4239" i="2"/>
  <c r="N4238" i="2"/>
  <c r="B4238" i="2"/>
  <c r="N4237" i="2"/>
  <c r="B4237" i="2"/>
  <c r="N4236" i="2"/>
  <c r="B4236" i="2"/>
  <c r="N4235" i="2"/>
  <c r="B4235" i="2"/>
  <c r="N4234" i="2"/>
  <c r="B4234" i="2"/>
  <c r="N4233" i="2"/>
  <c r="B4233" i="2"/>
  <c r="N4232" i="2"/>
  <c r="B4232" i="2"/>
  <c r="N4231" i="2"/>
  <c r="B4231" i="2"/>
  <c r="N4230" i="2"/>
  <c r="B4230" i="2"/>
  <c r="N4229" i="2"/>
  <c r="B4229" i="2"/>
  <c r="N4228" i="2"/>
  <c r="B4228" i="2"/>
  <c r="N4227" i="2"/>
  <c r="B4227" i="2"/>
  <c r="N4226" i="2"/>
  <c r="B4226" i="2"/>
  <c r="N4225" i="2"/>
  <c r="B4225" i="2"/>
  <c r="N4224" i="2"/>
  <c r="B4224" i="2"/>
  <c r="N4223" i="2"/>
  <c r="B4223" i="2"/>
  <c r="N4222" i="2"/>
  <c r="B4222" i="2"/>
  <c r="N4221" i="2"/>
  <c r="B4221" i="2"/>
  <c r="N4220" i="2"/>
  <c r="B4220" i="2"/>
  <c r="N4219" i="2"/>
  <c r="B4219" i="2"/>
  <c r="N4218" i="2"/>
  <c r="B4218" i="2"/>
  <c r="N4217" i="2"/>
  <c r="B4217" i="2"/>
  <c r="N4216" i="2"/>
  <c r="B4216" i="2"/>
  <c r="N4215" i="2"/>
  <c r="B4215" i="2"/>
  <c r="N4214" i="2"/>
  <c r="B4214" i="2"/>
  <c r="N4213" i="2"/>
  <c r="B4213" i="2"/>
  <c r="N4212" i="2"/>
  <c r="B4212" i="2"/>
  <c r="N4211" i="2"/>
  <c r="B4211" i="2"/>
  <c r="N4210" i="2"/>
  <c r="B4210" i="2"/>
  <c r="N4209" i="2"/>
  <c r="B4209" i="2"/>
  <c r="N4208" i="2"/>
  <c r="B4208" i="2"/>
  <c r="N4207" i="2"/>
  <c r="B4207" i="2"/>
  <c r="N4206" i="2"/>
  <c r="B4206" i="2"/>
  <c r="N4205" i="2"/>
  <c r="B4205" i="2"/>
  <c r="N4204" i="2"/>
  <c r="B4204" i="2"/>
  <c r="N4203" i="2"/>
  <c r="B4203" i="2"/>
  <c r="N4202" i="2"/>
  <c r="B4202" i="2"/>
  <c r="N4201" i="2"/>
  <c r="B4201" i="2"/>
  <c r="N4200" i="2"/>
  <c r="B4200" i="2"/>
  <c r="N4199" i="2"/>
  <c r="B4199" i="2"/>
  <c r="N4198" i="2"/>
  <c r="B4198" i="2"/>
  <c r="N4197" i="2"/>
  <c r="B4197" i="2"/>
  <c r="N4196" i="2"/>
  <c r="B4196" i="2"/>
  <c r="N4195" i="2"/>
  <c r="B4195" i="2"/>
  <c r="N4194" i="2"/>
  <c r="B4194" i="2"/>
  <c r="N4193" i="2"/>
  <c r="B4193" i="2"/>
  <c r="N4192" i="2"/>
  <c r="B4192" i="2"/>
  <c r="N4191" i="2"/>
  <c r="B4191" i="2"/>
  <c r="N4190" i="2"/>
  <c r="B4190" i="2"/>
  <c r="N4189" i="2"/>
  <c r="B4189" i="2"/>
  <c r="N4188" i="2"/>
  <c r="B4188" i="2"/>
  <c r="N4187" i="2"/>
  <c r="B4187" i="2"/>
  <c r="N4186" i="2"/>
  <c r="B4186" i="2"/>
  <c r="N4185" i="2"/>
  <c r="B4185" i="2"/>
  <c r="N4184" i="2"/>
  <c r="B4184" i="2"/>
  <c r="N4183" i="2"/>
  <c r="B4183" i="2"/>
  <c r="N4182" i="2"/>
  <c r="B4182" i="2"/>
  <c r="N4181" i="2"/>
  <c r="B4181" i="2"/>
  <c r="N4180" i="2"/>
  <c r="B4180" i="2"/>
  <c r="N4179" i="2"/>
  <c r="B4179" i="2"/>
  <c r="N4178" i="2"/>
  <c r="B4178" i="2"/>
  <c r="N4177" i="2"/>
  <c r="B4177" i="2"/>
  <c r="N4176" i="2"/>
  <c r="B4176" i="2"/>
  <c r="N4175" i="2"/>
  <c r="B4175" i="2"/>
  <c r="N4174" i="2"/>
  <c r="B4174" i="2"/>
  <c r="N4173" i="2"/>
  <c r="B4173" i="2"/>
  <c r="N4172" i="2"/>
  <c r="B4172" i="2"/>
  <c r="N4171" i="2"/>
  <c r="B4171" i="2"/>
  <c r="N4170" i="2"/>
  <c r="B4170" i="2"/>
  <c r="N4169" i="2"/>
  <c r="B4169" i="2"/>
  <c r="N4168" i="2"/>
  <c r="B4168" i="2"/>
  <c r="N4167" i="2"/>
  <c r="B4167" i="2"/>
  <c r="N4166" i="2"/>
  <c r="B4166" i="2"/>
  <c r="N4165" i="2"/>
  <c r="B4165" i="2"/>
  <c r="N4164" i="2"/>
  <c r="B4164" i="2"/>
  <c r="N4163" i="2"/>
  <c r="B4163" i="2"/>
  <c r="N4162" i="2"/>
  <c r="B4162" i="2"/>
  <c r="N4161" i="2"/>
  <c r="B4161" i="2"/>
  <c r="N4160" i="2"/>
  <c r="B4160" i="2"/>
  <c r="N4159" i="2"/>
  <c r="B4159" i="2"/>
  <c r="N4158" i="2"/>
  <c r="B4158" i="2"/>
  <c r="N4157" i="2"/>
  <c r="B4157" i="2"/>
  <c r="N4156" i="2"/>
  <c r="B4156" i="2"/>
  <c r="N4155" i="2"/>
  <c r="B4155" i="2"/>
  <c r="N4154" i="2"/>
  <c r="B4154" i="2"/>
  <c r="N4153" i="2"/>
  <c r="B4153" i="2"/>
  <c r="N4152" i="2"/>
  <c r="B4152" i="2"/>
  <c r="N4151" i="2"/>
  <c r="B4151" i="2"/>
  <c r="N4150" i="2"/>
  <c r="B4150" i="2"/>
  <c r="N4149" i="2"/>
  <c r="B4149" i="2"/>
  <c r="N4148" i="2"/>
  <c r="B4148" i="2"/>
  <c r="N4147" i="2"/>
  <c r="B4147" i="2"/>
  <c r="N4146" i="2"/>
  <c r="B4146" i="2"/>
  <c r="N4145" i="2"/>
  <c r="B4145" i="2"/>
  <c r="N4144" i="2"/>
  <c r="B4144" i="2"/>
  <c r="N4143" i="2"/>
  <c r="B4143" i="2"/>
  <c r="N4142" i="2"/>
  <c r="B4142" i="2"/>
  <c r="N4141" i="2"/>
  <c r="B4141" i="2"/>
  <c r="N4140" i="2"/>
  <c r="B4140" i="2"/>
  <c r="N4139" i="2"/>
  <c r="B4139" i="2"/>
  <c r="N4138" i="2"/>
  <c r="B4138" i="2"/>
  <c r="N4137" i="2"/>
  <c r="B4137" i="2"/>
  <c r="N4136" i="2"/>
  <c r="B4136" i="2"/>
  <c r="N4135" i="2"/>
  <c r="B4135" i="2"/>
  <c r="N4134" i="2"/>
  <c r="B4134" i="2"/>
  <c r="N4133" i="2"/>
  <c r="B4133" i="2"/>
  <c r="N4132" i="2"/>
  <c r="B4132" i="2"/>
  <c r="N4131" i="2"/>
  <c r="B4131" i="2"/>
  <c r="N4130" i="2"/>
  <c r="B4130" i="2"/>
  <c r="N4129" i="2"/>
  <c r="B4129" i="2"/>
  <c r="N4128" i="2"/>
  <c r="B4128" i="2"/>
  <c r="N4127" i="2"/>
  <c r="B4127" i="2"/>
  <c r="N4126" i="2"/>
  <c r="B4126" i="2"/>
  <c r="N4125" i="2"/>
  <c r="B4125" i="2"/>
  <c r="N4124" i="2"/>
  <c r="B4124" i="2"/>
  <c r="N4123" i="2"/>
  <c r="B4123" i="2"/>
  <c r="N4122" i="2"/>
  <c r="B4122" i="2"/>
  <c r="N4121" i="2"/>
  <c r="B4121" i="2"/>
  <c r="N4120" i="2"/>
  <c r="B4120" i="2"/>
  <c r="N4119" i="2"/>
  <c r="B4119" i="2"/>
  <c r="N4118" i="2"/>
  <c r="B4118" i="2"/>
  <c r="N4117" i="2"/>
  <c r="B4117" i="2"/>
  <c r="N4116" i="2"/>
  <c r="B4116" i="2"/>
  <c r="N4115" i="2"/>
  <c r="B4115" i="2"/>
  <c r="N4114" i="2"/>
  <c r="B4114" i="2"/>
  <c r="N4113" i="2"/>
  <c r="B4113" i="2"/>
  <c r="N4112" i="2"/>
  <c r="B4112" i="2"/>
  <c r="N4111" i="2"/>
  <c r="B4111" i="2"/>
  <c r="N4110" i="2"/>
  <c r="B4110" i="2"/>
  <c r="N4109" i="2"/>
  <c r="B4109" i="2"/>
  <c r="N4108" i="2"/>
  <c r="B4108" i="2"/>
  <c r="N4107" i="2"/>
  <c r="B4107" i="2"/>
  <c r="N4106" i="2"/>
  <c r="B4106" i="2"/>
  <c r="N4105" i="2"/>
  <c r="B4105" i="2"/>
  <c r="N4104" i="2"/>
  <c r="B4104" i="2"/>
  <c r="N4103" i="2"/>
  <c r="B4103" i="2"/>
  <c r="N4102" i="2"/>
  <c r="B4102" i="2"/>
  <c r="N4101" i="2"/>
  <c r="B4101" i="2"/>
  <c r="N4100" i="2"/>
  <c r="B4100" i="2"/>
  <c r="N4099" i="2"/>
  <c r="B4099" i="2"/>
  <c r="N4098" i="2"/>
  <c r="B4098" i="2"/>
  <c r="N4097" i="2"/>
  <c r="B4097" i="2"/>
  <c r="N4096" i="2"/>
  <c r="B4096" i="2"/>
  <c r="N4095" i="2"/>
  <c r="B4095" i="2"/>
  <c r="N4094" i="2"/>
  <c r="B4094" i="2"/>
  <c r="N4093" i="2"/>
  <c r="B4093" i="2"/>
  <c r="N4092" i="2"/>
  <c r="B4092" i="2"/>
  <c r="N4091" i="2"/>
  <c r="B4091" i="2"/>
  <c r="N4090" i="2"/>
  <c r="B4090" i="2"/>
  <c r="N4089" i="2"/>
  <c r="B4089" i="2"/>
  <c r="N4088" i="2"/>
  <c r="B4088" i="2"/>
  <c r="N4087" i="2"/>
  <c r="B4087" i="2"/>
  <c r="N4086" i="2"/>
  <c r="B4086" i="2"/>
  <c r="N4085" i="2"/>
  <c r="B4085" i="2"/>
  <c r="N4084" i="2"/>
  <c r="B4084" i="2"/>
  <c r="N4083" i="2"/>
  <c r="B4083" i="2"/>
  <c r="N4082" i="2"/>
  <c r="B4082" i="2"/>
  <c r="N4081" i="2"/>
  <c r="B4081" i="2"/>
  <c r="N4080" i="2"/>
  <c r="B4080" i="2"/>
  <c r="N4079" i="2"/>
  <c r="B4079" i="2"/>
  <c r="N4078" i="2"/>
  <c r="B4078" i="2"/>
  <c r="N4077" i="2"/>
  <c r="B4077" i="2"/>
  <c r="N4076" i="2"/>
  <c r="B4076" i="2"/>
  <c r="N4075" i="2"/>
  <c r="B4075" i="2"/>
  <c r="N4074" i="2"/>
  <c r="B4074" i="2"/>
  <c r="N4073" i="2"/>
  <c r="B4073" i="2"/>
  <c r="N4072" i="2"/>
  <c r="B4072" i="2"/>
  <c r="N4071" i="2"/>
  <c r="B4071" i="2"/>
  <c r="N4070" i="2"/>
  <c r="B4070" i="2"/>
  <c r="N4069" i="2"/>
  <c r="B4069" i="2"/>
  <c r="N4068" i="2"/>
  <c r="B4068" i="2"/>
  <c r="N4067" i="2"/>
  <c r="B4067" i="2"/>
  <c r="N4066" i="2"/>
  <c r="B4066" i="2"/>
  <c r="N4065" i="2"/>
  <c r="B4065" i="2"/>
  <c r="N4064" i="2"/>
  <c r="B4064" i="2"/>
  <c r="N4063" i="2"/>
  <c r="B4063" i="2"/>
  <c r="N4062" i="2"/>
  <c r="B4062" i="2"/>
  <c r="N4061" i="2"/>
  <c r="B4061" i="2"/>
  <c r="N4060" i="2"/>
  <c r="B4060" i="2"/>
  <c r="N4059" i="2"/>
  <c r="B4059" i="2"/>
  <c r="N4058" i="2"/>
  <c r="B4058" i="2"/>
  <c r="N4057" i="2"/>
  <c r="B4057" i="2"/>
  <c r="N4056" i="2"/>
  <c r="B4056" i="2"/>
  <c r="N4055" i="2"/>
  <c r="B4055" i="2"/>
  <c r="N4054" i="2"/>
  <c r="B4054" i="2"/>
  <c r="N4053" i="2"/>
  <c r="B4053" i="2"/>
  <c r="N4052" i="2"/>
  <c r="B4052" i="2"/>
  <c r="N4051" i="2"/>
  <c r="B4051" i="2"/>
  <c r="N4050" i="2"/>
  <c r="B4050" i="2"/>
  <c r="N4049" i="2"/>
  <c r="B4049" i="2"/>
  <c r="N4048" i="2"/>
  <c r="B4048" i="2"/>
  <c r="N4047" i="2"/>
  <c r="B4047" i="2"/>
  <c r="N4046" i="2"/>
  <c r="B4046" i="2"/>
  <c r="N4045" i="2"/>
  <c r="B4045" i="2"/>
  <c r="N4044" i="2"/>
  <c r="B4044" i="2"/>
  <c r="N4043" i="2"/>
  <c r="B4043" i="2"/>
  <c r="N4042" i="2"/>
  <c r="B4042" i="2"/>
  <c r="N4041" i="2"/>
  <c r="B4041" i="2"/>
  <c r="N4040" i="2"/>
  <c r="B4040" i="2"/>
  <c r="N4039" i="2"/>
  <c r="B4039" i="2"/>
  <c r="N4038" i="2"/>
  <c r="B4038" i="2"/>
  <c r="N4037" i="2"/>
  <c r="B4037" i="2"/>
  <c r="N4036" i="2"/>
  <c r="B4036" i="2"/>
  <c r="N4035" i="2"/>
  <c r="B4035" i="2"/>
  <c r="N4034" i="2"/>
  <c r="B4034" i="2"/>
  <c r="N4033" i="2"/>
  <c r="B4033" i="2"/>
  <c r="N4032" i="2"/>
  <c r="B4032" i="2"/>
  <c r="N4031" i="2"/>
  <c r="B4031" i="2"/>
  <c r="N4030" i="2"/>
  <c r="B4030" i="2"/>
  <c r="N4029" i="2"/>
  <c r="B4029" i="2"/>
  <c r="N4028" i="2"/>
  <c r="B4028" i="2"/>
  <c r="N4027" i="2"/>
  <c r="B4027" i="2"/>
  <c r="N4026" i="2"/>
  <c r="B4026" i="2"/>
  <c r="N4025" i="2"/>
  <c r="B4025" i="2"/>
  <c r="N4024" i="2"/>
  <c r="B4024" i="2"/>
  <c r="N4023" i="2"/>
  <c r="B4023" i="2"/>
  <c r="N4022" i="2"/>
  <c r="B4022" i="2"/>
  <c r="N4021" i="2"/>
  <c r="B4021" i="2"/>
  <c r="N4020" i="2"/>
  <c r="B4020" i="2"/>
  <c r="N4019" i="2"/>
  <c r="B4019" i="2"/>
  <c r="N4018" i="2"/>
  <c r="B4018" i="2"/>
  <c r="N4017" i="2"/>
  <c r="B4017" i="2"/>
  <c r="N4016" i="2"/>
  <c r="B4016" i="2"/>
  <c r="N4015" i="2"/>
  <c r="B4015" i="2"/>
  <c r="N4014" i="2"/>
  <c r="B4014" i="2"/>
  <c r="N4013" i="2"/>
  <c r="B4013" i="2"/>
  <c r="N4012" i="2"/>
  <c r="B4012" i="2"/>
  <c r="N4011" i="2"/>
  <c r="B4011" i="2"/>
  <c r="N4010" i="2"/>
  <c r="B4010" i="2"/>
  <c r="N4009" i="2"/>
  <c r="B4009" i="2"/>
  <c r="N4008" i="2"/>
  <c r="B4008" i="2"/>
  <c r="N4007" i="2"/>
  <c r="B4007" i="2"/>
  <c r="N4006" i="2"/>
  <c r="B4006" i="2"/>
  <c r="N4005" i="2"/>
  <c r="B4005" i="2"/>
  <c r="N4004" i="2"/>
  <c r="B4004" i="2"/>
  <c r="N4003" i="2"/>
  <c r="B4003" i="2"/>
  <c r="N4002" i="2"/>
  <c r="B4002" i="2"/>
  <c r="N4001" i="2"/>
  <c r="B4001" i="2"/>
  <c r="N4000" i="2"/>
  <c r="B4000" i="2"/>
  <c r="N3999" i="2"/>
  <c r="B3999" i="2"/>
  <c r="N3998" i="2"/>
  <c r="B3998" i="2"/>
  <c r="N3997" i="2"/>
  <c r="B3997" i="2"/>
  <c r="N3996" i="2"/>
  <c r="B3996" i="2"/>
  <c r="N3995" i="2"/>
  <c r="B3995" i="2"/>
  <c r="N3994" i="2"/>
  <c r="B3994" i="2"/>
  <c r="N3993" i="2"/>
  <c r="B3993" i="2"/>
  <c r="N3992" i="2"/>
  <c r="B3992" i="2"/>
  <c r="N3991" i="2"/>
  <c r="B3991" i="2"/>
  <c r="N3990" i="2"/>
  <c r="B3990" i="2"/>
  <c r="N3989" i="2"/>
  <c r="B3989" i="2"/>
  <c r="N3988" i="2"/>
  <c r="B3988" i="2"/>
  <c r="N3987" i="2"/>
  <c r="B3987" i="2"/>
  <c r="N3986" i="2"/>
  <c r="B3986" i="2"/>
  <c r="N3985" i="2"/>
  <c r="B3985" i="2"/>
  <c r="N3984" i="2"/>
  <c r="B3984" i="2"/>
  <c r="N3983" i="2"/>
  <c r="B3983" i="2"/>
  <c r="N3982" i="2"/>
  <c r="B3982" i="2"/>
  <c r="N3981" i="2"/>
  <c r="B3981" i="2"/>
  <c r="N3980" i="2"/>
  <c r="B3980" i="2"/>
  <c r="N3979" i="2"/>
  <c r="B3979" i="2"/>
  <c r="N3978" i="2"/>
  <c r="B3978" i="2"/>
  <c r="N3977" i="2"/>
  <c r="B3977" i="2"/>
  <c r="N3976" i="2"/>
  <c r="B3976" i="2"/>
  <c r="N3975" i="2"/>
  <c r="B3975" i="2"/>
  <c r="N3974" i="2"/>
  <c r="B3974" i="2"/>
  <c r="N3973" i="2"/>
  <c r="B3973" i="2"/>
  <c r="N3972" i="2"/>
  <c r="B3972" i="2"/>
  <c r="N3971" i="2"/>
  <c r="B3971" i="2"/>
  <c r="N3970" i="2"/>
  <c r="B3970" i="2"/>
  <c r="N3969" i="2"/>
  <c r="B3969" i="2"/>
  <c r="N3968" i="2"/>
  <c r="B3968" i="2"/>
  <c r="N3967" i="2"/>
  <c r="B3967" i="2"/>
  <c r="N3966" i="2"/>
  <c r="B3966" i="2"/>
  <c r="N3965" i="2"/>
  <c r="B3965" i="2"/>
  <c r="N3964" i="2"/>
  <c r="B3964" i="2"/>
  <c r="N3963" i="2"/>
  <c r="B3963" i="2"/>
  <c r="N3962" i="2"/>
  <c r="B3962" i="2"/>
  <c r="N3961" i="2"/>
  <c r="B3961" i="2"/>
  <c r="N3960" i="2"/>
  <c r="B3960" i="2"/>
  <c r="N3959" i="2"/>
  <c r="B3959" i="2"/>
  <c r="N3958" i="2"/>
  <c r="B3958" i="2"/>
  <c r="N3957" i="2"/>
  <c r="B3957" i="2"/>
  <c r="N3956" i="2"/>
  <c r="B3956" i="2"/>
  <c r="N3955" i="2"/>
  <c r="B3955" i="2"/>
  <c r="N3954" i="2"/>
  <c r="B3954" i="2"/>
  <c r="N3953" i="2"/>
  <c r="B3953" i="2"/>
  <c r="N3952" i="2"/>
  <c r="B3952" i="2"/>
  <c r="N3951" i="2"/>
  <c r="B3951" i="2"/>
  <c r="N3950" i="2"/>
  <c r="B3950" i="2"/>
  <c r="N3949" i="2"/>
  <c r="B3949" i="2"/>
  <c r="N3948" i="2"/>
  <c r="B3948" i="2"/>
  <c r="N3947" i="2"/>
  <c r="B3947" i="2"/>
  <c r="N3946" i="2"/>
  <c r="B3946" i="2"/>
  <c r="N3945" i="2"/>
  <c r="B3945" i="2"/>
  <c r="N3944" i="2"/>
  <c r="B3944" i="2"/>
  <c r="N3943" i="2"/>
  <c r="B3943" i="2"/>
  <c r="N3942" i="2"/>
  <c r="B3942" i="2"/>
  <c r="N3941" i="2"/>
  <c r="B3941" i="2"/>
  <c r="N3940" i="2"/>
  <c r="B3940" i="2"/>
  <c r="N3939" i="2"/>
  <c r="B3939" i="2"/>
  <c r="N3938" i="2"/>
  <c r="B3938" i="2"/>
  <c r="N3937" i="2"/>
  <c r="B3937" i="2"/>
  <c r="N3936" i="2"/>
  <c r="B3936" i="2"/>
  <c r="N3935" i="2"/>
  <c r="B3935" i="2"/>
  <c r="N3934" i="2"/>
  <c r="B3934" i="2"/>
  <c r="N3933" i="2"/>
  <c r="B3933" i="2"/>
  <c r="N3932" i="2"/>
  <c r="B3932" i="2"/>
  <c r="N3931" i="2"/>
  <c r="B3931" i="2"/>
  <c r="N3930" i="2"/>
  <c r="B3930" i="2"/>
  <c r="N3929" i="2"/>
  <c r="B3929" i="2"/>
  <c r="N3928" i="2"/>
  <c r="B3928" i="2"/>
  <c r="N3927" i="2"/>
  <c r="B3927" i="2"/>
  <c r="N3926" i="2"/>
  <c r="B3926" i="2"/>
  <c r="N3925" i="2"/>
  <c r="B3925" i="2"/>
  <c r="N3924" i="2"/>
  <c r="B3924" i="2"/>
  <c r="N3923" i="2"/>
  <c r="B3923" i="2"/>
  <c r="N3922" i="2"/>
  <c r="B3922" i="2"/>
  <c r="N3921" i="2"/>
  <c r="B3921" i="2"/>
  <c r="N3920" i="2"/>
  <c r="B3920" i="2"/>
  <c r="N3919" i="2"/>
  <c r="B3919" i="2"/>
  <c r="N3918" i="2"/>
  <c r="B3918" i="2"/>
  <c r="N3917" i="2"/>
  <c r="B3917" i="2"/>
  <c r="N3916" i="2"/>
  <c r="B3916" i="2"/>
  <c r="N3915" i="2"/>
  <c r="B3915" i="2"/>
  <c r="N3914" i="2"/>
  <c r="B3914" i="2"/>
  <c r="N3913" i="2"/>
  <c r="B3913" i="2"/>
  <c r="N3912" i="2"/>
  <c r="B3912" i="2"/>
  <c r="N3911" i="2"/>
  <c r="B3911" i="2"/>
  <c r="N3910" i="2"/>
  <c r="B3910" i="2"/>
  <c r="N3909" i="2"/>
  <c r="B3909" i="2"/>
  <c r="N3908" i="2"/>
  <c r="B3908" i="2"/>
  <c r="N3907" i="2"/>
  <c r="B3907" i="2"/>
  <c r="N3906" i="2"/>
  <c r="B3906" i="2"/>
  <c r="N3905" i="2"/>
  <c r="B3905" i="2"/>
  <c r="N3904" i="2"/>
  <c r="B3904" i="2"/>
  <c r="N3903" i="2"/>
  <c r="B3903" i="2"/>
  <c r="N3902" i="2"/>
  <c r="B3902" i="2"/>
  <c r="N3901" i="2"/>
  <c r="B3901" i="2"/>
  <c r="N3900" i="2"/>
  <c r="B3900" i="2"/>
  <c r="N3899" i="2"/>
  <c r="B3899" i="2"/>
  <c r="N3898" i="2"/>
  <c r="B3898" i="2"/>
  <c r="N3897" i="2"/>
  <c r="B3897" i="2"/>
  <c r="N3896" i="2"/>
  <c r="B3896" i="2"/>
  <c r="N3895" i="2"/>
  <c r="B3895" i="2"/>
  <c r="N3894" i="2"/>
  <c r="B3894" i="2"/>
  <c r="N3893" i="2"/>
  <c r="B3893" i="2"/>
  <c r="N3892" i="2"/>
  <c r="B3892" i="2"/>
  <c r="N3891" i="2"/>
  <c r="B3891" i="2"/>
  <c r="N3890" i="2"/>
  <c r="B3890" i="2"/>
  <c r="N3889" i="2"/>
  <c r="B3889" i="2"/>
  <c r="N3888" i="2"/>
  <c r="B3888" i="2"/>
  <c r="N3887" i="2"/>
  <c r="B3887" i="2"/>
  <c r="N3886" i="2"/>
  <c r="B3886" i="2"/>
  <c r="N3885" i="2"/>
  <c r="B3885" i="2"/>
  <c r="N3884" i="2"/>
  <c r="B3884" i="2"/>
  <c r="N3883" i="2"/>
  <c r="B3883" i="2"/>
  <c r="N3882" i="2"/>
  <c r="B3882" i="2"/>
  <c r="N3881" i="2"/>
  <c r="B3881" i="2"/>
  <c r="N3880" i="2"/>
  <c r="B3880" i="2"/>
  <c r="N3879" i="2"/>
  <c r="B3879" i="2"/>
  <c r="N3878" i="2"/>
  <c r="B3878" i="2"/>
  <c r="N3877" i="2"/>
  <c r="B3877" i="2"/>
  <c r="N3876" i="2"/>
  <c r="B3876" i="2"/>
  <c r="N3875" i="2"/>
  <c r="B3875" i="2"/>
  <c r="N3874" i="2"/>
  <c r="B3874" i="2"/>
  <c r="N3873" i="2"/>
  <c r="B3873" i="2"/>
  <c r="N3872" i="2"/>
  <c r="B3872" i="2"/>
  <c r="N3871" i="2"/>
  <c r="B3871" i="2"/>
  <c r="N3870" i="2"/>
  <c r="B3870" i="2"/>
  <c r="N3869" i="2"/>
  <c r="B3869" i="2"/>
  <c r="N3868" i="2"/>
  <c r="B3868" i="2"/>
  <c r="N3867" i="2"/>
  <c r="B3867" i="2"/>
  <c r="N3866" i="2"/>
  <c r="B3866" i="2"/>
  <c r="N3865" i="2"/>
  <c r="B3865" i="2"/>
  <c r="N3864" i="2"/>
  <c r="B3864" i="2"/>
  <c r="N3863" i="2"/>
  <c r="B3863" i="2"/>
  <c r="N3862" i="2"/>
  <c r="B3862" i="2"/>
  <c r="N3861" i="2"/>
  <c r="B3861" i="2"/>
  <c r="N3860" i="2"/>
  <c r="B3860" i="2"/>
  <c r="N3859" i="2"/>
  <c r="B3859" i="2"/>
  <c r="N3858" i="2"/>
  <c r="B3858" i="2"/>
  <c r="N3857" i="2"/>
  <c r="B3857" i="2"/>
  <c r="N3856" i="2"/>
  <c r="B3856" i="2"/>
  <c r="N3855" i="2"/>
  <c r="B3855" i="2"/>
  <c r="N3854" i="2"/>
  <c r="B3854" i="2"/>
  <c r="N3853" i="2"/>
  <c r="B3853" i="2"/>
  <c r="N3852" i="2"/>
  <c r="B3852" i="2"/>
  <c r="N3851" i="2"/>
  <c r="B3851" i="2"/>
  <c r="N3850" i="2"/>
  <c r="B3850" i="2"/>
  <c r="N3849" i="2"/>
  <c r="B3849" i="2"/>
  <c r="N3848" i="2"/>
  <c r="B3848" i="2"/>
  <c r="N3847" i="2"/>
  <c r="B3847" i="2"/>
  <c r="N3846" i="2"/>
  <c r="B3846" i="2"/>
  <c r="N3845" i="2"/>
  <c r="B3845" i="2"/>
  <c r="N3844" i="2"/>
  <c r="B3844" i="2"/>
  <c r="N3843" i="2"/>
  <c r="B3843" i="2"/>
  <c r="N3842" i="2"/>
  <c r="B3842" i="2"/>
  <c r="N3841" i="2"/>
  <c r="B3841" i="2"/>
  <c r="N3840" i="2"/>
  <c r="B3840" i="2"/>
  <c r="N3839" i="2"/>
  <c r="B3839" i="2"/>
  <c r="N3838" i="2"/>
  <c r="B3838" i="2"/>
  <c r="N3837" i="2"/>
  <c r="B3837" i="2"/>
  <c r="N3836" i="2"/>
  <c r="B3836" i="2"/>
  <c r="N3835" i="2"/>
  <c r="B3835" i="2"/>
  <c r="N3834" i="2"/>
  <c r="B3834" i="2"/>
  <c r="N3833" i="2"/>
  <c r="B3833" i="2"/>
  <c r="N3832" i="2"/>
  <c r="B3832" i="2"/>
  <c r="N3831" i="2"/>
  <c r="B3831" i="2"/>
  <c r="N3830" i="2"/>
  <c r="B3830" i="2"/>
  <c r="N3829" i="2"/>
  <c r="B3829" i="2"/>
  <c r="N3828" i="2"/>
  <c r="B3828" i="2"/>
  <c r="N3827" i="2"/>
  <c r="B3827" i="2"/>
  <c r="N3826" i="2"/>
  <c r="B3826" i="2"/>
  <c r="N3825" i="2"/>
  <c r="B3825" i="2"/>
  <c r="N3824" i="2"/>
  <c r="B3824" i="2"/>
  <c r="N3823" i="2"/>
  <c r="B3823" i="2"/>
  <c r="N3822" i="2"/>
  <c r="B3822" i="2"/>
  <c r="N3821" i="2"/>
  <c r="B3821" i="2"/>
  <c r="N3820" i="2"/>
  <c r="B3820" i="2"/>
  <c r="N3819" i="2"/>
  <c r="B3819" i="2"/>
  <c r="N3818" i="2"/>
  <c r="B3818" i="2"/>
  <c r="N3817" i="2"/>
  <c r="B3817" i="2"/>
  <c r="N3816" i="2"/>
  <c r="B3816" i="2"/>
  <c r="N3815" i="2"/>
  <c r="B3815" i="2"/>
  <c r="N3814" i="2"/>
  <c r="B3814" i="2"/>
  <c r="N3813" i="2"/>
  <c r="B3813" i="2"/>
  <c r="N3812" i="2"/>
  <c r="B3812" i="2"/>
  <c r="N3811" i="2"/>
  <c r="B3811" i="2"/>
  <c r="N3810" i="2"/>
  <c r="B3810" i="2"/>
  <c r="N3809" i="2"/>
  <c r="B3809" i="2"/>
  <c r="N3808" i="2"/>
  <c r="B3808" i="2"/>
  <c r="N3807" i="2"/>
  <c r="B3807" i="2"/>
  <c r="N3806" i="2"/>
  <c r="B3806" i="2"/>
  <c r="N3805" i="2"/>
  <c r="B3805" i="2"/>
  <c r="N3804" i="2"/>
  <c r="B3804" i="2"/>
  <c r="N3803" i="2"/>
  <c r="B3803" i="2"/>
  <c r="N3802" i="2"/>
  <c r="B3802" i="2"/>
  <c r="N3801" i="2"/>
  <c r="B3801" i="2"/>
  <c r="N3800" i="2"/>
  <c r="B3800" i="2"/>
  <c r="N3799" i="2"/>
  <c r="B3799" i="2"/>
  <c r="N3798" i="2"/>
  <c r="B3798" i="2"/>
  <c r="N3797" i="2"/>
  <c r="B3797" i="2"/>
  <c r="N3796" i="2"/>
  <c r="B3796" i="2"/>
  <c r="N3795" i="2"/>
  <c r="B3795" i="2"/>
  <c r="N3794" i="2"/>
  <c r="B3794" i="2"/>
  <c r="N3793" i="2"/>
  <c r="B3793" i="2"/>
  <c r="N3792" i="2"/>
  <c r="B3792" i="2"/>
  <c r="N3791" i="2"/>
  <c r="B3791" i="2"/>
  <c r="N3790" i="2"/>
  <c r="B3790" i="2"/>
  <c r="N3789" i="2"/>
  <c r="B3789" i="2"/>
  <c r="N3788" i="2"/>
  <c r="B3788" i="2"/>
  <c r="N3787" i="2"/>
  <c r="B3787" i="2"/>
  <c r="N3786" i="2"/>
  <c r="B3786" i="2"/>
  <c r="N3785" i="2"/>
  <c r="B3785" i="2"/>
  <c r="N3784" i="2"/>
  <c r="B3784" i="2"/>
  <c r="N3783" i="2"/>
  <c r="B3783" i="2"/>
  <c r="N3782" i="2"/>
  <c r="B3782" i="2"/>
  <c r="N3781" i="2"/>
  <c r="B3781" i="2"/>
  <c r="N3780" i="2"/>
  <c r="B3780" i="2"/>
  <c r="N3779" i="2"/>
  <c r="B3779" i="2"/>
  <c r="N3778" i="2"/>
  <c r="B3778" i="2"/>
  <c r="N3777" i="2"/>
  <c r="B3777" i="2"/>
  <c r="N3776" i="2"/>
  <c r="B3776" i="2"/>
  <c r="N3775" i="2"/>
  <c r="B3775" i="2"/>
  <c r="N3774" i="2"/>
  <c r="B3774" i="2"/>
  <c r="N3773" i="2"/>
  <c r="B3773" i="2"/>
  <c r="N3772" i="2"/>
  <c r="B3772" i="2"/>
  <c r="N3771" i="2"/>
  <c r="B3771" i="2"/>
  <c r="N3770" i="2"/>
  <c r="B3770" i="2"/>
  <c r="N3769" i="2"/>
  <c r="B3769" i="2"/>
  <c r="N3768" i="2"/>
  <c r="B3768" i="2"/>
  <c r="N3767" i="2"/>
  <c r="B3767" i="2"/>
  <c r="N3766" i="2"/>
  <c r="B3766" i="2"/>
  <c r="N3765" i="2"/>
  <c r="B3765" i="2"/>
  <c r="N3764" i="2"/>
  <c r="B3764" i="2"/>
  <c r="N3763" i="2"/>
  <c r="B3763" i="2"/>
  <c r="N3762" i="2"/>
  <c r="B3762" i="2"/>
  <c r="N3761" i="2"/>
  <c r="B3761" i="2"/>
  <c r="N3760" i="2"/>
  <c r="B3760" i="2"/>
  <c r="N3759" i="2"/>
  <c r="B3759" i="2"/>
  <c r="N3758" i="2"/>
  <c r="B3758" i="2"/>
  <c r="N3757" i="2"/>
  <c r="B3757" i="2"/>
  <c r="N3756" i="2"/>
  <c r="B3756" i="2"/>
  <c r="N3755" i="2"/>
  <c r="B3755" i="2"/>
  <c r="N3754" i="2"/>
  <c r="B3754" i="2"/>
  <c r="N3753" i="2"/>
  <c r="B3753" i="2"/>
  <c r="N3752" i="2"/>
  <c r="B3752" i="2"/>
  <c r="N3751" i="2"/>
  <c r="B3751" i="2"/>
  <c r="N3750" i="2"/>
  <c r="B3750" i="2"/>
  <c r="N3749" i="2"/>
  <c r="B3749" i="2"/>
  <c r="N3748" i="2"/>
  <c r="B3748" i="2"/>
  <c r="N3747" i="2"/>
  <c r="B3747" i="2"/>
  <c r="N3746" i="2"/>
  <c r="B3746" i="2"/>
  <c r="N3745" i="2"/>
  <c r="B3745" i="2"/>
  <c r="N3744" i="2"/>
  <c r="B3744" i="2"/>
  <c r="N3743" i="2"/>
  <c r="B3743" i="2"/>
  <c r="N3742" i="2"/>
  <c r="B3742" i="2"/>
  <c r="N3741" i="2"/>
  <c r="B3741" i="2"/>
  <c r="N3740" i="2"/>
  <c r="B3740" i="2"/>
  <c r="N3739" i="2"/>
  <c r="B3739" i="2"/>
  <c r="N3738" i="2"/>
  <c r="B3738" i="2"/>
  <c r="N3737" i="2"/>
  <c r="B3737" i="2"/>
  <c r="N3736" i="2"/>
  <c r="B3736" i="2"/>
  <c r="N3735" i="2"/>
  <c r="B3735" i="2"/>
  <c r="N3734" i="2"/>
  <c r="B3734" i="2"/>
  <c r="N3733" i="2"/>
  <c r="B3733" i="2"/>
  <c r="N3732" i="2"/>
  <c r="B3732" i="2"/>
  <c r="N3731" i="2"/>
  <c r="B3731" i="2"/>
  <c r="N3730" i="2"/>
  <c r="B3730" i="2"/>
  <c r="N3729" i="2"/>
  <c r="B3729" i="2"/>
  <c r="N3728" i="2"/>
  <c r="B3728" i="2"/>
  <c r="N3727" i="2"/>
  <c r="B3727" i="2"/>
  <c r="N3726" i="2"/>
  <c r="B3726" i="2"/>
  <c r="N3725" i="2"/>
  <c r="B3725" i="2"/>
  <c r="N3724" i="2"/>
  <c r="B3724" i="2"/>
  <c r="N3723" i="2"/>
  <c r="B3723" i="2"/>
  <c r="N3722" i="2"/>
  <c r="B3722" i="2"/>
  <c r="N3721" i="2"/>
  <c r="B3721" i="2"/>
  <c r="N3720" i="2"/>
  <c r="B3720" i="2"/>
  <c r="N3719" i="2"/>
  <c r="B3719" i="2"/>
  <c r="N3718" i="2"/>
  <c r="B3718" i="2"/>
  <c r="N3717" i="2"/>
  <c r="B3717" i="2"/>
  <c r="N3716" i="2"/>
  <c r="B3716" i="2"/>
  <c r="N3715" i="2"/>
  <c r="B3715" i="2"/>
  <c r="N3714" i="2"/>
  <c r="B3714" i="2"/>
  <c r="N3713" i="2"/>
  <c r="B3713" i="2"/>
  <c r="N3712" i="2"/>
  <c r="B3712" i="2"/>
  <c r="N3711" i="2"/>
  <c r="B3711" i="2"/>
  <c r="N3710" i="2"/>
  <c r="B3710" i="2"/>
  <c r="N3709" i="2"/>
  <c r="B3709" i="2"/>
  <c r="N3708" i="2"/>
  <c r="B3708" i="2"/>
  <c r="N3707" i="2"/>
  <c r="B3707" i="2"/>
  <c r="N3706" i="2"/>
  <c r="B3706" i="2"/>
  <c r="N3705" i="2"/>
  <c r="B3705" i="2"/>
  <c r="N3704" i="2"/>
  <c r="B3704" i="2"/>
  <c r="N3703" i="2"/>
  <c r="B3703" i="2"/>
  <c r="N3702" i="2"/>
  <c r="B3702" i="2"/>
  <c r="N3701" i="2"/>
  <c r="B3701" i="2"/>
  <c r="N3700" i="2"/>
  <c r="B3700" i="2"/>
  <c r="N3699" i="2"/>
  <c r="B3699" i="2"/>
  <c r="N3698" i="2"/>
  <c r="B3698" i="2"/>
  <c r="N3697" i="2"/>
  <c r="B3697" i="2"/>
  <c r="N3696" i="2"/>
  <c r="B3696" i="2"/>
  <c r="N3695" i="2"/>
  <c r="B3695" i="2"/>
  <c r="N3694" i="2"/>
  <c r="B3694" i="2"/>
  <c r="N3693" i="2"/>
  <c r="B3693" i="2"/>
  <c r="N3692" i="2"/>
  <c r="B3692" i="2"/>
  <c r="N3691" i="2"/>
  <c r="B3691" i="2"/>
  <c r="N3690" i="2"/>
  <c r="B3690" i="2"/>
  <c r="N3689" i="2"/>
  <c r="B3689" i="2"/>
  <c r="N3688" i="2"/>
  <c r="B3688" i="2"/>
  <c r="N3687" i="2"/>
  <c r="B3687" i="2"/>
  <c r="N3686" i="2"/>
  <c r="B3686" i="2"/>
  <c r="N3685" i="2"/>
  <c r="B3685" i="2"/>
  <c r="N3684" i="2"/>
  <c r="B3684" i="2"/>
  <c r="N3683" i="2"/>
  <c r="B3683" i="2"/>
  <c r="N3682" i="2"/>
  <c r="B3682" i="2"/>
  <c r="N3681" i="2"/>
  <c r="B3681" i="2"/>
  <c r="N3680" i="2"/>
  <c r="B3680" i="2"/>
  <c r="N3679" i="2"/>
  <c r="B3679" i="2"/>
  <c r="N3678" i="2"/>
  <c r="B3678" i="2"/>
  <c r="N3677" i="2"/>
  <c r="B3677" i="2"/>
  <c r="N3676" i="2"/>
  <c r="B3676" i="2"/>
  <c r="N3675" i="2"/>
  <c r="B3675" i="2"/>
  <c r="N3674" i="2"/>
  <c r="B3674" i="2"/>
  <c r="N3673" i="2"/>
  <c r="B3673" i="2"/>
  <c r="N3672" i="2"/>
  <c r="B3672" i="2"/>
  <c r="N3671" i="2"/>
  <c r="B3671" i="2"/>
  <c r="N3670" i="2"/>
  <c r="B3670" i="2"/>
  <c r="N3669" i="2"/>
  <c r="B3669" i="2"/>
  <c r="N3668" i="2"/>
  <c r="B3668" i="2"/>
  <c r="N3667" i="2"/>
  <c r="B3667" i="2"/>
  <c r="N3666" i="2"/>
  <c r="B3666" i="2"/>
  <c r="N3665" i="2"/>
  <c r="B3665" i="2"/>
  <c r="N3664" i="2"/>
  <c r="B3664" i="2"/>
  <c r="N3663" i="2"/>
  <c r="B3663" i="2"/>
  <c r="N3662" i="2"/>
  <c r="B3662" i="2"/>
  <c r="N3661" i="2"/>
  <c r="B3661" i="2"/>
  <c r="N3660" i="2"/>
  <c r="B3660" i="2"/>
  <c r="N3659" i="2"/>
  <c r="B3659" i="2"/>
  <c r="N3658" i="2"/>
  <c r="B3658" i="2"/>
  <c r="N3657" i="2"/>
  <c r="B3657" i="2"/>
  <c r="N3656" i="2"/>
  <c r="B3656" i="2"/>
  <c r="N3655" i="2"/>
  <c r="B3655" i="2"/>
  <c r="N3654" i="2"/>
  <c r="B3654" i="2"/>
  <c r="N3653" i="2"/>
  <c r="B3653" i="2"/>
  <c r="N3652" i="2"/>
  <c r="B3652" i="2"/>
  <c r="N3651" i="2"/>
  <c r="B3651" i="2"/>
  <c r="N3650" i="2"/>
  <c r="B3650" i="2"/>
  <c r="N3649" i="2"/>
  <c r="B3649" i="2"/>
  <c r="N3648" i="2"/>
  <c r="B3648" i="2"/>
  <c r="N3647" i="2"/>
  <c r="B3647" i="2"/>
  <c r="N3646" i="2"/>
  <c r="B3646" i="2"/>
  <c r="N3645" i="2"/>
  <c r="B3645" i="2"/>
  <c r="N3644" i="2"/>
  <c r="B3644" i="2"/>
  <c r="N3643" i="2"/>
  <c r="B3643" i="2"/>
  <c r="N3642" i="2"/>
  <c r="B3642" i="2"/>
  <c r="N3641" i="2"/>
  <c r="B3641" i="2"/>
  <c r="N3640" i="2"/>
  <c r="B3640" i="2"/>
  <c r="N3639" i="2"/>
  <c r="B3639" i="2"/>
  <c r="N3638" i="2"/>
  <c r="B3638" i="2"/>
  <c r="N3637" i="2"/>
  <c r="B3637" i="2"/>
  <c r="N3636" i="2"/>
  <c r="B3636" i="2"/>
  <c r="N3635" i="2"/>
  <c r="B3635" i="2"/>
  <c r="N3634" i="2"/>
  <c r="B3634" i="2"/>
  <c r="N3633" i="2"/>
  <c r="B3633" i="2"/>
  <c r="N3632" i="2"/>
  <c r="B3632" i="2"/>
  <c r="N3631" i="2"/>
  <c r="B3631" i="2"/>
  <c r="N3630" i="2"/>
  <c r="B3630" i="2"/>
  <c r="N3629" i="2"/>
  <c r="B3629" i="2"/>
  <c r="N3628" i="2"/>
  <c r="B3628" i="2"/>
  <c r="N3627" i="2"/>
  <c r="B3627" i="2"/>
  <c r="N3626" i="2"/>
  <c r="B3626" i="2"/>
  <c r="N3625" i="2"/>
  <c r="B3625" i="2"/>
  <c r="N3624" i="2"/>
  <c r="B3624" i="2"/>
  <c r="N3623" i="2"/>
  <c r="B3623" i="2"/>
  <c r="N3622" i="2"/>
  <c r="B3622" i="2"/>
  <c r="N3621" i="2"/>
  <c r="B3621" i="2"/>
  <c r="N3620" i="2"/>
  <c r="B3620" i="2"/>
  <c r="N3619" i="2"/>
  <c r="B3619" i="2"/>
  <c r="N3618" i="2"/>
  <c r="B3618" i="2"/>
  <c r="N3617" i="2"/>
  <c r="B3617" i="2"/>
  <c r="N3616" i="2"/>
  <c r="B3616" i="2"/>
  <c r="N3615" i="2"/>
  <c r="B3615" i="2"/>
  <c r="N3614" i="2"/>
  <c r="B3614" i="2"/>
  <c r="N3613" i="2"/>
  <c r="B3613" i="2"/>
  <c r="N3612" i="2"/>
  <c r="B3612" i="2"/>
  <c r="N3611" i="2"/>
  <c r="B3611" i="2"/>
  <c r="N3610" i="2"/>
  <c r="B3610" i="2"/>
  <c r="N3609" i="2"/>
  <c r="B3609" i="2"/>
  <c r="N3608" i="2"/>
  <c r="B3608" i="2"/>
  <c r="N3607" i="2"/>
  <c r="B3607" i="2"/>
  <c r="N3606" i="2"/>
  <c r="B3606" i="2"/>
  <c r="N3605" i="2"/>
  <c r="B3605" i="2"/>
  <c r="N3604" i="2"/>
  <c r="B3604" i="2"/>
  <c r="N3603" i="2"/>
  <c r="B3603" i="2"/>
  <c r="N3602" i="2"/>
  <c r="B3602" i="2"/>
  <c r="N3601" i="2"/>
  <c r="B3601" i="2"/>
  <c r="N3600" i="2"/>
  <c r="B3600" i="2"/>
  <c r="N3599" i="2"/>
  <c r="B3599" i="2"/>
  <c r="N3598" i="2"/>
  <c r="B3598" i="2"/>
  <c r="N3597" i="2"/>
  <c r="B3597" i="2"/>
  <c r="N3596" i="2"/>
  <c r="B3596" i="2"/>
  <c r="N3595" i="2"/>
  <c r="B3595" i="2"/>
  <c r="N3594" i="2"/>
  <c r="B3594" i="2"/>
  <c r="N3593" i="2"/>
  <c r="B3593" i="2"/>
  <c r="N3592" i="2"/>
  <c r="B3592" i="2"/>
  <c r="N3591" i="2"/>
  <c r="B3591" i="2"/>
  <c r="N3590" i="2"/>
  <c r="B3590" i="2"/>
  <c r="N3589" i="2"/>
  <c r="B3589" i="2"/>
  <c r="N3588" i="2"/>
  <c r="B3588" i="2"/>
  <c r="N3587" i="2"/>
  <c r="B3587" i="2"/>
  <c r="N3586" i="2"/>
  <c r="B3586" i="2"/>
  <c r="N3585" i="2"/>
  <c r="B3585" i="2"/>
  <c r="N3584" i="2"/>
  <c r="B3584" i="2"/>
  <c r="N3583" i="2"/>
  <c r="B3583" i="2"/>
  <c r="N3582" i="2"/>
  <c r="B3582" i="2"/>
  <c r="N3581" i="2"/>
  <c r="B3581" i="2"/>
  <c r="N3580" i="2"/>
  <c r="B3580" i="2"/>
  <c r="N3579" i="2"/>
  <c r="B3579" i="2"/>
  <c r="N3578" i="2"/>
  <c r="B3578" i="2"/>
  <c r="N3577" i="2"/>
  <c r="B3577" i="2"/>
  <c r="N3576" i="2"/>
  <c r="B3576" i="2"/>
  <c r="N3575" i="2"/>
  <c r="B3575" i="2"/>
  <c r="N3574" i="2"/>
  <c r="B3574" i="2"/>
  <c r="N3573" i="2"/>
  <c r="B3573" i="2"/>
  <c r="N3572" i="2"/>
  <c r="B3572" i="2"/>
  <c r="N3571" i="2"/>
  <c r="B3571" i="2"/>
  <c r="N3570" i="2"/>
  <c r="B3570" i="2"/>
  <c r="N3569" i="2"/>
  <c r="B3569" i="2"/>
  <c r="N3568" i="2"/>
  <c r="B3568" i="2"/>
  <c r="N3567" i="2"/>
  <c r="B3567" i="2"/>
  <c r="N3566" i="2"/>
  <c r="B3566" i="2"/>
  <c r="N3565" i="2"/>
  <c r="B3565" i="2"/>
  <c r="N3564" i="2"/>
  <c r="B3564" i="2"/>
  <c r="N3563" i="2"/>
  <c r="B3563" i="2"/>
  <c r="N3562" i="2"/>
  <c r="B3562" i="2"/>
  <c r="N3561" i="2"/>
  <c r="B3561" i="2"/>
  <c r="N3560" i="2"/>
  <c r="B3560" i="2"/>
  <c r="N3559" i="2"/>
  <c r="B3559" i="2"/>
  <c r="N3558" i="2"/>
  <c r="B3558" i="2"/>
  <c r="N3557" i="2"/>
  <c r="B3557" i="2"/>
  <c r="N3556" i="2"/>
  <c r="B3556" i="2"/>
  <c r="N3555" i="2"/>
  <c r="B3555" i="2"/>
  <c r="N3554" i="2"/>
  <c r="B3554" i="2"/>
  <c r="N3553" i="2"/>
  <c r="B3553" i="2"/>
  <c r="N3552" i="2"/>
  <c r="B3552" i="2"/>
  <c r="N3551" i="2"/>
  <c r="B3551" i="2"/>
  <c r="N3550" i="2"/>
  <c r="B3550" i="2"/>
  <c r="N3549" i="2"/>
  <c r="B3549" i="2"/>
  <c r="N3548" i="2"/>
  <c r="B3548" i="2"/>
  <c r="N3547" i="2"/>
  <c r="B3547" i="2"/>
  <c r="N3546" i="2"/>
  <c r="B3546" i="2"/>
  <c r="N3545" i="2"/>
  <c r="B3545" i="2"/>
  <c r="N3544" i="2"/>
  <c r="B3544" i="2"/>
  <c r="N3543" i="2"/>
  <c r="B3543" i="2"/>
  <c r="N3542" i="2"/>
  <c r="B3542" i="2"/>
  <c r="N3541" i="2"/>
  <c r="B3541" i="2"/>
  <c r="N3540" i="2"/>
  <c r="B3540" i="2"/>
  <c r="N3539" i="2"/>
  <c r="B3539" i="2"/>
  <c r="N3538" i="2"/>
  <c r="B3538" i="2"/>
  <c r="N3537" i="2"/>
  <c r="B3537" i="2"/>
  <c r="N3536" i="2"/>
  <c r="B3536" i="2"/>
  <c r="N3535" i="2"/>
  <c r="B3535" i="2"/>
  <c r="N3534" i="2"/>
  <c r="B3534" i="2"/>
  <c r="N3533" i="2"/>
  <c r="B3533" i="2"/>
  <c r="N3532" i="2"/>
  <c r="B3532" i="2"/>
  <c r="N3531" i="2"/>
  <c r="B3531" i="2"/>
  <c r="N3530" i="2"/>
  <c r="B3530" i="2"/>
  <c r="N3529" i="2"/>
  <c r="B3529" i="2"/>
  <c r="N3528" i="2"/>
  <c r="B3528" i="2"/>
  <c r="N3527" i="2"/>
  <c r="B3527" i="2"/>
  <c r="N3526" i="2"/>
  <c r="B3526" i="2"/>
  <c r="N3525" i="2"/>
  <c r="B3525" i="2"/>
  <c r="N3524" i="2"/>
  <c r="B3524" i="2"/>
  <c r="N3523" i="2"/>
  <c r="B3523" i="2"/>
  <c r="N3522" i="2"/>
  <c r="B3522" i="2"/>
  <c r="N3521" i="2"/>
  <c r="B3521" i="2"/>
  <c r="N3520" i="2"/>
  <c r="B3520" i="2"/>
  <c r="N3519" i="2"/>
  <c r="B3519" i="2"/>
  <c r="N3518" i="2"/>
  <c r="B3518" i="2"/>
  <c r="N3517" i="2"/>
  <c r="B3517" i="2"/>
  <c r="N3516" i="2"/>
  <c r="B3516" i="2"/>
  <c r="N3515" i="2"/>
  <c r="B3515" i="2"/>
  <c r="N3514" i="2"/>
  <c r="B3514" i="2"/>
  <c r="N3513" i="2"/>
  <c r="B3513" i="2"/>
  <c r="N3512" i="2"/>
  <c r="B3512" i="2"/>
  <c r="N3511" i="2"/>
  <c r="B3511" i="2"/>
  <c r="N3510" i="2"/>
  <c r="B3510" i="2"/>
  <c r="N3509" i="2"/>
  <c r="B3509" i="2"/>
  <c r="N3508" i="2"/>
  <c r="B3508" i="2"/>
  <c r="N3507" i="2"/>
  <c r="B3507" i="2"/>
  <c r="N3506" i="2"/>
  <c r="B3506" i="2"/>
  <c r="N3505" i="2"/>
  <c r="B3505" i="2"/>
  <c r="N3504" i="2"/>
  <c r="B3504" i="2"/>
  <c r="N3503" i="2"/>
  <c r="B3503" i="2"/>
  <c r="N3502" i="2"/>
  <c r="B3502" i="2"/>
  <c r="N3501" i="2"/>
  <c r="B3501" i="2"/>
  <c r="N3500" i="2"/>
  <c r="B3500" i="2"/>
  <c r="N3499" i="2"/>
  <c r="B3499" i="2"/>
  <c r="N3498" i="2"/>
  <c r="B3498" i="2"/>
  <c r="N3497" i="2"/>
  <c r="B3497" i="2"/>
  <c r="N3496" i="2"/>
  <c r="B3496" i="2"/>
  <c r="N3495" i="2"/>
  <c r="B3495" i="2"/>
  <c r="N3494" i="2"/>
  <c r="B3494" i="2"/>
  <c r="N3493" i="2"/>
  <c r="B3493" i="2"/>
  <c r="N3492" i="2"/>
  <c r="B3492" i="2"/>
  <c r="N3491" i="2"/>
  <c r="B3491" i="2"/>
  <c r="N3490" i="2"/>
  <c r="B3490" i="2"/>
  <c r="N3489" i="2"/>
  <c r="B3489" i="2"/>
  <c r="N3488" i="2"/>
  <c r="B3488" i="2"/>
  <c r="N3487" i="2"/>
  <c r="B3487" i="2"/>
  <c r="N3486" i="2"/>
  <c r="B3486" i="2"/>
  <c r="N3485" i="2"/>
  <c r="B3485" i="2"/>
  <c r="N3484" i="2"/>
  <c r="B3484" i="2"/>
  <c r="N3483" i="2"/>
  <c r="B3483" i="2"/>
  <c r="N3482" i="2"/>
  <c r="B3482" i="2"/>
  <c r="N3481" i="2"/>
  <c r="B3481" i="2"/>
  <c r="N3480" i="2"/>
  <c r="B3480" i="2"/>
  <c r="N3479" i="2"/>
  <c r="B3479" i="2"/>
  <c r="N3478" i="2"/>
  <c r="B3478" i="2"/>
  <c r="N3477" i="2"/>
  <c r="B3477" i="2"/>
  <c r="N3476" i="2"/>
  <c r="B3476" i="2"/>
  <c r="N3475" i="2"/>
  <c r="B3475" i="2"/>
  <c r="N3474" i="2"/>
  <c r="B3474" i="2"/>
  <c r="N3473" i="2"/>
  <c r="B3473" i="2"/>
  <c r="N3472" i="2"/>
  <c r="B3472" i="2"/>
  <c r="N3471" i="2"/>
  <c r="B3471" i="2"/>
  <c r="N3470" i="2"/>
  <c r="B3470" i="2"/>
  <c r="N3469" i="2"/>
  <c r="B3469" i="2"/>
  <c r="N3468" i="2"/>
  <c r="B3468" i="2"/>
  <c r="N3467" i="2"/>
  <c r="B3467" i="2"/>
  <c r="N3466" i="2"/>
  <c r="B3466" i="2"/>
  <c r="N3465" i="2"/>
  <c r="B3465" i="2"/>
  <c r="N3464" i="2"/>
  <c r="B3464" i="2"/>
  <c r="N3463" i="2"/>
  <c r="B3463" i="2"/>
  <c r="N3462" i="2"/>
  <c r="B3462" i="2"/>
  <c r="N3461" i="2"/>
  <c r="B3461" i="2"/>
  <c r="N3460" i="2"/>
  <c r="B3460" i="2"/>
  <c r="N3459" i="2"/>
  <c r="B3459" i="2"/>
  <c r="N3458" i="2"/>
  <c r="B3458" i="2"/>
  <c r="N3457" i="2"/>
  <c r="B3457" i="2"/>
  <c r="N3456" i="2"/>
  <c r="B3456" i="2"/>
  <c r="N3455" i="2"/>
  <c r="B3455" i="2"/>
  <c r="N3454" i="2"/>
  <c r="B3454" i="2"/>
  <c r="N3453" i="2"/>
  <c r="B3453" i="2"/>
  <c r="N3452" i="2"/>
  <c r="B3452" i="2"/>
  <c r="N3451" i="2"/>
  <c r="B3451" i="2"/>
  <c r="N3450" i="2"/>
  <c r="B3450" i="2"/>
  <c r="N3449" i="2"/>
  <c r="B3449" i="2"/>
  <c r="N3448" i="2"/>
  <c r="B3448" i="2"/>
  <c r="N3447" i="2"/>
  <c r="B3447" i="2"/>
  <c r="N3446" i="2"/>
  <c r="B3446" i="2"/>
  <c r="N3445" i="2"/>
  <c r="B3445" i="2"/>
  <c r="N3444" i="2"/>
  <c r="B3444" i="2"/>
  <c r="N3443" i="2"/>
  <c r="B3443" i="2"/>
  <c r="N3442" i="2"/>
  <c r="B3442" i="2"/>
  <c r="N3441" i="2"/>
  <c r="B3441" i="2"/>
  <c r="N3440" i="2"/>
  <c r="B3440" i="2"/>
  <c r="N3439" i="2"/>
  <c r="B3439" i="2"/>
  <c r="N3438" i="2"/>
  <c r="B3438" i="2"/>
  <c r="N3437" i="2"/>
  <c r="B3437" i="2"/>
  <c r="N3436" i="2"/>
  <c r="B3436" i="2"/>
  <c r="N3435" i="2"/>
  <c r="B3435" i="2"/>
  <c r="N3434" i="2"/>
  <c r="B3434" i="2"/>
  <c r="N3433" i="2"/>
  <c r="B3433" i="2"/>
  <c r="N3432" i="2"/>
  <c r="B3432" i="2"/>
  <c r="N3431" i="2"/>
  <c r="B3431" i="2"/>
  <c r="N3430" i="2"/>
  <c r="B3430" i="2"/>
  <c r="N3429" i="2"/>
  <c r="B3429" i="2"/>
  <c r="N3428" i="2"/>
  <c r="B3428" i="2"/>
  <c r="N3427" i="2"/>
  <c r="B3427" i="2"/>
  <c r="N3426" i="2"/>
  <c r="B3426" i="2"/>
  <c r="N3425" i="2"/>
  <c r="B3425" i="2"/>
  <c r="N3424" i="2"/>
  <c r="B3424" i="2"/>
  <c r="N3423" i="2"/>
  <c r="B3423" i="2"/>
  <c r="N3422" i="2"/>
  <c r="B3422" i="2"/>
  <c r="N3421" i="2"/>
  <c r="B3421" i="2"/>
  <c r="N3420" i="2"/>
  <c r="B3420" i="2"/>
  <c r="N3419" i="2"/>
  <c r="B3419" i="2"/>
  <c r="N3418" i="2"/>
  <c r="B3418" i="2"/>
  <c r="N3417" i="2"/>
  <c r="B3417" i="2"/>
  <c r="N3416" i="2"/>
  <c r="B3416" i="2"/>
  <c r="N3415" i="2"/>
  <c r="B3415" i="2"/>
  <c r="N3414" i="2"/>
  <c r="B3414" i="2"/>
  <c r="N3413" i="2"/>
  <c r="B3413" i="2"/>
  <c r="N3412" i="2"/>
  <c r="B3412" i="2"/>
  <c r="N3411" i="2"/>
  <c r="B3411" i="2"/>
  <c r="N3410" i="2"/>
  <c r="B3410" i="2"/>
  <c r="N3409" i="2"/>
  <c r="B3409" i="2"/>
  <c r="N3408" i="2"/>
  <c r="B3408" i="2"/>
  <c r="N3407" i="2"/>
  <c r="B3407" i="2"/>
  <c r="N3406" i="2"/>
  <c r="B3406" i="2"/>
  <c r="N3405" i="2"/>
  <c r="B3405" i="2"/>
  <c r="N3404" i="2"/>
  <c r="B3404" i="2"/>
  <c r="N3403" i="2"/>
  <c r="B3403" i="2"/>
  <c r="N3402" i="2"/>
  <c r="B3402" i="2"/>
  <c r="N3401" i="2"/>
  <c r="B3401" i="2"/>
  <c r="N3400" i="2"/>
  <c r="B3400" i="2"/>
  <c r="N3399" i="2"/>
  <c r="B3399" i="2"/>
  <c r="N3398" i="2"/>
  <c r="B3398" i="2"/>
  <c r="N3397" i="2"/>
  <c r="B3397" i="2"/>
  <c r="N3396" i="2"/>
  <c r="B3396" i="2"/>
  <c r="N3395" i="2"/>
  <c r="B3395" i="2"/>
  <c r="N3394" i="2"/>
  <c r="B3394" i="2"/>
  <c r="N3393" i="2"/>
  <c r="B3393" i="2"/>
  <c r="N3392" i="2"/>
  <c r="B3392" i="2"/>
  <c r="N3391" i="2"/>
  <c r="B3391" i="2"/>
  <c r="N3390" i="2"/>
  <c r="B3390" i="2"/>
  <c r="N3389" i="2"/>
  <c r="B3389" i="2"/>
  <c r="N3388" i="2"/>
  <c r="B3388" i="2"/>
  <c r="N3387" i="2"/>
  <c r="B3387" i="2"/>
  <c r="N3386" i="2"/>
  <c r="B3386" i="2"/>
  <c r="N3385" i="2"/>
  <c r="B3385" i="2"/>
  <c r="N3384" i="2"/>
  <c r="B3384" i="2"/>
  <c r="N3383" i="2"/>
  <c r="B3383" i="2"/>
  <c r="N3382" i="2"/>
  <c r="B3382" i="2"/>
  <c r="N3381" i="2"/>
  <c r="B3381" i="2"/>
  <c r="N3380" i="2"/>
  <c r="B3380" i="2"/>
  <c r="N3379" i="2"/>
  <c r="B3379" i="2"/>
  <c r="N3378" i="2"/>
  <c r="B3378" i="2"/>
  <c r="N3377" i="2"/>
  <c r="B3377" i="2"/>
  <c r="N3376" i="2"/>
  <c r="B3376" i="2"/>
  <c r="N3375" i="2"/>
  <c r="B3375" i="2"/>
  <c r="N3374" i="2"/>
  <c r="B3374" i="2"/>
  <c r="N3373" i="2"/>
  <c r="B3373" i="2"/>
  <c r="N3372" i="2"/>
  <c r="B3372" i="2"/>
  <c r="N3371" i="2"/>
  <c r="B3371" i="2"/>
  <c r="N3370" i="2"/>
  <c r="B3370" i="2"/>
  <c r="N3369" i="2"/>
  <c r="B3369" i="2"/>
  <c r="N3368" i="2"/>
  <c r="B3368" i="2"/>
  <c r="N3367" i="2"/>
  <c r="B3367" i="2"/>
  <c r="N3366" i="2"/>
  <c r="B3366" i="2"/>
  <c r="N3365" i="2"/>
  <c r="B3365" i="2"/>
  <c r="N3364" i="2"/>
  <c r="B3364" i="2"/>
  <c r="N3363" i="2"/>
  <c r="B3363" i="2"/>
  <c r="N3362" i="2"/>
  <c r="B3362" i="2"/>
  <c r="N3361" i="2"/>
  <c r="B3361" i="2"/>
  <c r="N3360" i="2"/>
  <c r="B3360" i="2"/>
  <c r="N3359" i="2"/>
  <c r="B3359" i="2"/>
  <c r="N3358" i="2"/>
  <c r="B3358" i="2"/>
  <c r="N3357" i="2"/>
  <c r="B3357" i="2"/>
  <c r="N3356" i="2"/>
  <c r="B3356" i="2"/>
  <c r="N3355" i="2"/>
  <c r="B3355" i="2"/>
  <c r="N3354" i="2"/>
  <c r="B3354" i="2"/>
  <c r="N3353" i="2"/>
  <c r="B3353" i="2"/>
  <c r="N3352" i="2"/>
  <c r="B3352" i="2"/>
  <c r="N3351" i="2"/>
  <c r="B3351" i="2"/>
  <c r="N3350" i="2"/>
  <c r="B3350" i="2"/>
  <c r="N3349" i="2"/>
  <c r="B3349" i="2"/>
  <c r="N3348" i="2"/>
  <c r="B3348" i="2"/>
  <c r="N3347" i="2"/>
  <c r="B3347" i="2"/>
  <c r="N3346" i="2"/>
  <c r="B3346" i="2"/>
  <c r="N3345" i="2"/>
  <c r="B3345" i="2"/>
  <c r="N3344" i="2"/>
  <c r="B3344" i="2"/>
  <c r="N3343" i="2"/>
  <c r="B3343" i="2"/>
  <c r="N3342" i="2"/>
  <c r="B3342" i="2"/>
  <c r="N3341" i="2"/>
  <c r="B3341" i="2"/>
  <c r="N3340" i="2"/>
  <c r="B3340" i="2"/>
  <c r="N3339" i="2"/>
  <c r="B3339" i="2"/>
  <c r="N3338" i="2"/>
  <c r="B3338" i="2"/>
  <c r="N3337" i="2"/>
  <c r="B3337" i="2"/>
  <c r="N3336" i="2"/>
  <c r="B3336" i="2"/>
  <c r="N3335" i="2"/>
  <c r="B3335" i="2"/>
  <c r="N3334" i="2"/>
  <c r="B3334" i="2"/>
  <c r="N3333" i="2"/>
  <c r="B3333" i="2"/>
  <c r="N3332" i="2"/>
  <c r="B3332" i="2"/>
  <c r="N3331" i="2"/>
  <c r="B3331" i="2"/>
  <c r="N3330" i="2"/>
  <c r="B3330" i="2"/>
  <c r="N3329" i="2"/>
  <c r="B3329" i="2"/>
  <c r="N3328" i="2"/>
  <c r="B3328" i="2"/>
  <c r="N3327" i="2"/>
  <c r="B3327" i="2"/>
  <c r="N3326" i="2"/>
  <c r="B3326" i="2"/>
  <c r="N3325" i="2"/>
  <c r="B3325" i="2"/>
  <c r="N3324" i="2"/>
  <c r="B3324" i="2"/>
  <c r="N3323" i="2"/>
  <c r="B3323" i="2"/>
  <c r="N3322" i="2"/>
  <c r="B3322" i="2"/>
  <c r="N3321" i="2"/>
  <c r="B3321" i="2"/>
  <c r="N3320" i="2"/>
  <c r="B3320" i="2"/>
  <c r="N3319" i="2"/>
  <c r="B3319" i="2"/>
  <c r="N3318" i="2"/>
  <c r="B3318" i="2"/>
  <c r="N3317" i="2"/>
  <c r="B3317" i="2"/>
  <c r="N3316" i="2"/>
  <c r="B3316" i="2"/>
  <c r="N3315" i="2"/>
  <c r="B3315" i="2"/>
  <c r="N3314" i="2"/>
  <c r="B3314" i="2"/>
  <c r="N3313" i="2"/>
  <c r="B3313" i="2"/>
  <c r="N3312" i="2"/>
  <c r="B3312" i="2"/>
  <c r="N3311" i="2"/>
  <c r="B3311" i="2"/>
  <c r="N3310" i="2"/>
  <c r="B3310" i="2"/>
  <c r="N3309" i="2"/>
  <c r="B3309" i="2"/>
  <c r="N3308" i="2"/>
  <c r="B3308" i="2"/>
  <c r="N3307" i="2"/>
  <c r="B3307" i="2"/>
  <c r="N3306" i="2"/>
  <c r="B3306" i="2"/>
  <c r="N3305" i="2"/>
  <c r="B3305" i="2"/>
  <c r="N3304" i="2"/>
  <c r="B3304" i="2"/>
  <c r="N3303" i="2"/>
  <c r="B3303" i="2"/>
  <c r="N3302" i="2"/>
  <c r="B3302" i="2"/>
  <c r="N3301" i="2"/>
  <c r="B3301" i="2"/>
  <c r="N3300" i="2"/>
  <c r="B3300" i="2"/>
  <c r="N3299" i="2"/>
  <c r="B3299" i="2"/>
  <c r="N3298" i="2"/>
  <c r="B3298" i="2"/>
  <c r="N3297" i="2"/>
  <c r="B3297" i="2"/>
  <c r="N3296" i="2"/>
  <c r="B3296" i="2"/>
  <c r="N3295" i="2"/>
  <c r="B3295" i="2"/>
  <c r="N3294" i="2"/>
  <c r="B3294" i="2"/>
  <c r="N3293" i="2"/>
  <c r="B3293" i="2"/>
  <c r="N3292" i="2"/>
  <c r="B3292" i="2"/>
  <c r="N3291" i="2"/>
  <c r="B3291" i="2"/>
  <c r="N3290" i="2"/>
  <c r="B3290" i="2"/>
  <c r="N3289" i="2"/>
  <c r="B3289" i="2"/>
  <c r="N3288" i="2"/>
  <c r="B3288" i="2"/>
  <c r="N3287" i="2"/>
  <c r="B3287" i="2"/>
  <c r="N3286" i="2"/>
  <c r="B3286" i="2"/>
  <c r="N3285" i="2"/>
  <c r="B3285" i="2"/>
  <c r="N3284" i="2"/>
  <c r="B3284" i="2"/>
  <c r="N3283" i="2"/>
  <c r="B3283" i="2"/>
  <c r="N3282" i="2"/>
  <c r="B3282" i="2"/>
  <c r="N3281" i="2"/>
  <c r="B3281" i="2"/>
  <c r="N3280" i="2"/>
  <c r="B3280" i="2"/>
  <c r="N3279" i="2"/>
  <c r="B3279" i="2"/>
  <c r="N3278" i="2"/>
  <c r="B3278" i="2"/>
  <c r="N3277" i="2"/>
  <c r="B3277" i="2"/>
  <c r="N3276" i="2"/>
  <c r="B3276" i="2"/>
  <c r="N3275" i="2"/>
  <c r="B3275" i="2"/>
  <c r="N3274" i="2"/>
  <c r="B3274" i="2"/>
  <c r="N3273" i="2"/>
  <c r="B3273" i="2"/>
  <c r="N3272" i="2"/>
  <c r="B3272" i="2"/>
  <c r="N3271" i="2"/>
  <c r="B3271" i="2"/>
  <c r="N3270" i="2"/>
  <c r="B3270" i="2"/>
  <c r="N3269" i="2"/>
  <c r="B3269" i="2"/>
  <c r="N3268" i="2"/>
  <c r="B3268" i="2"/>
  <c r="N3267" i="2"/>
  <c r="B3267" i="2"/>
  <c r="N3266" i="2"/>
  <c r="B3266" i="2"/>
  <c r="N3265" i="2"/>
  <c r="B3265" i="2"/>
  <c r="N3264" i="2"/>
  <c r="B3264" i="2"/>
  <c r="N3263" i="2"/>
  <c r="B3263" i="2"/>
  <c r="N3262" i="2"/>
  <c r="B3262" i="2"/>
  <c r="N3261" i="2"/>
  <c r="B3261" i="2"/>
  <c r="N3260" i="2"/>
  <c r="B3260" i="2"/>
  <c r="N3259" i="2"/>
  <c r="B3259" i="2"/>
  <c r="N3258" i="2"/>
  <c r="B3258" i="2"/>
  <c r="N3257" i="2"/>
  <c r="B3257" i="2"/>
  <c r="N3256" i="2"/>
  <c r="B3256" i="2"/>
  <c r="N3255" i="2"/>
  <c r="B3255" i="2"/>
  <c r="N3254" i="2"/>
  <c r="B3254" i="2"/>
  <c r="N3253" i="2"/>
  <c r="B3253" i="2"/>
  <c r="N3252" i="2"/>
  <c r="B3252" i="2"/>
  <c r="N3251" i="2"/>
  <c r="B3251" i="2"/>
  <c r="N3250" i="2"/>
  <c r="B3250" i="2"/>
  <c r="N3249" i="2"/>
  <c r="B3249" i="2"/>
  <c r="N3248" i="2"/>
  <c r="B3248" i="2"/>
  <c r="N3247" i="2"/>
  <c r="B3247" i="2"/>
  <c r="N3246" i="2"/>
  <c r="B3246" i="2"/>
  <c r="N3245" i="2"/>
  <c r="B3245" i="2"/>
  <c r="N3244" i="2"/>
  <c r="B3244" i="2"/>
  <c r="N3243" i="2"/>
  <c r="B3243" i="2"/>
  <c r="N3242" i="2"/>
  <c r="B3242" i="2"/>
  <c r="N3241" i="2"/>
  <c r="B3241" i="2"/>
  <c r="N3240" i="2"/>
  <c r="B3240" i="2"/>
  <c r="N3239" i="2"/>
  <c r="B3239" i="2"/>
  <c r="N3238" i="2"/>
  <c r="B3238" i="2"/>
  <c r="N3237" i="2"/>
  <c r="B3237" i="2"/>
  <c r="N3236" i="2"/>
  <c r="B3236" i="2"/>
  <c r="N3235" i="2"/>
  <c r="B3235" i="2"/>
  <c r="N3234" i="2"/>
  <c r="B3234" i="2"/>
  <c r="N3233" i="2"/>
  <c r="B3233" i="2"/>
  <c r="N3232" i="2"/>
  <c r="B3232" i="2"/>
  <c r="N3231" i="2"/>
  <c r="B3231" i="2"/>
  <c r="N3230" i="2"/>
  <c r="B3230" i="2"/>
  <c r="N3229" i="2"/>
  <c r="B3229" i="2"/>
  <c r="N3228" i="2"/>
  <c r="B3228" i="2"/>
  <c r="N3227" i="2"/>
  <c r="B3227" i="2"/>
  <c r="N3226" i="2"/>
  <c r="B3226" i="2"/>
  <c r="N3225" i="2"/>
  <c r="B3225" i="2"/>
  <c r="N3224" i="2"/>
  <c r="B3224" i="2"/>
  <c r="N3223" i="2"/>
  <c r="B3223" i="2"/>
  <c r="N3222" i="2"/>
  <c r="B3222" i="2"/>
  <c r="N3221" i="2"/>
  <c r="B3221" i="2"/>
  <c r="N3220" i="2"/>
  <c r="B3220" i="2"/>
  <c r="N3219" i="2"/>
  <c r="B3219" i="2"/>
  <c r="N3218" i="2"/>
  <c r="B3218" i="2"/>
  <c r="N3217" i="2"/>
  <c r="B3217" i="2"/>
  <c r="N3216" i="2"/>
  <c r="B3216" i="2"/>
  <c r="N3215" i="2"/>
  <c r="B3215" i="2"/>
  <c r="N3214" i="2"/>
  <c r="B3214" i="2"/>
  <c r="N3213" i="2"/>
  <c r="B3213" i="2"/>
  <c r="N3212" i="2"/>
  <c r="B3212" i="2"/>
  <c r="N3211" i="2"/>
  <c r="B3211" i="2"/>
  <c r="N3210" i="2"/>
  <c r="B3210" i="2"/>
  <c r="N3209" i="2"/>
  <c r="B3209" i="2"/>
  <c r="N3208" i="2"/>
  <c r="B3208" i="2"/>
  <c r="N3207" i="2"/>
  <c r="B3207" i="2"/>
  <c r="N3206" i="2"/>
  <c r="B3206" i="2"/>
  <c r="N3205" i="2"/>
  <c r="B3205" i="2"/>
  <c r="N3204" i="2"/>
  <c r="B3204" i="2"/>
  <c r="N3203" i="2"/>
  <c r="B3203" i="2"/>
  <c r="N3202" i="2"/>
  <c r="B3202" i="2"/>
  <c r="N3201" i="2"/>
  <c r="B3201" i="2"/>
  <c r="N3200" i="2"/>
  <c r="B3200" i="2"/>
  <c r="N3199" i="2"/>
  <c r="B3199" i="2"/>
  <c r="N3198" i="2"/>
  <c r="B3198" i="2"/>
  <c r="N3197" i="2"/>
  <c r="B3197" i="2"/>
  <c r="N3196" i="2"/>
  <c r="B3196" i="2"/>
  <c r="N3195" i="2"/>
  <c r="B3195" i="2"/>
  <c r="N3194" i="2"/>
  <c r="B3194" i="2"/>
  <c r="N3193" i="2"/>
  <c r="B3193" i="2"/>
  <c r="N3192" i="2"/>
  <c r="B3192" i="2"/>
  <c r="N3191" i="2"/>
  <c r="B3191" i="2"/>
  <c r="N3190" i="2"/>
  <c r="B3190" i="2"/>
  <c r="N3189" i="2"/>
  <c r="B3189" i="2"/>
  <c r="N3188" i="2"/>
  <c r="B3188" i="2"/>
  <c r="N3187" i="2"/>
  <c r="B3187" i="2"/>
  <c r="N3186" i="2"/>
  <c r="B3186" i="2"/>
  <c r="N3185" i="2"/>
  <c r="B3185" i="2"/>
  <c r="N3184" i="2"/>
  <c r="B3184" i="2"/>
  <c r="N3183" i="2"/>
  <c r="B3183" i="2"/>
  <c r="N3182" i="2"/>
  <c r="B3182" i="2"/>
  <c r="N3181" i="2"/>
  <c r="B3181" i="2"/>
  <c r="N3180" i="2"/>
  <c r="B3180" i="2"/>
  <c r="N3179" i="2"/>
  <c r="B3179" i="2"/>
  <c r="N3178" i="2"/>
  <c r="B3178" i="2"/>
  <c r="N3177" i="2"/>
  <c r="B3177" i="2"/>
  <c r="N3176" i="2"/>
  <c r="B3176" i="2"/>
  <c r="N3175" i="2"/>
  <c r="B3175" i="2"/>
  <c r="N3174" i="2"/>
  <c r="B3174" i="2"/>
  <c r="N3173" i="2"/>
  <c r="B3173" i="2"/>
  <c r="N3172" i="2"/>
  <c r="B3172" i="2"/>
  <c r="N3171" i="2"/>
  <c r="B3171" i="2"/>
  <c r="N3170" i="2"/>
  <c r="B3170" i="2"/>
  <c r="N3169" i="2"/>
  <c r="B3169" i="2"/>
  <c r="N3168" i="2"/>
  <c r="B3168" i="2"/>
  <c r="N3167" i="2"/>
  <c r="B3167" i="2"/>
  <c r="N3166" i="2"/>
  <c r="B3166" i="2"/>
  <c r="N3165" i="2"/>
  <c r="B3165" i="2"/>
  <c r="N3164" i="2"/>
  <c r="B3164" i="2"/>
  <c r="N3163" i="2"/>
  <c r="B3163" i="2"/>
  <c r="N3162" i="2"/>
  <c r="B3162" i="2"/>
  <c r="N3161" i="2"/>
  <c r="B3161" i="2"/>
  <c r="N3160" i="2"/>
  <c r="B3160" i="2"/>
  <c r="N3159" i="2"/>
  <c r="B3159" i="2"/>
  <c r="N3158" i="2"/>
  <c r="B3158" i="2"/>
  <c r="N3157" i="2"/>
  <c r="B3157" i="2"/>
  <c r="N3156" i="2"/>
  <c r="B3156" i="2"/>
  <c r="N3155" i="2"/>
  <c r="B3155" i="2"/>
  <c r="N3154" i="2"/>
  <c r="B3154" i="2"/>
  <c r="N3153" i="2"/>
  <c r="B3153" i="2"/>
  <c r="N3152" i="2"/>
  <c r="B3152" i="2"/>
  <c r="N3151" i="2"/>
  <c r="B3151" i="2"/>
  <c r="N3150" i="2"/>
  <c r="B3150" i="2"/>
  <c r="N3149" i="2"/>
  <c r="B3149" i="2"/>
  <c r="N3148" i="2"/>
  <c r="B3148" i="2"/>
  <c r="N3147" i="2"/>
  <c r="B3147" i="2"/>
  <c r="N3146" i="2"/>
  <c r="B3146" i="2"/>
  <c r="N3145" i="2"/>
  <c r="B3145" i="2"/>
  <c r="N3144" i="2"/>
  <c r="B3144" i="2"/>
  <c r="N3143" i="2"/>
  <c r="B3143" i="2"/>
  <c r="N3142" i="2"/>
  <c r="B3142" i="2"/>
  <c r="N3141" i="2"/>
  <c r="B3141" i="2"/>
  <c r="N3140" i="2"/>
  <c r="B3140" i="2"/>
  <c r="N3139" i="2"/>
  <c r="B3139" i="2"/>
  <c r="N3138" i="2"/>
  <c r="B3138" i="2"/>
  <c r="N3137" i="2"/>
  <c r="B3137" i="2"/>
  <c r="N3136" i="2"/>
  <c r="B3136" i="2"/>
  <c r="N3135" i="2"/>
  <c r="B3135" i="2"/>
  <c r="N3134" i="2"/>
  <c r="B3134" i="2"/>
  <c r="N3133" i="2"/>
  <c r="B3133" i="2"/>
  <c r="N3132" i="2"/>
  <c r="B3132" i="2"/>
  <c r="N3131" i="2"/>
  <c r="B3131" i="2"/>
  <c r="N3130" i="2"/>
  <c r="B3130" i="2"/>
  <c r="N3129" i="2"/>
  <c r="B3129" i="2"/>
  <c r="N3128" i="2"/>
  <c r="B3128" i="2"/>
  <c r="N3127" i="2"/>
  <c r="B3127" i="2"/>
  <c r="N3126" i="2"/>
  <c r="B3126" i="2"/>
  <c r="N3125" i="2"/>
  <c r="B3125" i="2"/>
  <c r="N3124" i="2"/>
  <c r="B3124" i="2"/>
  <c r="N3123" i="2"/>
  <c r="B3123" i="2"/>
  <c r="N3122" i="2"/>
  <c r="B3122" i="2"/>
  <c r="N3121" i="2"/>
  <c r="B3121" i="2"/>
  <c r="N3120" i="2"/>
  <c r="B3120" i="2"/>
  <c r="N3119" i="2"/>
  <c r="B3119" i="2"/>
  <c r="N3118" i="2"/>
  <c r="B3118" i="2"/>
  <c r="N3117" i="2"/>
  <c r="B3117" i="2"/>
  <c r="N3116" i="2"/>
  <c r="B3116" i="2"/>
  <c r="N3115" i="2"/>
  <c r="B3115" i="2"/>
  <c r="N3114" i="2"/>
  <c r="B3114" i="2"/>
  <c r="N3113" i="2"/>
  <c r="B3113" i="2"/>
  <c r="N3112" i="2"/>
  <c r="B3112" i="2"/>
  <c r="N3111" i="2"/>
  <c r="B3111" i="2"/>
  <c r="N3110" i="2"/>
  <c r="B3110" i="2"/>
  <c r="N3109" i="2"/>
  <c r="B3109" i="2"/>
  <c r="N3108" i="2"/>
  <c r="B3108" i="2"/>
  <c r="N3107" i="2"/>
  <c r="B3107" i="2"/>
  <c r="N3106" i="2"/>
  <c r="B3106" i="2"/>
  <c r="N3105" i="2"/>
  <c r="B3105" i="2"/>
  <c r="N3104" i="2"/>
  <c r="B3104" i="2"/>
  <c r="N3103" i="2"/>
  <c r="B3103" i="2"/>
  <c r="N3102" i="2"/>
  <c r="B3102" i="2"/>
  <c r="N3101" i="2"/>
  <c r="B3101" i="2"/>
  <c r="N3100" i="2"/>
  <c r="B3100" i="2"/>
  <c r="N3099" i="2"/>
  <c r="B3099" i="2"/>
  <c r="N3098" i="2"/>
  <c r="B3098" i="2"/>
  <c r="N3097" i="2"/>
  <c r="B3097" i="2"/>
  <c r="N3096" i="2"/>
  <c r="B3096" i="2"/>
  <c r="N3095" i="2"/>
  <c r="B3095" i="2"/>
  <c r="N3094" i="2"/>
  <c r="B3094" i="2"/>
  <c r="N3093" i="2"/>
  <c r="B3093" i="2"/>
  <c r="N3092" i="2"/>
  <c r="B3092" i="2"/>
  <c r="N3091" i="2"/>
  <c r="B3091" i="2"/>
  <c r="N3090" i="2"/>
  <c r="B3090" i="2"/>
  <c r="N3089" i="2"/>
  <c r="B3089" i="2"/>
  <c r="N3088" i="2"/>
  <c r="B3088" i="2"/>
  <c r="N3087" i="2"/>
  <c r="B3087" i="2"/>
  <c r="N3086" i="2"/>
  <c r="B3086" i="2"/>
  <c r="N3085" i="2"/>
  <c r="B3085" i="2"/>
  <c r="N3084" i="2"/>
  <c r="B3084" i="2"/>
  <c r="N3083" i="2"/>
  <c r="B3083" i="2"/>
  <c r="N3082" i="2"/>
  <c r="B3082" i="2"/>
  <c r="N3081" i="2"/>
  <c r="B3081" i="2"/>
  <c r="N3080" i="2"/>
  <c r="B3080" i="2"/>
  <c r="N3079" i="2"/>
  <c r="B3079" i="2"/>
  <c r="N3078" i="2"/>
  <c r="B3078" i="2"/>
  <c r="N3077" i="2"/>
  <c r="B3077" i="2"/>
  <c r="N3076" i="2"/>
  <c r="B3076" i="2"/>
  <c r="N3075" i="2"/>
  <c r="B3075" i="2"/>
  <c r="N3074" i="2"/>
  <c r="B3074" i="2"/>
  <c r="N3073" i="2"/>
  <c r="B3073" i="2"/>
  <c r="N3072" i="2"/>
  <c r="B3072" i="2"/>
  <c r="N3071" i="2"/>
  <c r="B3071" i="2"/>
  <c r="N3070" i="2"/>
  <c r="B3070" i="2"/>
  <c r="N3069" i="2"/>
  <c r="B3069" i="2"/>
  <c r="N3068" i="2"/>
  <c r="B3068" i="2"/>
  <c r="N3067" i="2"/>
  <c r="B3067" i="2"/>
  <c r="N3066" i="2"/>
  <c r="B3066" i="2"/>
  <c r="N3065" i="2"/>
  <c r="B3065" i="2"/>
  <c r="N3064" i="2"/>
  <c r="B3064" i="2"/>
  <c r="N3063" i="2"/>
  <c r="B3063" i="2"/>
  <c r="N3062" i="2"/>
  <c r="B3062" i="2"/>
  <c r="N3061" i="2"/>
  <c r="B3061" i="2"/>
  <c r="N3060" i="2"/>
  <c r="B3060" i="2"/>
  <c r="N3059" i="2"/>
  <c r="B3059" i="2"/>
  <c r="N3058" i="2"/>
  <c r="B3058" i="2"/>
  <c r="N3057" i="2"/>
  <c r="B3057" i="2"/>
  <c r="N3056" i="2"/>
  <c r="B3056" i="2"/>
  <c r="N3055" i="2"/>
  <c r="B3055" i="2"/>
  <c r="N3054" i="2"/>
  <c r="B3054" i="2"/>
  <c r="N3053" i="2"/>
  <c r="B3053" i="2"/>
  <c r="N3052" i="2"/>
  <c r="B3052" i="2"/>
  <c r="N3051" i="2"/>
  <c r="B3051" i="2"/>
  <c r="N3050" i="2"/>
  <c r="B3050" i="2"/>
  <c r="N3049" i="2"/>
  <c r="B3049" i="2"/>
  <c r="N3048" i="2"/>
  <c r="B3048" i="2"/>
  <c r="N3047" i="2"/>
  <c r="B3047" i="2"/>
  <c r="N3046" i="2"/>
  <c r="B3046" i="2"/>
  <c r="N3045" i="2"/>
  <c r="B3045" i="2"/>
  <c r="N3044" i="2"/>
  <c r="B3044" i="2"/>
  <c r="N3043" i="2"/>
  <c r="B3043" i="2"/>
  <c r="N3042" i="2"/>
  <c r="B3042" i="2"/>
  <c r="N3041" i="2"/>
  <c r="B3041" i="2"/>
  <c r="N3040" i="2"/>
  <c r="B3040" i="2"/>
  <c r="N3039" i="2"/>
  <c r="B3039" i="2"/>
  <c r="N3038" i="2"/>
  <c r="B3038" i="2"/>
  <c r="N3037" i="2"/>
  <c r="B3037" i="2"/>
  <c r="N3036" i="2"/>
  <c r="B3036" i="2"/>
  <c r="N3035" i="2"/>
  <c r="B3035" i="2"/>
  <c r="N3034" i="2"/>
  <c r="B3034" i="2"/>
  <c r="N3033" i="2"/>
  <c r="B3033" i="2"/>
  <c r="N3032" i="2"/>
  <c r="B3032" i="2"/>
  <c r="N3031" i="2"/>
  <c r="B3031" i="2"/>
  <c r="N3030" i="2"/>
  <c r="B3030" i="2"/>
  <c r="N3029" i="2"/>
  <c r="B3029" i="2"/>
  <c r="N3028" i="2"/>
  <c r="B3028" i="2"/>
  <c r="N3027" i="2"/>
  <c r="B3027" i="2"/>
  <c r="N3026" i="2"/>
  <c r="B3026" i="2"/>
  <c r="N3025" i="2"/>
  <c r="B3025" i="2"/>
  <c r="N3024" i="2"/>
  <c r="B3024" i="2"/>
  <c r="N3023" i="2"/>
  <c r="B3023" i="2"/>
  <c r="N3022" i="2"/>
  <c r="B3022" i="2"/>
  <c r="N3021" i="2"/>
  <c r="B3021" i="2"/>
  <c r="N3020" i="2"/>
  <c r="B3020" i="2"/>
  <c r="N3019" i="2"/>
  <c r="B3019" i="2"/>
  <c r="N3018" i="2"/>
  <c r="B3018" i="2"/>
  <c r="N3017" i="2"/>
  <c r="B3017" i="2"/>
  <c r="N3016" i="2"/>
  <c r="B3016" i="2"/>
  <c r="N3015" i="2"/>
  <c r="B3015" i="2"/>
  <c r="N3014" i="2"/>
  <c r="B3014" i="2"/>
  <c r="N3013" i="2"/>
  <c r="B3013" i="2"/>
  <c r="N3012" i="2"/>
  <c r="B3012" i="2"/>
  <c r="N3011" i="2"/>
  <c r="B3011" i="2"/>
  <c r="N3010" i="2"/>
  <c r="B3010" i="2"/>
  <c r="N3009" i="2"/>
  <c r="B3009" i="2"/>
  <c r="N3008" i="2"/>
  <c r="B3008" i="2"/>
  <c r="N3007" i="2"/>
  <c r="B3007" i="2"/>
  <c r="N3006" i="2"/>
  <c r="B3006" i="2"/>
  <c r="N3005" i="2"/>
  <c r="B3005" i="2"/>
  <c r="N3004" i="2"/>
  <c r="B3004" i="2"/>
  <c r="N3003" i="2"/>
  <c r="B3003" i="2"/>
  <c r="N3002" i="2"/>
  <c r="B3002" i="2"/>
  <c r="N3001" i="2"/>
  <c r="B3001" i="2"/>
  <c r="N3000" i="2"/>
  <c r="B3000" i="2"/>
  <c r="N2999" i="2"/>
  <c r="B2999" i="2"/>
  <c r="N2998" i="2"/>
  <c r="B2998" i="2"/>
  <c r="N2997" i="2"/>
  <c r="B2997" i="2"/>
  <c r="N2996" i="2"/>
  <c r="B2996" i="2"/>
  <c r="N2995" i="2"/>
  <c r="B2995" i="2"/>
  <c r="N2994" i="2"/>
  <c r="B2994" i="2"/>
  <c r="N2993" i="2"/>
  <c r="B2993" i="2"/>
  <c r="N2992" i="2"/>
  <c r="B2992" i="2"/>
  <c r="N2991" i="2"/>
  <c r="B2991" i="2"/>
  <c r="N2990" i="2"/>
  <c r="B2990" i="2"/>
  <c r="N2989" i="2"/>
  <c r="B2989" i="2"/>
  <c r="N2988" i="2"/>
  <c r="B2988" i="2"/>
  <c r="N2987" i="2"/>
  <c r="B2987" i="2"/>
  <c r="N2986" i="2"/>
  <c r="B2986" i="2"/>
  <c r="N2985" i="2"/>
  <c r="B2985" i="2"/>
  <c r="N2984" i="2"/>
  <c r="B2984" i="2"/>
  <c r="N2983" i="2"/>
  <c r="B2983" i="2"/>
  <c r="N2982" i="2"/>
  <c r="B2982" i="2"/>
  <c r="N2981" i="2"/>
  <c r="B2981" i="2"/>
  <c r="N2980" i="2"/>
  <c r="B2980" i="2"/>
  <c r="N2979" i="2"/>
  <c r="B2979" i="2"/>
  <c r="N2978" i="2"/>
  <c r="B2978" i="2"/>
  <c r="N2977" i="2"/>
  <c r="B2977" i="2"/>
  <c r="N2976" i="2"/>
  <c r="B2976" i="2"/>
  <c r="N2975" i="2"/>
  <c r="B2975" i="2"/>
  <c r="N2974" i="2"/>
  <c r="B2974" i="2"/>
  <c r="N2973" i="2"/>
  <c r="B2973" i="2"/>
  <c r="N2972" i="2"/>
  <c r="B2972" i="2"/>
  <c r="N2971" i="2"/>
  <c r="B2971" i="2"/>
  <c r="N2970" i="2"/>
  <c r="B2970" i="2"/>
  <c r="N2969" i="2"/>
  <c r="B2969" i="2"/>
  <c r="N2968" i="2"/>
  <c r="B2968" i="2"/>
  <c r="N2967" i="2"/>
  <c r="B2967" i="2"/>
  <c r="N2966" i="2"/>
  <c r="B2966" i="2"/>
  <c r="N2965" i="2"/>
  <c r="B2965" i="2"/>
  <c r="N2964" i="2"/>
  <c r="B2964" i="2"/>
  <c r="N2963" i="2"/>
  <c r="B2963" i="2"/>
  <c r="N2962" i="2"/>
  <c r="B2962" i="2"/>
  <c r="N2961" i="2"/>
  <c r="B2961" i="2"/>
  <c r="N2960" i="2"/>
  <c r="B2960" i="2"/>
  <c r="N2959" i="2"/>
  <c r="B2959" i="2"/>
  <c r="N2958" i="2"/>
  <c r="B2958" i="2"/>
  <c r="N2957" i="2"/>
  <c r="B2957" i="2"/>
  <c r="N2956" i="2"/>
  <c r="B2956" i="2"/>
  <c r="N2955" i="2"/>
  <c r="B2955" i="2"/>
  <c r="N2954" i="2"/>
  <c r="B2954" i="2"/>
  <c r="N2953" i="2"/>
  <c r="B2953" i="2"/>
  <c r="N2952" i="2"/>
  <c r="B2952" i="2"/>
  <c r="N2951" i="2"/>
  <c r="B2951" i="2"/>
  <c r="N2950" i="2"/>
  <c r="B2950" i="2"/>
  <c r="N2949" i="2"/>
  <c r="B2949" i="2"/>
  <c r="N2948" i="2"/>
  <c r="B2948" i="2"/>
  <c r="N2947" i="2"/>
  <c r="B2947" i="2"/>
  <c r="N2946" i="2"/>
  <c r="B2946" i="2"/>
  <c r="N2945" i="2"/>
  <c r="B2945" i="2"/>
  <c r="N2944" i="2"/>
  <c r="B2944" i="2"/>
  <c r="N2943" i="2"/>
  <c r="B2943" i="2"/>
  <c r="N2942" i="2"/>
  <c r="B2942" i="2"/>
  <c r="N2941" i="2"/>
  <c r="B2941" i="2"/>
  <c r="N2940" i="2"/>
  <c r="B2940" i="2"/>
  <c r="N2939" i="2"/>
  <c r="B2939" i="2"/>
  <c r="N2938" i="2"/>
  <c r="B2938" i="2"/>
  <c r="N2937" i="2"/>
  <c r="B2937" i="2"/>
  <c r="N2936" i="2"/>
  <c r="B2936" i="2"/>
  <c r="N2935" i="2"/>
  <c r="B2935" i="2"/>
  <c r="N2934" i="2"/>
  <c r="B2934" i="2"/>
  <c r="N2933" i="2"/>
  <c r="B2933" i="2"/>
  <c r="N2932" i="2"/>
  <c r="B2932" i="2"/>
  <c r="N2931" i="2"/>
  <c r="B2931" i="2"/>
  <c r="N2930" i="2"/>
  <c r="B2930" i="2"/>
  <c r="N2929" i="2"/>
  <c r="B2929" i="2"/>
  <c r="N2928" i="2"/>
  <c r="B2928" i="2"/>
  <c r="N2927" i="2"/>
  <c r="B2927" i="2"/>
  <c r="N2926" i="2"/>
  <c r="B2926" i="2"/>
  <c r="N2925" i="2"/>
  <c r="B2925" i="2"/>
  <c r="N2924" i="2"/>
  <c r="B2924" i="2"/>
  <c r="N2923" i="2"/>
  <c r="B2923" i="2"/>
  <c r="N2922" i="2"/>
  <c r="B2922" i="2"/>
  <c r="N2921" i="2"/>
  <c r="B2921" i="2"/>
  <c r="N2920" i="2"/>
  <c r="B2920" i="2"/>
  <c r="N2919" i="2"/>
  <c r="B2919" i="2"/>
  <c r="N2918" i="2"/>
  <c r="B2918" i="2"/>
  <c r="N2917" i="2"/>
  <c r="B2917" i="2"/>
  <c r="N2916" i="2"/>
  <c r="B2916" i="2"/>
  <c r="N2915" i="2"/>
  <c r="B2915" i="2"/>
  <c r="N2914" i="2"/>
  <c r="B2914" i="2"/>
  <c r="N2913" i="2"/>
  <c r="B2913" i="2"/>
  <c r="N2912" i="2"/>
  <c r="B2912" i="2"/>
  <c r="N2911" i="2"/>
  <c r="B2911" i="2"/>
  <c r="N2910" i="2"/>
  <c r="B2910" i="2"/>
  <c r="N2909" i="2"/>
  <c r="B2909" i="2"/>
  <c r="N2908" i="2"/>
  <c r="B2908" i="2"/>
  <c r="N2907" i="2"/>
  <c r="B2907" i="2"/>
  <c r="N2906" i="2"/>
  <c r="B2906" i="2"/>
  <c r="N2905" i="2"/>
  <c r="B2905" i="2"/>
  <c r="N2904" i="2"/>
  <c r="B2904" i="2"/>
  <c r="N2903" i="2"/>
  <c r="B2903" i="2"/>
  <c r="N2902" i="2"/>
  <c r="B2902" i="2"/>
  <c r="N2901" i="2"/>
  <c r="B2901" i="2"/>
  <c r="N2900" i="2"/>
  <c r="B2900" i="2"/>
  <c r="N2899" i="2"/>
  <c r="B2899" i="2"/>
  <c r="N2898" i="2"/>
  <c r="B2898" i="2"/>
  <c r="N2897" i="2"/>
  <c r="B2897" i="2"/>
  <c r="N2896" i="2"/>
  <c r="B2896" i="2"/>
  <c r="N2895" i="2"/>
  <c r="B2895" i="2"/>
  <c r="N2894" i="2"/>
  <c r="B2894" i="2"/>
  <c r="N2893" i="2"/>
  <c r="B2893" i="2"/>
  <c r="N2892" i="2"/>
  <c r="B2892" i="2"/>
  <c r="N2891" i="2"/>
  <c r="B2891" i="2"/>
  <c r="N2890" i="2"/>
  <c r="B2890" i="2"/>
  <c r="N2889" i="2"/>
  <c r="B2889" i="2"/>
  <c r="N2888" i="2"/>
  <c r="B2888" i="2"/>
  <c r="N2887" i="2"/>
  <c r="B2887" i="2"/>
  <c r="N2886" i="2"/>
  <c r="B2886" i="2"/>
  <c r="N2885" i="2"/>
  <c r="B2885" i="2"/>
  <c r="N2884" i="2"/>
  <c r="B2884" i="2"/>
  <c r="N2883" i="2"/>
  <c r="B2883" i="2"/>
  <c r="N2882" i="2"/>
  <c r="B2882" i="2"/>
  <c r="N2881" i="2"/>
  <c r="B2881" i="2"/>
  <c r="N2880" i="2"/>
  <c r="B2880" i="2"/>
  <c r="N2879" i="2"/>
  <c r="B2879" i="2"/>
  <c r="N2878" i="2"/>
  <c r="B2878" i="2"/>
  <c r="N2877" i="2"/>
  <c r="B2877" i="2"/>
  <c r="N2876" i="2"/>
  <c r="B2876" i="2"/>
  <c r="N2875" i="2"/>
  <c r="B2875" i="2"/>
  <c r="N2874" i="2"/>
  <c r="B2874" i="2"/>
  <c r="N2873" i="2"/>
  <c r="B2873" i="2"/>
  <c r="N2872" i="2"/>
  <c r="B2872" i="2"/>
  <c r="N2871" i="2"/>
  <c r="B2871" i="2"/>
  <c r="N2870" i="2"/>
  <c r="B2870" i="2"/>
  <c r="N2869" i="2"/>
  <c r="B2869" i="2"/>
  <c r="N2868" i="2"/>
  <c r="B2868" i="2"/>
  <c r="N2867" i="2"/>
  <c r="B2867" i="2"/>
  <c r="N2866" i="2"/>
  <c r="B2866" i="2"/>
  <c r="N2865" i="2"/>
  <c r="B2865" i="2"/>
  <c r="N2864" i="2"/>
  <c r="B2864" i="2"/>
  <c r="N2863" i="2"/>
  <c r="B2863" i="2"/>
  <c r="N2862" i="2"/>
  <c r="B2862" i="2"/>
  <c r="N2861" i="2"/>
  <c r="B2861" i="2"/>
  <c r="N2860" i="2"/>
  <c r="B2860" i="2"/>
  <c r="N2859" i="2"/>
  <c r="B2859" i="2"/>
  <c r="N2858" i="2"/>
  <c r="B2858" i="2"/>
  <c r="N2857" i="2"/>
  <c r="B2857" i="2"/>
  <c r="N2856" i="2"/>
  <c r="B2856" i="2"/>
  <c r="N2855" i="2"/>
  <c r="B2855" i="2"/>
  <c r="N2854" i="2"/>
  <c r="B2854" i="2"/>
  <c r="N2853" i="2"/>
  <c r="B2853" i="2"/>
  <c r="N2852" i="2"/>
  <c r="B2852" i="2"/>
  <c r="N2851" i="2"/>
  <c r="B2851" i="2"/>
  <c r="N2850" i="2"/>
  <c r="B2850" i="2"/>
  <c r="N2849" i="2"/>
  <c r="B2849" i="2"/>
  <c r="N2848" i="2"/>
  <c r="B2848" i="2"/>
  <c r="N2847" i="2"/>
  <c r="B2847" i="2"/>
  <c r="N2846" i="2"/>
  <c r="B2846" i="2"/>
  <c r="N2845" i="2"/>
  <c r="B2845" i="2"/>
  <c r="N2844" i="2"/>
  <c r="B2844" i="2"/>
  <c r="N2843" i="2"/>
  <c r="B2843" i="2"/>
  <c r="N2842" i="2"/>
  <c r="B2842" i="2"/>
  <c r="N2841" i="2"/>
  <c r="B2841" i="2"/>
  <c r="N2840" i="2"/>
  <c r="B2840" i="2"/>
  <c r="N2839" i="2"/>
  <c r="B2839" i="2"/>
  <c r="N2838" i="2"/>
  <c r="B2838" i="2"/>
  <c r="N2837" i="2"/>
  <c r="B2837" i="2"/>
  <c r="N2836" i="2"/>
  <c r="B2836" i="2"/>
  <c r="N2835" i="2"/>
  <c r="B2835" i="2"/>
  <c r="N2834" i="2"/>
  <c r="B2834" i="2"/>
  <c r="N2833" i="2"/>
  <c r="B2833" i="2"/>
  <c r="N2832" i="2"/>
  <c r="B2832" i="2"/>
  <c r="N2831" i="2"/>
  <c r="B2831" i="2"/>
  <c r="N2830" i="2"/>
  <c r="B2830" i="2"/>
  <c r="N2829" i="2"/>
  <c r="B2829" i="2"/>
  <c r="N2828" i="2"/>
  <c r="B2828" i="2"/>
  <c r="N2827" i="2"/>
  <c r="B2827" i="2"/>
  <c r="N2826" i="2"/>
  <c r="B2826" i="2"/>
  <c r="N2825" i="2"/>
  <c r="B2825" i="2"/>
  <c r="N2824" i="2"/>
  <c r="B2824" i="2"/>
  <c r="N2823" i="2"/>
  <c r="B2823" i="2"/>
  <c r="N2822" i="2"/>
  <c r="B2822" i="2"/>
  <c r="N2821" i="2"/>
  <c r="B2821" i="2"/>
  <c r="N2820" i="2"/>
  <c r="B2820" i="2"/>
  <c r="N2819" i="2"/>
  <c r="B2819" i="2"/>
  <c r="N2818" i="2"/>
  <c r="B2818" i="2"/>
  <c r="N2817" i="2"/>
  <c r="B2817" i="2"/>
  <c r="N2816" i="2"/>
  <c r="B2816" i="2"/>
  <c r="N2815" i="2"/>
  <c r="B2815" i="2"/>
  <c r="N2814" i="2"/>
  <c r="B2814" i="2"/>
  <c r="N2813" i="2"/>
  <c r="B2813" i="2"/>
  <c r="N2812" i="2"/>
  <c r="B2812" i="2"/>
  <c r="N2811" i="2"/>
  <c r="B2811" i="2"/>
  <c r="N2810" i="2"/>
  <c r="B2810" i="2"/>
  <c r="N2809" i="2"/>
  <c r="B2809" i="2"/>
  <c r="N2808" i="2"/>
  <c r="B2808" i="2"/>
  <c r="N2807" i="2"/>
  <c r="B2807" i="2"/>
  <c r="N2806" i="2"/>
  <c r="B2806" i="2"/>
  <c r="N2805" i="2"/>
  <c r="B2805" i="2"/>
  <c r="N2804" i="2"/>
  <c r="B2804" i="2"/>
  <c r="N2803" i="2"/>
  <c r="B2803" i="2"/>
  <c r="N2802" i="2"/>
  <c r="B2802" i="2"/>
  <c r="N2801" i="2"/>
  <c r="B2801" i="2"/>
  <c r="N2800" i="2"/>
  <c r="B2800" i="2"/>
  <c r="N2799" i="2"/>
  <c r="B2799" i="2"/>
  <c r="N2798" i="2"/>
  <c r="B2798" i="2"/>
  <c r="N2797" i="2"/>
  <c r="B2797" i="2"/>
  <c r="N2796" i="2"/>
  <c r="B2796" i="2"/>
  <c r="N2795" i="2"/>
  <c r="B2795" i="2"/>
  <c r="N2794" i="2"/>
  <c r="B2794" i="2"/>
  <c r="N2793" i="2"/>
  <c r="B2793" i="2"/>
  <c r="N2792" i="2"/>
  <c r="B2792" i="2"/>
  <c r="N2791" i="2"/>
  <c r="B2791" i="2"/>
  <c r="N2790" i="2"/>
  <c r="B2790" i="2"/>
  <c r="N2789" i="2"/>
  <c r="B2789" i="2"/>
  <c r="N2788" i="2"/>
  <c r="B2788" i="2"/>
  <c r="N2787" i="2"/>
  <c r="B2787" i="2"/>
  <c r="N2786" i="2"/>
  <c r="B2786" i="2"/>
  <c r="N2785" i="2"/>
  <c r="B2785" i="2"/>
  <c r="N2784" i="2"/>
  <c r="B2784" i="2"/>
  <c r="N2783" i="2"/>
  <c r="B2783" i="2"/>
  <c r="N2782" i="2"/>
  <c r="B2782" i="2"/>
  <c r="N2781" i="2"/>
  <c r="B2781" i="2"/>
  <c r="N2780" i="2"/>
  <c r="B2780" i="2"/>
  <c r="N2779" i="2"/>
  <c r="B2779" i="2"/>
  <c r="N2778" i="2"/>
  <c r="B2778" i="2"/>
  <c r="N2777" i="2"/>
  <c r="B2777" i="2"/>
  <c r="N2776" i="2"/>
  <c r="B2776" i="2"/>
  <c r="N2775" i="2"/>
  <c r="B2775" i="2"/>
  <c r="N2774" i="2"/>
  <c r="B2774" i="2"/>
  <c r="N2773" i="2"/>
  <c r="B2773" i="2"/>
  <c r="N2772" i="2"/>
  <c r="B2772" i="2"/>
  <c r="N2771" i="2"/>
  <c r="B2771" i="2"/>
  <c r="N2770" i="2"/>
  <c r="B2770" i="2"/>
  <c r="N2769" i="2"/>
  <c r="B2769" i="2"/>
  <c r="N2768" i="2"/>
  <c r="B2768" i="2"/>
  <c r="N2767" i="2"/>
  <c r="B2767" i="2"/>
  <c r="N2766" i="2"/>
  <c r="B2766" i="2"/>
  <c r="N2765" i="2"/>
  <c r="B2765" i="2"/>
  <c r="N2764" i="2"/>
  <c r="B2764" i="2"/>
  <c r="N2763" i="2"/>
  <c r="B2763" i="2"/>
  <c r="N2762" i="2"/>
  <c r="B2762" i="2"/>
  <c r="N2761" i="2"/>
  <c r="B2761" i="2"/>
  <c r="N2760" i="2"/>
  <c r="B2760" i="2"/>
  <c r="N2759" i="2"/>
  <c r="B2759" i="2"/>
  <c r="N2758" i="2"/>
  <c r="B2758" i="2"/>
  <c r="N2757" i="2"/>
  <c r="B2757" i="2"/>
  <c r="N2756" i="2"/>
  <c r="B2756" i="2"/>
  <c r="N2755" i="2"/>
  <c r="B2755" i="2"/>
  <c r="N2754" i="2"/>
  <c r="B2754" i="2"/>
  <c r="N2753" i="2"/>
  <c r="B2753" i="2"/>
  <c r="N2752" i="2"/>
  <c r="B2752" i="2"/>
  <c r="N2751" i="2"/>
  <c r="B2751" i="2"/>
  <c r="N2750" i="2"/>
  <c r="B2750" i="2"/>
  <c r="N2749" i="2"/>
  <c r="B2749" i="2"/>
  <c r="N2748" i="2"/>
  <c r="B2748" i="2"/>
  <c r="N2747" i="2"/>
  <c r="B2747" i="2"/>
  <c r="N2746" i="2"/>
  <c r="B2746" i="2"/>
  <c r="N2745" i="2"/>
  <c r="B2745" i="2"/>
  <c r="N2744" i="2"/>
  <c r="B2744" i="2"/>
  <c r="N2743" i="2"/>
  <c r="B2743" i="2"/>
  <c r="N2742" i="2"/>
  <c r="B2742" i="2"/>
  <c r="N2741" i="2"/>
  <c r="B2741" i="2"/>
  <c r="N2740" i="2"/>
  <c r="B2740" i="2"/>
  <c r="N2739" i="2"/>
  <c r="B2739" i="2"/>
  <c r="N2738" i="2"/>
  <c r="B2738" i="2"/>
  <c r="N2737" i="2"/>
  <c r="B2737" i="2"/>
  <c r="N2736" i="2"/>
  <c r="B2736" i="2"/>
  <c r="N2735" i="2"/>
  <c r="B2735" i="2"/>
  <c r="N2734" i="2"/>
  <c r="B2734" i="2"/>
  <c r="N2733" i="2"/>
  <c r="B2733" i="2"/>
  <c r="N2732" i="2"/>
  <c r="B2732" i="2"/>
  <c r="N2731" i="2"/>
  <c r="B2731" i="2"/>
  <c r="N2730" i="2"/>
  <c r="B2730" i="2"/>
  <c r="N2729" i="2"/>
  <c r="B2729" i="2"/>
  <c r="N2728" i="2"/>
  <c r="B2728" i="2"/>
  <c r="N2727" i="2"/>
  <c r="B2727" i="2"/>
  <c r="N2726" i="2"/>
  <c r="B2726" i="2"/>
  <c r="N2725" i="2"/>
  <c r="B2725" i="2"/>
  <c r="N2724" i="2"/>
  <c r="B2724" i="2"/>
  <c r="N2723" i="2"/>
  <c r="B2723" i="2"/>
  <c r="N2722" i="2"/>
  <c r="B2722" i="2"/>
  <c r="N2721" i="2"/>
  <c r="B2721" i="2"/>
  <c r="N2720" i="2"/>
  <c r="B2720" i="2"/>
  <c r="N2719" i="2"/>
  <c r="B2719" i="2"/>
  <c r="N2718" i="2"/>
  <c r="B2718" i="2"/>
  <c r="N2717" i="2"/>
  <c r="B2717" i="2"/>
  <c r="N2716" i="2"/>
  <c r="B2716" i="2"/>
  <c r="N2715" i="2"/>
  <c r="B2715" i="2"/>
  <c r="N2714" i="2"/>
  <c r="B2714" i="2"/>
  <c r="N2713" i="2"/>
  <c r="B2713" i="2"/>
  <c r="N2712" i="2"/>
  <c r="B2712" i="2"/>
  <c r="N2711" i="2"/>
  <c r="B2711" i="2"/>
  <c r="N2710" i="2"/>
  <c r="B2710" i="2"/>
  <c r="N2709" i="2"/>
  <c r="B2709" i="2"/>
  <c r="N2708" i="2"/>
  <c r="B2708" i="2"/>
  <c r="N2707" i="2"/>
  <c r="B2707" i="2"/>
  <c r="N2706" i="2"/>
  <c r="B2706" i="2"/>
  <c r="N2705" i="2"/>
  <c r="B2705" i="2"/>
  <c r="N2704" i="2"/>
  <c r="B2704" i="2"/>
  <c r="N2703" i="2"/>
  <c r="B2703" i="2"/>
  <c r="N2702" i="2"/>
  <c r="B2702" i="2"/>
  <c r="N2701" i="2"/>
  <c r="B2701" i="2"/>
  <c r="N2700" i="2"/>
  <c r="B2700" i="2"/>
  <c r="N2699" i="2"/>
  <c r="B2699" i="2"/>
  <c r="N2698" i="2"/>
  <c r="B2698" i="2"/>
  <c r="N2697" i="2"/>
  <c r="B2697" i="2"/>
  <c r="N2696" i="2"/>
  <c r="B2696" i="2"/>
  <c r="N2695" i="2"/>
  <c r="B2695" i="2"/>
  <c r="N2694" i="2"/>
  <c r="B2694" i="2"/>
  <c r="N2693" i="2"/>
  <c r="B2693" i="2"/>
  <c r="N2692" i="2"/>
  <c r="B2692" i="2"/>
  <c r="N2691" i="2"/>
  <c r="B2691" i="2"/>
  <c r="N2690" i="2"/>
  <c r="B2690" i="2"/>
  <c r="N2689" i="2"/>
  <c r="B2689" i="2"/>
  <c r="N2688" i="2"/>
  <c r="B2688" i="2"/>
  <c r="N2687" i="2"/>
  <c r="B2687" i="2"/>
  <c r="N2686" i="2"/>
  <c r="B2686" i="2"/>
  <c r="N2685" i="2"/>
  <c r="B2685" i="2"/>
  <c r="N2684" i="2"/>
  <c r="B2684" i="2"/>
  <c r="N2683" i="2"/>
  <c r="B2683" i="2"/>
  <c r="N2682" i="2"/>
  <c r="B2682" i="2"/>
  <c r="N2681" i="2"/>
  <c r="B2681" i="2"/>
  <c r="N2680" i="2"/>
  <c r="B2680" i="2"/>
  <c r="N2679" i="2"/>
  <c r="B2679" i="2"/>
  <c r="N2678" i="2"/>
  <c r="B2678" i="2"/>
  <c r="N2677" i="2"/>
  <c r="B2677" i="2"/>
  <c r="N2676" i="2"/>
  <c r="B2676" i="2"/>
  <c r="N2675" i="2"/>
  <c r="B2675" i="2"/>
  <c r="N2674" i="2"/>
  <c r="B2674" i="2"/>
  <c r="N2673" i="2"/>
  <c r="B2673" i="2"/>
  <c r="N2672" i="2"/>
  <c r="B2672" i="2"/>
  <c r="N2671" i="2"/>
  <c r="B2671" i="2"/>
  <c r="N2670" i="2"/>
  <c r="B2670" i="2"/>
  <c r="N2669" i="2"/>
  <c r="B2669" i="2"/>
  <c r="N2668" i="2"/>
  <c r="B2668" i="2"/>
  <c r="N2667" i="2"/>
  <c r="B2667" i="2"/>
  <c r="N2666" i="2"/>
  <c r="B2666" i="2"/>
  <c r="N2665" i="2"/>
  <c r="B2665" i="2"/>
  <c r="N2664" i="2"/>
  <c r="B2664" i="2"/>
  <c r="N2663" i="2"/>
  <c r="B2663" i="2"/>
  <c r="N2662" i="2"/>
  <c r="B2662" i="2"/>
  <c r="N2661" i="2"/>
  <c r="B2661" i="2"/>
  <c r="N2660" i="2"/>
  <c r="B2660" i="2"/>
  <c r="N2659" i="2"/>
  <c r="B2659" i="2"/>
  <c r="N2658" i="2"/>
  <c r="B2658" i="2"/>
  <c r="N2657" i="2"/>
  <c r="B2657" i="2"/>
  <c r="N2656" i="2"/>
  <c r="B2656" i="2"/>
  <c r="N2655" i="2"/>
  <c r="B2655" i="2"/>
  <c r="N2654" i="2"/>
  <c r="B2654" i="2"/>
  <c r="N2653" i="2"/>
  <c r="B2653" i="2"/>
  <c r="N2652" i="2"/>
  <c r="B2652" i="2"/>
  <c r="N2651" i="2"/>
  <c r="B2651" i="2"/>
  <c r="N2650" i="2"/>
  <c r="B2650" i="2"/>
  <c r="N2649" i="2"/>
  <c r="B2649" i="2"/>
  <c r="N2648" i="2"/>
  <c r="B2648" i="2"/>
  <c r="N2647" i="2"/>
  <c r="B2647" i="2"/>
  <c r="N2646" i="2"/>
  <c r="B2646" i="2"/>
  <c r="N2645" i="2"/>
  <c r="B2645" i="2"/>
  <c r="N2644" i="2"/>
  <c r="B2644" i="2"/>
  <c r="N2643" i="2"/>
  <c r="B2643" i="2"/>
  <c r="N2642" i="2"/>
  <c r="B2642" i="2"/>
  <c r="N2641" i="2"/>
  <c r="B2641" i="2"/>
  <c r="N2640" i="2"/>
  <c r="B2640" i="2"/>
  <c r="N2639" i="2"/>
  <c r="B2639" i="2"/>
  <c r="N2638" i="2"/>
  <c r="B2638" i="2"/>
  <c r="N2637" i="2"/>
  <c r="B2637" i="2"/>
  <c r="N2636" i="2"/>
  <c r="B2636" i="2"/>
  <c r="N2635" i="2"/>
  <c r="B2635" i="2"/>
  <c r="N2634" i="2"/>
  <c r="B2634" i="2"/>
  <c r="N2633" i="2"/>
  <c r="B2633" i="2"/>
  <c r="N2632" i="2"/>
  <c r="B2632" i="2"/>
  <c r="N2631" i="2"/>
  <c r="B2631" i="2"/>
  <c r="N2630" i="2"/>
  <c r="B2630" i="2"/>
  <c r="N2629" i="2"/>
  <c r="B2629" i="2"/>
  <c r="N2628" i="2"/>
  <c r="B2628" i="2"/>
  <c r="N2627" i="2"/>
  <c r="B2627" i="2"/>
  <c r="N2626" i="2"/>
  <c r="B2626" i="2"/>
  <c r="N2625" i="2"/>
  <c r="B2625" i="2"/>
  <c r="N2624" i="2"/>
  <c r="B2624" i="2"/>
  <c r="N2623" i="2"/>
  <c r="B2623" i="2"/>
  <c r="N2622" i="2"/>
  <c r="B2622" i="2"/>
  <c r="N2621" i="2"/>
  <c r="B2621" i="2"/>
  <c r="N2620" i="2"/>
  <c r="B2620" i="2"/>
  <c r="N2619" i="2"/>
  <c r="B2619" i="2"/>
  <c r="N2618" i="2"/>
  <c r="B2618" i="2"/>
  <c r="N2617" i="2"/>
  <c r="B2617" i="2"/>
  <c r="N2616" i="2"/>
  <c r="B2616" i="2"/>
  <c r="N2615" i="2"/>
  <c r="B2615" i="2"/>
  <c r="N2614" i="2"/>
  <c r="B2614" i="2"/>
  <c r="N2613" i="2"/>
  <c r="B2613" i="2"/>
  <c r="N2612" i="2"/>
  <c r="B2612" i="2"/>
  <c r="N2611" i="2"/>
  <c r="B2611" i="2"/>
  <c r="N2610" i="2"/>
  <c r="B2610" i="2"/>
  <c r="N2609" i="2"/>
  <c r="B2609" i="2"/>
  <c r="N2608" i="2"/>
  <c r="B2608" i="2"/>
  <c r="N2607" i="2"/>
  <c r="B2607" i="2"/>
  <c r="N2606" i="2"/>
  <c r="B2606" i="2"/>
  <c r="N2605" i="2"/>
  <c r="B2605" i="2"/>
  <c r="N2604" i="2"/>
  <c r="B2604" i="2"/>
  <c r="N2603" i="2"/>
  <c r="B2603" i="2"/>
  <c r="N2602" i="2"/>
  <c r="B2602" i="2"/>
  <c r="N2601" i="2"/>
  <c r="B2601" i="2"/>
  <c r="N2600" i="2"/>
  <c r="B2600" i="2"/>
  <c r="N2599" i="2"/>
  <c r="B2599" i="2"/>
  <c r="N2598" i="2"/>
  <c r="B2598" i="2"/>
  <c r="N2597" i="2"/>
  <c r="B2597" i="2"/>
  <c r="N2596" i="2"/>
  <c r="B2596" i="2"/>
  <c r="N2595" i="2"/>
  <c r="B2595" i="2"/>
  <c r="N2594" i="2"/>
  <c r="B2594" i="2"/>
  <c r="N2593" i="2"/>
  <c r="B2593" i="2"/>
  <c r="N2592" i="2"/>
  <c r="B2592" i="2"/>
  <c r="N2591" i="2"/>
  <c r="B2591" i="2"/>
  <c r="N2590" i="2"/>
  <c r="B2590" i="2"/>
  <c r="N2589" i="2"/>
  <c r="B2589" i="2"/>
  <c r="N2588" i="2"/>
  <c r="B2588" i="2"/>
  <c r="N2587" i="2"/>
  <c r="B2587" i="2"/>
  <c r="N2586" i="2"/>
  <c r="B2586" i="2"/>
  <c r="N2585" i="2"/>
  <c r="B2585" i="2"/>
  <c r="N2584" i="2"/>
  <c r="B2584" i="2"/>
  <c r="N2583" i="2"/>
  <c r="B2583" i="2"/>
  <c r="N2582" i="2"/>
  <c r="B2582" i="2"/>
  <c r="N2581" i="2"/>
  <c r="B2581" i="2"/>
  <c r="N2580" i="2"/>
  <c r="B2580" i="2"/>
  <c r="N2579" i="2"/>
  <c r="B2579" i="2"/>
  <c r="N2578" i="2"/>
  <c r="B2578" i="2"/>
  <c r="N2577" i="2"/>
  <c r="B2577" i="2"/>
  <c r="N2576" i="2"/>
  <c r="B2576" i="2"/>
  <c r="N2575" i="2"/>
  <c r="B2575" i="2"/>
  <c r="N2574" i="2"/>
  <c r="B2574" i="2"/>
  <c r="N2573" i="2"/>
  <c r="B2573" i="2"/>
  <c r="N2572" i="2"/>
  <c r="B2572" i="2"/>
  <c r="N2571" i="2"/>
  <c r="B2571" i="2"/>
  <c r="N2570" i="2"/>
  <c r="B2570" i="2"/>
  <c r="N2569" i="2"/>
  <c r="B2569" i="2"/>
  <c r="N2568" i="2"/>
  <c r="B2568" i="2"/>
  <c r="N2567" i="2"/>
  <c r="B2567" i="2"/>
  <c r="N2566" i="2"/>
  <c r="B2566" i="2"/>
  <c r="N2565" i="2"/>
  <c r="B2565" i="2"/>
  <c r="N2564" i="2"/>
  <c r="B2564" i="2"/>
  <c r="N2563" i="2"/>
  <c r="B2563" i="2"/>
  <c r="N2562" i="2"/>
  <c r="B2562" i="2"/>
  <c r="N2561" i="2"/>
  <c r="B2561" i="2"/>
  <c r="N2560" i="2"/>
  <c r="B2560" i="2"/>
  <c r="N2559" i="2"/>
  <c r="B2559" i="2"/>
  <c r="N2558" i="2"/>
  <c r="B2558" i="2"/>
  <c r="N2557" i="2"/>
  <c r="B2557" i="2"/>
  <c r="N2556" i="2"/>
  <c r="B2556" i="2"/>
  <c r="N2555" i="2"/>
  <c r="B2555" i="2"/>
  <c r="N2554" i="2"/>
  <c r="B2554" i="2"/>
  <c r="N2553" i="2"/>
  <c r="B2553" i="2"/>
  <c r="N2552" i="2"/>
  <c r="B2552" i="2"/>
  <c r="N2551" i="2"/>
  <c r="B2551" i="2"/>
  <c r="N2550" i="2"/>
  <c r="B2550" i="2"/>
  <c r="N2549" i="2"/>
  <c r="B2549" i="2"/>
  <c r="N2548" i="2"/>
  <c r="B2548" i="2"/>
  <c r="N2547" i="2"/>
  <c r="B2547" i="2"/>
  <c r="N2546" i="2"/>
  <c r="B2546" i="2"/>
  <c r="N2545" i="2"/>
  <c r="B2545" i="2"/>
  <c r="N2544" i="2"/>
  <c r="B2544" i="2"/>
  <c r="N2543" i="2"/>
  <c r="B2543" i="2"/>
  <c r="N2542" i="2"/>
  <c r="B2542" i="2"/>
  <c r="N2541" i="2"/>
  <c r="B2541" i="2"/>
  <c r="N2540" i="2"/>
  <c r="B2540" i="2"/>
  <c r="N2539" i="2"/>
  <c r="B2539" i="2"/>
  <c r="N2538" i="2"/>
  <c r="B2538" i="2"/>
  <c r="N2537" i="2"/>
  <c r="B2537" i="2"/>
  <c r="N2536" i="2"/>
  <c r="B2536" i="2"/>
  <c r="N2535" i="2"/>
  <c r="B2535" i="2"/>
  <c r="N2534" i="2"/>
  <c r="B2534" i="2"/>
  <c r="N2533" i="2"/>
  <c r="B2533" i="2"/>
  <c r="N2532" i="2"/>
  <c r="B2532" i="2"/>
  <c r="N2531" i="2"/>
  <c r="B2531" i="2"/>
  <c r="N2530" i="2"/>
  <c r="B2530" i="2"/>
  <c r="N2529" i="2"/>
  <c r="B2529" i="2"/>
  <c r="N2528" i="2"/>
  <c r="B2528" i="2"/>
  <c r="N2527" i="2"/>
  <c r="B2527" i="2"/>
  <c r="N2526" i="2"/>
  <c r="B2526" i="2"/>
  <c r="N2525" i="2"/>
  <c r="B2525" i="2"/>
  <c r="N2524" i="2"/>
  <c r="B2524" i="2"/>
  <c r="N2523" i="2"/>
  <c r="B2523" i="2"/>
  <c r="N2522" i="2"/>
  <c r="B2522" i="2"/>
  <c r="N2521" i="2"/>
  <c r="B2521" i="2"/>
  <c r="N2520" i="2"/>
  <c r="B2520" i="2"/>
  <c r="N2519" i="2"/>
  <c r="B2519" i="2"/>
  <c r="N2518" i="2"/>
  <c r="B2518" i="2"/>
  <c r="N2517" i="2"/>
  <c r="B2517" i="2"/>
  <c r="N2516" i="2"/>
  <c r="B2516" i="2"/>
  <c r="N2515" i="2"/>
  <c r="B2515" i="2"/>
  <c r="N2514" i="2"/>
  <c r="B2514" i="2"/>
  <c r="N2513" i="2"/>
  <c r="B2513" i="2"/>
  <c r="N2512" i="2"/>
  <c r="B2512" i="2"/>
  <c r="N2511" i="2"/>
  <c r="B2511" i="2"/>
  <c r="N2510" i="2"/>
  <c r="B2510" i="2"/>
  <c r="N2509" i="2"/>
  <c r="B2509" i="2"/>
  <c r="N2508" i="2"/>
  <c r="B2508" i="2"/>
  <c r="N2507" i="2"/>
  <c r="B2507" i="2"/>
  <c r="N2506" i="2"/>
  <c r="B2506" i="2"/>
  <c r="N2505" i="2"/>
  <c r="B2505" i="2"/>
  <c r="N2504" i="2"/>
  <c r="B2504" i="2"/>
  <c r="N2503" i="2"/>
  <c r="B2503" i="2"/>
  <c r="N2502" i="2"/>
  <c r="B2502" i="2"/>
  <c r="N2501" i="2"/>
  <c r="B2501" i="2"/>
  <c r="N2500" i="2"/>
  <c r="B2500" i="2"/>
  <c r="N2499" i="2"/>
  <c r="B2499" i="2"/>
  <c r="N2498" i="2"/>
  <c r="B2498" i="2"/>
  <c r="N2497" i="2"/>
  <c r="B2497" i="2"/>
  <c r="N2496" i="2"/>
  <c r="B2496" i="2"/>
  <c r="N2495" i="2"/>
  <c r="B2495" i="2"/>
  <c r="N2494" i="2"/>
  <c r="B2494" i="2"/>
  <c r="N2493" i="2"/>
  <c r="B2493" i="2"/>
  <c r="N2492" i="2"/>
  <c r="B2492" i="2"/>
  <c r="N2491" i="2"/>
  <c r="B2491" i="2"/>
  <c r="N2490" i="2"/>
  <c r="B2490" i="2"/>
  <c r="N2489" i="2"/>
  <c r="B2489" i="2"/>
  <c r="N2488" i="2"/>
  <c r="B2488" i="2"/>
  <c r="N2487" i="2"/>
  <c r="B2487" i="2"/>
  <c r="N2486" i="2"/>
  <c r="B2486" i="2"/>
  <c r="N2485" i="2"/>
  <c r="B2485" i="2"/>
  <c r="N2484" i="2"/>
  <c r="B2484" i="2"/>
  <c r="N2483" i="2"/>
  <c r="B2483" i="2"/>
  <c r="N2482" i="2"/>
  <c r="B2482" i="2"/>
  <c r="N2481" i="2"/>
  <c r="B2481" i="2"/>
  <c r="N2480" i="2"/>
  <c r="B2480" i="2"/>
  <c r="N2479" i="2"/>
  <c r="B2479" i="2"/>
  <c r="N2478" i="2"/>
  <c r="B2478" i="2"/>
  <c r="N2477" i="2"/>
  <c r="B2477" i="2"/>
  <c r="N2476" i="2"/>
  <c r="B2476" i="2"/>
  <c r="N2475" i="2"/>
  <c r="B2475" i="2"/>
  <c r="N2474" i="2"/>
  <c r="B2474" i="2"/>
  <c r="N2473" i="2"/>
  <c r="B2473" i="2"/>
  <c r="N2472" i="2"/>
  <c r="B2472" i="2"/>
  <c r="N2471" i="2"/>
  <c r="B2471" i="2"/>
  <c r="N2470" i="2"/>
  <c r="B2470" i="2"/>
  <c r="N2469" i="2"/>
  <c r="B2469" i="2"/>
  <c r="N2468" i="2"/>
  <c r="B2468" i="2"/>
  <c r="N2467" i="2"/>
  <c r="B2467" i="2"/>
  <c r="N2466" i="2"/>
  <c r="B2466" i="2"/>
  <c r="N2465" i="2"/>
  <c r="B2465" i="2"/>
  <c r="N2464" i="2"/>
  <c r="B2464" i="2"/>
  <c r="N2463" i="2"/>
  <c r="B2463" i="2"/>
  <c r="N2462" i="2"/>
  <c r="B2462" i="2"/>
  <c r="N2461" i="2"/>
  <c r="B2461" i="2"/>
  <c r="N2460" i="2"/>
  <c r="B2460" i="2"/>
  <c r="N2459" i="2"/>
  <c r="B2459" i="2"/>
  <c r="N2458" i="2"/>
  <c r="B2458" i="2"/>
  <c r="N2457" i="2"/>
  <c r="B2457" i="2"/>
  <c r="N2456" i="2"/>
  <c r="B2456" i="2"/>
  <c r="N2455" i="2"/>
  <c r="B2455" i="2"/>
  <c r="N2454" i="2"/>
  <c r="B2454" i="2"/>
  <c r="N2453" i="2"/>
  <c r="B2453" i="2"/>
  <c r="N2452" i="2"/>
  <c r="B2452" i="2"/>
  <c r="N2451" i="2"/>
  <c r="B2451" i="2"/>
  <c r="N2450" i="2"/>
  <c r="B2450" i="2"/>
  <c r="N2449" i="2"/>
  <c r="B2449" i="2"/>
  <c r="N2448" i="2"/>
  <c r="B2448" i="2"/>
  <c r="N2447" i="2"/>
  <c r="B2447" i="2"/>
  <c r="N2446" i="2"/>
  <c r="B2446" i="2"/>
  <c r="N2445" i="2"/>
  <c r="B2445" i="2"/>
  <c r="N2444" i="2"/>
  <c r="B2444" i="2"/>
  <c r="N2443" i="2"/>
  <c r="B2443" i="2"/>
  <c r="N2442" i="2"/>
  <c r="B2442" i="2"/>
  <c r="N2441" i="2"/>
  <c r="B2441" i="2"/>
  <c r="N2440" i="2"/>
  <c r="B2440" i="2"/>
  <c r="N2439" i="2"/>
  <c r="B2439" i="2"/>
  <c r="N2438" i="2"/>
  <c r="B2438" i="2"/>
  <c r="N2437" i="2"/>
  <c r="B2437" i="2"/>
  <c r="N2436" i="2"/>
  <c r="B2436" i="2"/>
  <c r="N2435" i="2"/>
  <c r="B2435" i="2"/>
  <c r="N2434" i="2"/>
  <c r="B2434" i="2"/>
  <c r="N2433" i="2"/>
  <c r="B2433" i="2"/>
  <c r="N2432" i="2"/>
  <c r="B2432" i="2"/>
  <c r="N2431" i="2"/>
  <c r="B2431" i="2"/>
  <c r="N2430" i="2"/>
  <c r="B2430" i="2"/>
  <c r="N2429" i="2"/>
  <c r="B2429" i="2"/>
  <c r="N2428" i="2"/>
  <c r="B2428" i="2"/>
  <c r="N2427" i="2"/>
  <c r="B2427" i="2"/>
  <c r="N2426" i="2"/>
  <c r="B2426" i="2"/>
  <c r="N2425" i="2"/>
  <c r="B2425" i="2"/>
  <c r="N2424" i="2"/>
  <c r="B2424" i="2"/>
  <c r="N2423" i="2"/>
  <c r="B2423" i="2"/>
  <c r="N2422" i="2"/>
  <c r="B2422" i="2"/>
  <c r="N2421" i="2"/>
  <c r="B2421" i="2"/>
  <c r="N2420" i="2"/>
  <c r="B2420" i="2"/>
  <c r="N2419" i="2"/>
  <c r="B2419" i="2"/>
  <c r="N2418" i="2"/>
  <c r="B2418" i="2"/>
  <c r="N2417" i="2"/>
  <c r="B2417" i="2"/>
  <c r="N2416" i="2"/>
  <c r="B2416" i="2"/>
  <c r="N2415" i="2"/>
  <c r="B2415" i="2"/>
  <c r="N2414" i="2"/>
  <c r="B2414" i="2"/>
  <c r="N2413" i="2"/>
  <c r="B2413" i="2"/>
  <c r="N2412" i="2"/>
  <c r="B2412" i="2"/>
  <c r="N2411" i="2"/>
  <c r="B2411" i="2"/>
  <c r="N2410" i="2"/>
  <c r="B2410" i="2"/>
  <c r="N2409" i="2"/>
  <c r="B2409" i="2"/>
  <c r="N2408" i="2"/>
  <c r="B2408" i="2"/>
  <c r="N2407" i="2"/>
  <c r="B2407" i="2"/>
  <c r="N2406" i="2"/>
  <c r="B2406" i="2"/>
  <c r="N2405" i="2"/>
  <c r="B2405" i="2"/>
  <c r="N2404" i="2"/>
  <c r="B2404" i="2"/>
  <c r="N2403" i="2"/>
  <c r="B2403" i="2"/>
  <c r="N2402" i="2"/>
  <c r="B2402" i="2"/>
  <c r="N2401" i="2"/>
  <c r="B2401" i="2"/>
  <c r="N2400" i="2"/>
  <c r="B2400" i="2"/>
  <c r="N2399" i="2"/>
  <c r="B2399" i="2"/>
  <c r="N2398" i="2"/>
  <c r="B2398" i="2"/>
  <c r="N2397" i="2"/>
  <c r="B2397" i="2"/>
  <c r="N2396" i="2"/>
  <c r="B2396" i="2"/>
  <c r="N2395" i="2"/>
  <c r="B2395" i="2"/>
  <c r="N2394" i="2"/>
  <c r="B2394" i="2"/>
  <c r="N2393" i="2"/>
  <c r="B2393" i="2"/>
  <c r="N2392" i="2"/>
  <c r="B2392" i="2"/>
  <c r="N2391" i="2"/>
  <c r="B2391" i="2"/>
  <c r="N2390" i="2"/>
  <c r="B2390" i="2"/>
  <c r="N2389" i="2"/>
  <c r="B2389" i="2"/>
  <c r="N2388" i="2"/>
  <c r="B2388" i="2"/>
  <c r="N2387" i="2"/>
  <c r="B2387" i="2"/>
  <c r="N2386" i="2"/>
  <c r="B2386" i="2"/>
  <c r="N2385" i="2"/>
  <c r="B2385" i="2"/>
  <c r="N2384" i="2"/>
  <c r="B2384" i="2"/>
  <c r="N2383" i="2"/>
  <c r="B2383" i="2"/>
  <c r="N2382" i="2"/>
  <c r="B2382" i="2"/>
  <c r="N2381" i="2"/>
  <c r="B2381" i="2"/>
  <c r="N2380" i="2"/>
  <c r="B2380" i="2"/>
  <c r="N2379" i="2"/>
  <c r="B2379" i="2"/>
  <c r="N2378" i="2"/>
  <c r="B2378" i="2"/>
  <c r="N2377" i="2"/>
  <c r="B2377" i="2"/>
  <c r="N2376" i="2"/>
  <c r="B2376" i="2"/>
  <c r="N2375" i="2"/>
  <c r="B2375" i="2"/>
  <c r="N2374" i="2"/>
  <c r="B2374" i="2"/>
  <c r="N2373" i="2"/>
  <c r="B2373" i="2"/>
  <c r="N2372" i="2"/>
  <c r="B2372" i="2"/>
  <c r="N2371" i="2"/>
  <c r="B2371" i="2"/>
  <c r="N2370" i="2"/>
  <c r="B2370" i="2"/>
  <c r="N2369" i="2"/>
  <c r="B2369" i="2"/>
  <c r="N2368" i="2"/>
  <c r="B2368" i="2"/>
  <c r="N2367" i="2"/>
  <c r="B2367" i="2"/>
  <c r="N2366" i="2"/>
  <c r="B2366" i="2"/>
  <c r="N2365" i="2"/>
  <c r="B2365" i="2"/>
  <c r="N2364" i="2"/>
  <c r="B2364" i="2"/>
  <c r="N2363" i="2"/>
  <c r="B2363" i="2"/>
  <c r="N2362" i="2"/>
  <c r="B2362" i="2"/>
  <c r="N2361" i="2"/>
  <c r="B2361" i="2"/>
  <c r="N2360" i="2"/>
  <c r="B2360" i="2"/>
  <c r="N2359" i="2"/>
  <c r="B2359" i="2"/>
  <c r="N2358" i="2"/>
  <c r="B2358" i="2"/>
  <c r="N2357" i="2"/>
  <c r="B2357" i="2"/>
  <c r="N2356" i="2"/>
  <c r="B2356" i="2"/>
  <c r="N2355" i="2"/>
  <c r="B2355" i="2"/>
  <c r="N2354" i="2"/>
  <c r="B2354" i="2"/>
  <c r="N2353" i="2"/>
  <c r="B2353" i="2"/>
  <c r="N2352" i="2"/>
  <c r="B2352" i="2"/>
  <c r="N2351" i="2"/>
  <c r="B2351" i="2"/>
  <c r="N2350" i="2"/>
  <c r="B2350" i="2"/>
  <c r="N2349" i="2"/>
  <c r="B2349" i="2"/>
  <c r="N2348" i="2"/>
  <c r="B2348" i="2"/>
  <c r="N2347" i="2"/>
  <c r="B2347" i="2"/>
  <c r="N2346" i="2"/>
  <c r="B2346" i="2"/>
  <c r="N2345" i="2"/>
  <c r="B2345" i="2"/>
  <c r="N2344" i="2"/>
  <c r="B2344" i="2"/>
  <c r="N2343" i="2"/>
  <c r="B2343" i="2"/>
  <c r="N2342" i="2"/>
  <c r="B2342" i="2"/>
  <c r="N2341" i="2"/>
  <c r="B2341" i="2"/>
  <c r="N2340" i="2"/>
  <c r="B2340" i="2"/>
  <c r="N2339" i="2"/>
  <c r="B2339" i="2"/>
  <c r="N2338" i="2"/>
  <c r="B2338" i="2"/>
  <c r="N2337" i="2"/>
  <c r="B2337" i="2"/>
  <c r="N2336" i="2"/>
  <c r="B2336" i="2"/>
  <c r="N2335" i="2"/>
  <c r="B2335" i="2"/>
  <c r="N2334" i="2"/>
  <c r="B2334" i="2"/>
  <c r="N2333" i="2"/>
  <c r="B2333" i="2"/>
  <c r="N2332" i="2"/>
  <c r="B2332" i="2"/>
  <c r="N2331" i="2"/>
  <c r="B2331" i="2"/>
  <c r="N2330" i="2"/>
  <c r="B2330" i="2"/>
  <c r="N2329" i="2"/>
  <c r="B2329" i="2"/>
  <c r="N2328" i="2"/>
  <c r="B2328" i="2"/>
  <c r="N2327" i="2"/>
  <c r="B2327" i="2"/>
  <c r="N2326" i="2"/>
  <c r="B2326" i="2"/>
  <c r="N2325" i="2"/>
  <c r="B2325" i="2"/>
  <c r="N2324" i="2"/>
  <c r="B2324" i="2"/>
  <c r="N2323" i="2"/>
  <c r="B2323" i="2"/>
  <c r="N2322" i="2"/>
  <c r="B2322" i="2"/>
  <c r="N2321" i="2"/>
  <c r="B2321" i="2"/>
  <c r="N2320" i="2"/>
  <c r="B2320" i="2"/>
  <c r="N2319" i="2"/>
  <c r="B2319" i="2"/>
  <c r="N2318" i="2"/>
  <c r="B2318" i="2"/>
  <c r="N2317" i="2"/>
  <c r="B2317" i="2"/>
  <c r="N2316" i="2"/>
  <c r="B2316" i="2"/>
  <c r="N2315" i="2"/>
  <c r="B2315" i="2"/>
  <c r="N2314" i="2"/>
  <c r="B2314" i="2"/>
  <c r="N2313" i="2"/>
  <c r="B2313" i="2"/>
  <c r="N2312" i="2"/>
  <c r="B2312" i="2"/>
  <c r="N2311" i="2"/>
  <c r="B2311" i="2"/>
  <c r="N2310" i="2"/>
  <c r="B2310" i="2"/>
  <c r="N2309" i="2"/>
  <c r="B2309" i="2"/>
  <c r="N2308" i="2"/>
  <c r="B2308" i="2"/>
  <c r="N2307" i="2"/>
  <c r="B2307" i="2"/>
  <c r="N2306" i="2"/>
  <c r="B2306" i="2"/>
  <c r="N2305" i="2"/>
  <c r="B2305" i="2"/>
  <c r="N2304" i="2"/>
  <c r="B2304" i="2"/>
  <c r="N2303" i="2"/>
  <c r="B2303" i="2"/>
  <c r="N2302" i="2"/>
  <c r="B2302" i="2"/>
  <c r="N2301" i="2"/>
  <c r="B2301" i="2"/>
  <c r="N2300" i="2"/>
  <c r="B2300" i="2"/>
  <c r="N2299" i="2"/>
  <c r="B2299" i="2"/>
  <c r="N2298" i="2"/>
  <c r="B2298" i="2"/>
  <c r="N2297" i="2"/>
  <c r="B2297" i="2"/>
  <c r="N2296" i="2"/>
  <c r="B2296" i="2"/>
  <c r="N2295" i="2"/>
  <c r="B2295" i="2"/>
  <c r="N2294" i="2"/>
  <c r="B2294" i="2"/>
  <c r="N2293" i="2"/>
  <c r="B2293" i="2"/>
  <c r="N2292" i="2"/>
  <c r="B2292" i="2"/>
  <c r="N2291" i="2"/>
  <c r="B2291" i="2"/>
  <c r="N2290" i="2"/>
  <c r="B2290" i="2"/>
  <c r="N2289" i="2"/>
  <c r="B2289" i="2"/>
  <c r="N2288" i="2"/>
  <c r="B2288" i="2"/>
  <c r="N2287" i="2"/>
  <c r="B2287" i="2"/>
  <c r="N2286" i="2"/>
  <c r="B2286" i="2"/>
  <c r="N2285" i="2"/>
  <c r="B2285" i="2"/>
  <c r="N2284" i="2"/>
  <c r="B2284" i="2"/>
  <c r="N2283" i="2"/>
  <c r="B2283" i="2"/>
  <c r="N2282" i="2"/>
  <c r="B2282" i="2"/>
  <c r="N2281" i="2"/>
  <c r="B2281" i="2"/>
  <c r="N2280" i="2"/>
  <c r="B2280" i="2"/>
  <c r="N2279" i="2"/>
  <c r="B2279" i="2"/>
  <c r="N2278" i="2"/>
  <c r="B2278" i="2"/>
  <c r="N2277" i="2"/>
  <c r="B2277" i="2"/>
  <c r="N2276" i="2"/>
  <c r="B2276" i="2"/>
  <c r="N2275" i="2"/>
  <c r="B2275" i="2"/>
  <c r="N2274" i="2"/>
  <c r="B2274" i="2"/>
  <c r="N2273" i="2"/>
  <c r="B2273" i="2"/>
  <c r="N2272" i="2"/>
  <c r="B2272" i="2"/>
  <c r="N2271" i="2"/>
  <c r="B2271" i="2"/>
  <c r="N2270" i="2"/>
  <c r="B2270" i="2"/>
  <c r="N2269" i="2"/>
  <c r="B2269" i="2"/>
  <c r="N2268" i="2"/>
  <c r="B2268" i="2"/>
  <c r="N2267" i="2"/>
  <c r="B2267" i="2"/>
  <c r="N2266" i="2"/>
  <c r="B2266" i="2"/>
  <c r="N2265" i="2"/>
  <c r="B2265" i="2"/>
  <c r="N2264" i="2"/>
  <c r="B2264" i="2"/>
  <c r="N2263" i="2"/>
  <c r="B2263" i="2"/>
  <c r="N2262" i="2"/>
  <c r="B2262" i="2"/>
  <c r="N2261" i="2"/>
  <c r="B2261" i="2"/>
  <c r="N2260" i="2"/>
  <c r="B2260" i="2"/>
  <c r="N2259" i="2"/>
  <c r="B2259" i="2"/>
  <c r="N2258" i="2"/>
  <c r="B2258" i="2"/>
  <c r="N2257" i="2"/>
  <c r="B2257" i="2"/>
  <c r="N2256" i="2"/>
  <c r="B2256" i="2"/>
  <c r="N2255" i="2"/>
  <c r="B2255" i="2"/>
  <c r="N2254" i="2"/>
  <c r="B2254" i="2"/>
  <c r="N2253" i="2"/>
  <c r="B2253" i="2"/>
  <c r="N2252" i="2"/>
  <c r="B2252" i="2"/>
  <c r="N2251" i="2"/>
  <c r="B2251" i="2"/>
  <c r="N2250" i="2"/>
  <c r="B2250" i="2"/>
  <c r="N2249" i="2"/>
  <c r="B2249" i="2"/>
  <c r="N2248" i="2"/>
  <c r="B2248" i="2"/>
  <c r="N2247" i="2"/>
  <c r="B2247" i="2"/>
  <c r="N2246" i="2"/>
  <c r="B2246" i="2"/>
  <c r="N2245" i="2"/>
  <c r="B2245" i="2"/>
  <c r="N2244" i="2"/>
  <c r="B2244" i="2"/>
  <c r="N2243" i="2"/>
  <c r="B2243" i="2"/>
  <c r="N2242" i="2"/>
  <c r="B2242" i="2"/>
  <c r="N2241" i="2"/>
  <c r="B2241" i="2"/>
  <c r="N2240" i="2"/>
  <c r="B2240" i="2"/>
  <c r="N2239" i="2"/>
  <c r="B2239" i="2"/>
  <c r="N2238" i="2"/>
  <c r="B2238" i="2"/>
  <c r="N2237" i="2"/>
  <c r="B2237" i="2"/>
  <c r="N2236" i="2"/>
  <c r="B2236" i="2"/>
  <c r="N2235" i="2"/>
  <c r="B2235" i="2"/>
  <c r="N2234" i="2"/>
  <c r="B2234" i="2"/>
  <c r="N2233" i="2"/>
  <c r="B2233" i="2"/>
  <c r="N2232" i="2"/>
  <c r="B2232" i="2"/>
  <c r="N2231" i="2"/>
  <c r="B2231" i="2"/>
  <c r="N2230" i="2"/>
  <c r="B2230" i="2"/>
  <c r="N2229" i="2"/>
  <c r="B2229" i="2"/>
  <c r="N2228" i="2"/>
  <c r="B2228" i="2"/>
  <c r="N2227" i="2"/>
  <c r="B2227" i="2"/>
  <c r="N2226" i="2"/>
  <c r="B2226" i="2"/>
  <c r="N2225" i="2"/>
  <c r="B2225" i="2"/>
  <c r="N2224" i="2"/>
  <c r="B2224" i="2"/>
  <c r="N2223" i="2"/>
  <c r="B2223" i="2"/>
  <c r="N2222" i="2"/>
  <c r="B2222" i="2"/>
  <c r="N2221" i="2"/>
  <c r="B2221" i="2"/>
  <c r="N2220" i="2"/>
  <c r="B2220" i="2"/>
  <c r="N2219" i="2"/>
  <c r="B2219" i="2"/>
  <c r="N2218" i="2"/>
  <c r="B2218" i="2"/>
  <c r="N2217" i="2"/>
  <c r="B2217" i="2"/>
  <c r="N2216" i="2"/>
  <c r="B2216" i="2"/>
  <c r="N2215" i="2"/>
  <c r="B2215" i="2"/>
  <c r="N2214" i="2"/>
  <c r="B2214" i="2"/>
  <c r="N2213" i="2"/>
  <c r="B2213" i="2"/>
  <c r="N2212" i="2"/>
  <c r="B2212" i="2"/>
  <c r="N2211" i="2"/>
  <c r="B2211" i="2"/>
  <c r="N2210" i="2"/>
  <c r="B2210" i="2"/>
  <c r="N2209" i="2"/>
  <c r="B2209" i="2"/>
  <c r="N2208" i="2"/>
  <c r="B2208" i="2"/>
  <c r="N2207" i="2"/>
  <c r="B2207" i="2"/>
  <c r="N2206" i="2"/>
  <c r="B2206" i="2"/>
  <c r="N2205" i="2"/>
  <c r="B2205" i="2"/>
  <c r="N2204" i="2"/>
  <c r="B2204" i="2"/>
  <c r="N2203" i="2"/>
  <c r="B2203" i="2"/>
  <c r="N2202" i="2"/>
  <c r="B2202" i="2"/>
  <c r="N2201" i="2"/>
  <c r="B2201" i="2"/>
  <c r="N2200" i="2"/>
  <c r="B2200" i="2"/>
  <c r="N2199" i="2"/>
  <c r="B2199" i="2"/>
  <c r="N2198" i="2"/>
  <c r="B2198" i="2"/>
  <c r="N2197" i="2"/>
  <c r="B2197" i="2"/>
  <c r="N2196" i="2"/>
  <c r="B2196" i="2"/>
  <c r="N2195" i="2"/>
  <c r="B2195" i="2"/>
  <c r="N2194" i="2"/>
  <c r="B2194" i="2"/>
  <c r="N2193" i="2"/>
  <c r="B2193" i="2"/>
  <c r="N2192" i="2"/>
  <c r="B2192" i="2"/>
  <c r="N2191" i="2"/>
  <c r="B2191" i="2"/>
  <c r="N2190" i="2"/>
  <c r="B2190" i="2"/>
  <c r="N2189" i="2"/>
  <c r="B2189" i="2"/>
  <c r="N2188" i="2"/>
  <c r="B2188" i="2"/>
  <c r="N2187" i="2"/>
  <c r="B2187" i="2"/>
  <c r="N2186" i="2"/>
  <c r="B2186" i="2"/>
  <c r="N2185" i="2"/>
  <c r="B2185" i="2"/>
  <c r="N2184" i="2"/>
  <c r="B2184" i="2"/>
  <c r="N2183" i="2"/>
  <c r="B2183" i="2"/>
  <c r="N2182" i="2"/>
  <c r="B2182" i="2"/>
  <c r="N2181" i="2"/>
  <c r="B2181" i="2"/>
  <c r="N2180" i="2"/>
  <c r="B2180" i="2"/>
  <c r="N2179" i="2"/>
  <c r="B2179" i="2"/>
  <c r="N2178" i="2"/>
  <c r="B2178" i="2"/>
  <c r="N2177" i="2"/>
  <c r="B2177" i="2"/>
  <c r="N2176" i="2"/>
  <c r="B2176" i="2"/>
  <c r="N2175" i="2"/>
  <c r="B2175" i="2"/>
  <c r="N2174" i="2"/>
  <c r="B2174" i="2"/>
  <c r="N2173" i="2"/>
  <c r="B2173" i="2"/>
  <c r="N2172" i="2"/>
  <c r="B2172" i="2"/>
  <c r="N2171" i="2"/>
  <c r="B2171" i="2"/>
  <c r="N2170" i="2"/>
  <c r="B2170" i="2"/>
  <c r="N2169" i="2"/>
  <c r="B2169" i="2"/>
  <c r="N2168" i="2"/>
  <c r="B2168" i="2"/>
  <c r="N2167" i="2"/>
  <c r="B2167" i="2"/>
  <c r="N2166" i="2"/>
  <c r="B2166" i="2"/>
  <c r="N2165" i="2"/>
  <c r="B2165" i="2"/>
  <c r="N2164" i="2"/>
  <c r="B2164" i="2"/>
  <c r="N2163" i="2"/>
  <c r="B2163" i="2"/>
  <c r="N2162" i="2"/>
  <c r="B2162" i="2"/>
  <c r="N2161" i="2"/>
  <c r="B2161" i="2"/>
  <c r="N2160" i="2"/>
  <c r="B2160" i="2"/>
  <c r="N2159" i="2"/>
  <c r="B2159" i="2"/>
  <c r="N2158" i="2"/>
  <c r="B2158" i="2"/>
  <c r="N2157" i="2"/>
  <c r="B2157" i="2"/>
  <c r="N2156" i="2"/>
  <c r="B2156" i="2"/>
  <c r="N2155" i="2"/>
  <c r="B2155" i="2"/>
  <c r="N2154" i="2"/>
  <c r="B2154" i="2"/>
  <c r="N2153" i="2"/>
  <c r="B2153" i="2"/>
  <c r="N2152" i="2"/>
  <c r="B2152" i="2"/>
  <c r="N2151" i="2"/>
  <c r="B2151" i="2"/>
  <c r="N2150" i="2"/>
  <c r="B2150" i="2"/>
  <c r="N2149" i="2"/>
  <c r="B2149" i="2"/>
  <c r="N2148" i="2"/>
  <c r="B2148" i="2"/>
  <c r="N2147" i="2"/>
  <c r="B2147" i="2"/>
  <c r="N2146" i="2"/>
  <c r="B2146" i="2"/>
  <c r="N2145" i="2"/>
  <c r="B2145" i="2"/>
  <c r="N2144" i="2"/>
  <c r="B2144" i="2"/>
  <c r="N2143" i="2"/>
  <c r="B2143" i="2"/>
  <c r="N2142" i="2"/>
  <c r="B2142" i="2"/>
  <c r="N2141" i="2"/>
  <c r="B2141" i="2"/>
  <c r="N2140" i="2"/>
  <c r="B2140" i="2"/>
  <c r="N2139" i="2"/>
  <c r="B2139" i="2"/>
  <c r="N2138" i="2"/>
  <c r="B2138" i="2"/>
  <c r="N2137" i="2"/>
  <c r="B2137" i="2"/>
  <c r="N2136" i="2"/>
  <c r="B2136" i="2"/>
  <c r="N2135" i="2"/>
  <c r="B2135" i="2"/>
  <c r="N2134" i="2"/>
  <c r="B2134" i="2"/>
  <c r="N2133" i="2"/>
  <c r="B2133" i="2"/>
  <c r="N2132" i="2"/>
  <c r="B2132" i="2"/>
  <c r="N2131" i="2"/>
  <c r="B2131" i="2"/>
  <c r="N2130" i="2"/>
  <c r="B2130" i="2"/>
  <c r="N2129" i="2"/>
  <c r="B2129" i="2"/>
  <c r="N2128" i="2"/>
  <c r="B2128" i="2"/>
  <c r="N2127" i="2"/>
  <c r="B2127" i="2"/>
  <c r="N2126" i="2"/>
  <c r="B2126" i="2"/>
  <c r="N2125" i="2"/>
  <c r="B2125" i="2"/>
  <c r="N2124" i="2"/>
  <c r="B2124" i="2"/>
  <c r="N2123" i="2"/>
  <c r="B2123" i="2"/>
  <c r="N2122" i="2"/>
  <c r="B2122" i="2"/>
  <c r="N2121" i="2"/>
  <c r="B2121" i="2"/>
  <c r="N2120" i="2"/>
  <c r="B2120" i="2"/>
  <c r="N2119" i="2"/>
  <c r="B2119" i="2"/>
  <c r="N2118" i="2"/>
  <c r="B2118" i="2"/>
  <c r="N2117" i="2"/>
  <c r="B2117" i="2"/>
  <c r="N2116" i="2"/>
  <c r="B2116" i="2"/>
  <c r="N2115" i="2"/>
  <c r="B2115" i="2"/>
  <c r="N2114" i="2"/>
  <c r="B2114" i="2"/>
  <c r="N2113" i="2"/>
  <c r="B2113" i="2"/>
  <c r="N2112" i="2"/>
  <c r="B2112" i="2"/>
  <c r="N2111" i="2"/>
  <c r="B2111" i="2"/>
  <c r="N2110" i="2"/>
  <c r="B2110" i="2"/>
  <c r="N2109" i="2"/>
  <c r="B2109" i="2"/>
  <c r="N2108" i="2"/>
  <c r="B2108" i="2"/>
  <c r="N2107" i="2"/>
  <c r="B2107" i="2"/>
  <c r="N2106" i="2"/>
  <c r="B2106" i="2"/>
  <c r="N2105" i="2"/>
  <c r="B2105" i="2"/>
  <c r="N2104" i="2"/>
  <c r="B2104" i="2"/>
  <c r="N2103" i="2"/>
  <c r="B2103" i="2"/>
  <c r="N2102" i="2"/>
  <c r="B2102" i="2"/>
  <c r="N2101" i="2"/>
  <c r="B2101" i="2"/>
  <c r="N2100" i="2"/>
  <c r="B2100" i="2"/>
  <c r="N2099" i="2"/>
  <c r="B2099" i="2"/>
  <c r="N2098" i="2"/>
  <c r="B2098" i="2"/>
  <c r="N2097" i="2"/>
  <c r="B2097" i="2"/>
  <c r="N2096" i="2"/>
  <c r="B2096" i="2"/>
  <c r="N2095" i="2"/>
  <c r="B2095" i="2"/>
  <c r="N2094" i="2"/>
  <c r="B2094" i="2"/>
  <c r="N2093" i="2"/>
  <c r="B2093" i="2"/>
  <c r="N2092" i="2"/>
  <c r="B2092" i="2"/>
  <c r="N2091" i="2"/>
  <c r="B2091" i="2"/>
  <c r="N2090" i="2"/>
  <c r="B2090" i="2"/>
  <c r="N2089" i="2"/>
  <c r="B2089" i="2"/>
  <c r="N2088" i="2"/>
  <c r="B2088" i="2"/>
  <c r="N2087" i="2"/>
  <c r="B2087" i="2"/>
  <c r="N2086" i="2"/>
  <c r="B2086" i="2"/>
  <c r="N2085" i="2"/>
  <c r="B2085" i="2"/>
  <c r="N2084" i="2"/>
  <c r="B2084" i="2"/>
  <c r="N2083" i="2"/>
  <c r="B2083" i="2"/>
  <c r="N2082" i="2"/>
  <c r="B2082" i="2"/>
  <c r="N2081" i="2"/>
  <c r="B2081" i="2"/>
  <c r="N2080" i="2"/>
  <c r="B2080" i="2"/>
  <c r="N2079" i="2"/>
  <c r="B2079" i="2"/>
  <c r="N2078" i="2"/>
  <c r="B2078" i="2"/>
  <c r="N2077" i="2"/>
  <c r="B2077" i="2"/>
  <c r="N2076" i="2"/>
  <c r="B2076" i="2"/>
  <c r="N2075" i="2"/>
  <c r="B2075" i="2"/>
  <c r="N2074" i="2"/>
  <c r="B2074" i="2"/>
  <c r="N2073" i="2"/>
  <c r="B2073" i="2"/>
  <c r="N2072" i="2"/>
  <c r="B2072" i="2"/>
  <c r="N2071" i="2"/>
  <c r="B2071" i="2"/>
  <c r="N2070" i="2"/>
  <c r="B2070" i="2"/>
  <c r="N2069" i="2"/>
  <c r="B2069" i="2"/>
  <c r="N2068" i="2"/>
  <c r="B2068" i="2"/>
  <c r="N2067" i="2"/>
  <c r="B2067" i="2"/>
  <c r="N2066" i="2"/>
  <c r="B2066" i="2"/>
  <c r="N2065" i="2"/>
  <c r="B2065" i="2"/>
  <c r="N2064" i="2"/>
  <c r="B2064" i="2"/>
  <c r="N2063" i="2"/>
  <c r="B2063" i="2"/>
  <c r="N2062" i="2"/>
  <c r="B2062" i="2"/>
  <c r="N2061" i="2"/>
  <c r="B2061" i="2"/>
  <c r="N2060" i="2"/>
  <c r="B2060" i="2"/>
  <c r="N2059" i="2"/>
  <c r="B2059" i="2"/>
  <c r="N2058" i="2"/>
  <c r="B2058" i="2"/>
  <c r="N2057" i="2"/>
  <c r="B2057" i="2"/>
  <c r="N2056" i="2"/>
  <c r="B2056" i="2"/>
  <c r="N2055" i="2"/>
  <c r="B2055" i="2"/>
  <c r="N2054" i="2"/>
  <c r="B2054" i="2"/>
  <c r="N2053" i="2"/>
  <c r="B2053" i="2"/>
  <c r="N2052" i="2"/>
  <c r="B2052" i="2"/>
  <c r="N2051" i="2"/>
  <c r="B2051" i="2"/>
  <c r="N2050" i="2"/>
  <c r="B2050" i="2"/>
  <c r="N2049" i="2"/>
  <c r="B2049" i="2"/>
  <c r="N2048" i="2"/>
  <c r="B2048" i="2"/>
  <c r="N2047" i="2"/>
  <c r="B2047" i="2"/>
  <c r="N2046" i="2"/>
  <c r="B2046" i="2"/>
  <c r="N2045" i="2"/>
  <c r="B2045" i="2"/>
  <c r="N2044" i="2"/>
  <c r="B2044" i="2"/>
  <c r="N2043" i="2"/>
  <c r="B2043" i="2"/>
  <c r="N2042" i="2"/>
  <c r="B2042" i="2"/>
  <c r="N2041" i="2"/>
  <c r="B2041" i="2"/>
  <c r="N2040" i="2"/>
  <c r="B2040" i="2"/>
  <c r="N2039" i="2"/>
  <c r="B2039" i="2"/>
  <c r="N2038" i="2"/>
  <c r="B2038" i="2"/>
  <c r="N2037" i="2"/>
  <c r="B2037" i="2"/>
  <c r="N2036" i="2"/>
  <c r="B2036" i="2"/>
  <c r="N2035" i="2"/>
  <c r="B2035" i="2"/>
  <c r="N2034" i="2"/>
  <c r="B2034" i="2"/>
  <c r="N2033" i="2"/>
  <c r="B2033" i="2"/>
  <c r="N2032" i="2"/>
  <c r="B2032" i="2"/>
  <c r="N2031" i="2"/>
  <c r="B2031" i="2"/>
  <c r="N2030" i="2"/>
  <c r="B2030" i="2"/>
  <c r="N2029" i="2"/>
  <c r="B2029" i="2"/>
  <c r="N2028" i="2"/>
  <c r="B2028" i="2"/>
  <c r="N2027" i="2"/>
  <c r="B2027" i="2"/>
  <c r="N2026" i="2"/>
  <c r="B2026" i="2"/>
  <c r="N2025" i="2"/>
  <c r="B2025" i="2"/>
  <c r="N2024" i="2"/>
  <c r="B2024" i="2"/>
  <c r="N2023" i="2"/>
  <c r="B2023" i="2"/>
  <c r="N2022" i="2"/>
  <c r="B2022" i="2"/>
  <c r="N2021" i="2"/>
  <c r="B2021" i="2"/>
  <c r="N2020" i="2"/>
  <c r="B2020" i="2"/>
  <c r="N2019" i="2"/>
  <c r="B2019" i="2"/>
  <c r="N2018" i="2"/>
  <c r="B2018" i="2"/>
  <c r="N2017" i="2"/>
  <c r="B2017" i="2"/>
  <c r="N2016" i="2"/>
  <c r="B2016" i="2"/>
  <c r="N2015" i="2"/>
  <c r="B2015" i="2"/>
  <c r="N2014" i="2"/>
  <c r="B2014" i="2"/>
  <c r="N2013" i="2"/>
  <c r="B2013" i="2"/>
  <c r="N2012" i="2"/>
  <c r="B2012" i="2"/>
  <c r="N2011" i="2"/>
  <c r="B2011" i="2"/>
  <c r="N2010" i="2"/>
  <c r="B2010" i="2"/>
  <c r="N2009" i="2"/>
  <c r="B2009" i="2"/>
  <c r="N2008" i="2"/>
  <c r="B2008" i="2"/>
  <c r="N2007" i="2"/>
  <c r="B2007" i="2"/>
  <c r="N2006" i="2"/>
  <c r="B2006" i="2"/>
  <c r="N2005" i="2"/>
  <c r="B2005" i="2"/>
  <c r="N2004" i="2"/>
  <c r="B2004" i="2"/>
  <c r="N2003" i="2"/>
  <c r="B2003" i="2"/>
  <c r="N2002" i="2"/>
  <c r="B2002" i="2"/>
  <c r="N2001" i="2"/>
  <c r="B2001" i="2"/>
  <c r="N2000" i="2"/>
  <c r="B2000" i="2"/>
  <c r="N1999" i="2"/>
  <c r="B1999" i="2"/>
  <c r="N1998" i="2"/>
  <c r="B1998" i="2"/>
  <c r="N1997" i="2"/>
  <c r="B1997" i="2"/>
  <c r="N1996" i="2"/>
  <c r="B1996" i="2"/>
  <c r="N1995" i="2"/>
  <c r="B1995" i="2"/>
  <c r="N1994" i="2"/>
  <c r="B1994" i="2"/>
  <c r="N1993" i="2"/>
  <c r="B1993" i="2"/>
  <c r="N1992" i="2"/>
  <c r="B1992" i="2"/>
  <c r="N1991" i="2"/>
  <c r="B1991" i="2"/>
  <c r="N1990" i="2"/>
  <c r="B1990" i="2"/>
  <c r="N1989" i="2"/>
  <c r="B1989" i="2"/>
  <c r="N1988" i="2"/>
  <c r="B1988" i="2"/>
  <c r="N1987" i="2"/>
  <c r="B1987" i="2"/>
  <c r="N1986" i="2"/>
  <c r="B1986" i="2"/>
  <c r="N1985" i="2"/>
  <c r="B1985" i="2"/>
  <c r="N1984" i="2"/>
  <c r="B1984" i="2"/>
  <c r="N1983" i="2"/>
  <c r="B1983" i="2"/>
  <c r="N1982" i="2"/>
  <c r="B1982" i="2"/>
  <c r="N1981" i="2"/>
  <c r="B1981" i="2"/>
  <c r="N1980" i="2"/>
  <c r="B1980" i="2"/>
  <c r="N1979" i="2"/>
  <c r="B1979" i="2"/>
  <c r="N1978" i="2"/>
  <c r="B1978" i="2"/>
  <c r="N1977" i="2"/>
  <c r="B1977" i="2"/>
  <c r="N1976" i="2"/>
  <c r="B1976" i="2"/>
  <c r="N1975" i="2"/>
  <c r="B1975" i="2"/>
  <c r="N1974" i="2"/>
  <c r="B1974" i="2"/>
  <c r="N1973" i="2"/>
  <c r="B1973" i="2"/>
  <c r="N1972" i="2"/>
  <c r="B1972" i="2"/>
  <c r="N1971" i="2"/>
  <c r="B1971" i="2"/>
  <c r="N1970" i="2"/>
  <c r="B1970" i="2"/>
  <c r="N1969" i="2"/>
  <c r="B1969" i="2"/>
  <c r="N1968" i="2"/>
  <c r="B1968" i="2"/>
  <c r="N1967" i="2"/>
  <c r="B1967" i="2"/>
  <c r="N1966" i="2"/>
  <c r="B1966" i="2"/>
  <c r="N1965" i="2"/>
  <c r="B1965" i="2"/>
  <c r="N1964" i="2"/>
  <c r="B1964" i="2"/>
  <c r="N1963" i="2"/>
  <c r="B1963" i="2"/>
  <c r="N1962" i="2"/>
  <c r="B1962" i="2"/>
  <c r="N1961" i="2"/>
  <c r="B1961" i="2"/>
  <c r="N1960" i="2"/>
  <c r="B1960" i="2"/>
  <c r="N1959" i="2"/>
  <c r="B1959" i="2"/>
  <c r="N1958" i="2"/>
  <c r="B1958" i="2"/>
  <c r="N1957" i="2"/>
  <c r="B1957" i="2"/>
  <c r="N1956" i="2"/>
  <c r="B1956" i="2"/>
  <c r="N1955" i="2"/>
  <c r="B1955" i="2"/>
  <c r="N1954" i="2"/>
  <c r="B1954" i="2"/>
  <c r="N1953" i="2"/>
  <c r="B1953" i="2"/>
  <c r="N1952" i="2"/>
  <c r="B1952" i="2"/>
  <c r="N1951" i="2"/>
  <c r="B1951" i="2"/>
  <c r="N1950" i="2"/>
  <c r="B1950" i="2"/>
  <c r="N1949" i="2"/>
  <c r="B1949" i="2"/>
  <c r="N1948" i="2"/>
  <c r="B1948" i="2"/>
  <c r="N1947" i="2"/>
  <c r="B1947" i="2"/>
  <c r="N1946" i="2"/>
  <c r="B1946" i="2"/>
  <c r="N1945" i="2"/>
  <c r="B1945" i="2"/>
  <c r="N1944" i="2"/>
  <c r="B1944" i="2"/>
  <c r="N1943" i="2"/>
  <c r="B1943" i="2"/>
  <c r="N1942" i="2"/>
  <c r="B1942" i="2"/>
  <c r="N1941" i="2"/>
  <c r="B1941" i="2"/>
  <c r="N1940" i="2"/>
  <c r="B1940" i="2"/>
  <c r="N1939" i="2"/>
  <c r="B1939" i="2"/>
  <c r="N1938" i="2"/>
  <c r="B1938" i="2"/>
  <c r="N1937" i="2"/>
  <c r="B1937" i="2"/>
  <c r="N1936" i="2"/>
  <c r="B1936" i="2"/>
  <c r="N1935" i="2"/>
  <c r="B1935" i="2"/>
  <c r="N1934" i="2"/>
  <c r="B1934" i="2"/>
  <c r="N1933" i="2"/>
  <c r="B1933" i="2"/>
  <c r="N1932" i="2"/>
  <c r="B1932" i="2"/>
  <c r="N1931" i="2"/>
  <c r="B1931" i="2"/>
  <c r="N1930" i="2"/>
  <c r="B1930" i="2"/>
  <c r="N1929" i="2"/>
  <c r="B1929" i="2"/>
  <c r="N1928" i="2"/>
  <c r="B1928" i="2"/>
  <c r="N1927" i="2"/>
  <c r="B1927" i="2"/>
  <c r="N1926" i="2"/>
  <c r="B1926" i="2"/>
  <c r="N1925" i="2"/>
  <c r="B1925" i="2"/>
  <c r="N1924" i="2"/>
  <c r="B1924" i="2"/>
  <c r="N1923" i="2"/>
  <c r="B1923" i="2"/>
  <c r="N1922" i="2"/>
  <c r="B1922" i="2"/>
  <c r="N1921" i="2"/>
  <c r="B1921" i="2"/>
  <c r="N1920" i="2"/>
  <c r="B1920" i="2"/>
  <c r="N1919" i="2"/>
  <c r="B1919" i="2"/>
  <c r="N1918" i="2"/>
  <c r="B1918" i="2"/>
  <c r="N1917" i="2"/>
  <c r="B1917" i="2"/>
  <c r="N1916" i="2"/>
  <c r="B1916" i="2"/>
  <c r="N1915" i="2"/>
  <c r="B1915" i="2"/>
  <c r="N1914" i="2"/>
  <c r="B1914" i="2"/>
  <c r="N1913" i="2"/>
  <c r="B1913" i="2"/>
  <c r="N1912" i="2"/>
  <c r="B1912" i="2"/>
  <c r="N1911" i="2"/>
  <c r="B1911" i="2"/>
  <c r="N1910" i="2"/>
  <c r="B1910" i="2"/>
  <c r="N1909" i="2"/>
  <c r="B1909" i="2"/>
  <c r="N1908" i="2"/>
  <c r="B1908" i="2"/>
  <c r="N1907" i="2"/>
  <c r="B1907" i="2"/>
  <c r="N1906" i="2"/>
  <c r="B1906" i="2"/>
  <c r="N1905" i="2"/>
  <c r="B1905" i="2"/>
  <c r="N1904" i="2"/>
  <c r="B1904" i="2"/>
  <c r="N1903" i="2"/>
  <c r="B1903" i="2"/>
  <c r="N1902" i="2"/>
  <c r="B1902" i="2"/>
  <c r="N1901" i="2"/>
  <c r="B1901" i="2"/>
  <c r="N1900" i="2"/>
  <c r="B1900" i="2"/>
  <c r="N1899" i="2"/>
  <c r="B1899" i="2"/>
  <c r="N1898" i="2"/>
  <c r="B1898" i="2"/>
  <c r="N1897" i="2"/>
  <c r="B1897" i="2"/>
  <c r="N1896" i="2"/>
  <c r="B1896" i="2"/>
  <c r="N1895" i="2"/>
  <c r="B1895" i="2"/>
  <c r="N1894" i="2"/>
  <c r="B1894" i="2"/>
  <c r="N1893" i="2"/>
  <c r="B1893" i="2"/>
  <c r="N1892" i="2"/>
  <c r="B1892" i="2"/>
  <c r="N1891" i="2"/>
  <c r="B1891" i="2"/>
  <c r="N1890" i="2"/>
  <c r="B1890" i="2"/>
  <c r="N1889" i="2"/>
  <c r="B1889" i="2"/>
  <c r="N1888" i="2"/>
  <c r="B1888" i="2"/>
  <c r="N1887" i="2"/>
  <c r="B1887" i="2"/>
  <c r="N1886" i="2"/>
  <c r="B1886" i="2"/>
  <c r="N1885" i="2"/>
  <c r="B1885" i="2"/>
  <c r="N1884" i="2"/>
  <c r="B1884" i="2"/>
  <c r="N1883" i="2"/>
  <c r="B1883" i="2"/>
  <c r="N1882" i="2"/>
  <c r="B1882" i="2"/>
  <c r="N1881" i="2"/>
  <c r="B1881" i="2"/>
  <c r="N1880" i="2"/>
  <c r="B1880" i="2"/>
  <c r="N1879" i="2"/>
  <c r="B1879" i="2"/>
  <c r="N1878" i="2"/>
  <c r="B1878" i="2"/>
  <c r="N1877" i="2"/>
  <c r="B1877" i="2"/>
  <c r="N1876" i="2"/>
  <c r="B1876" i="2"/>
  <c r="N1875" i="2"/>
  <c r="B1875" i="2"/>
  <c r="N1874" i="2"/>
  <c r="B1874" i="2"/>
  <c r="N1873" i="2"/>
  <c r="B1873" i="2"/>
  <c r="N1872" i="2"/>
  <c r="B1872" i="2"/>
  <c r="N1871" i="2"/>
  <c r="B1871" i="2"/>
  <c r="N1870" i="2"/>
  <c r="B1870" i="2"/>
  <c r="N1869" i="2"/>
  <c r="B1869" i="2"/>
  <c r="N1868" i="2"/>
  <c r="B1868" i="2"/>
  <c r="N1867" i="2"/>
  <c r="B1867" i="2"/>
  <c r="N1866" i="2"/>
  <c r="B1866" i="2"/>
  <c r="N1865" i="2"/>
  <c r="B1865" i="2"/>
  <c r="N1864" i="2"/>
  <c r="B1864" i="2"/>
  <c r="N1863" i="2"/>
  <c r="B1863" i="2"/>
  <c r="N1862" i="2"/>
  <c r="B1862" i="2"/>
  <c r="N1861" i="2"/>
  <c r="B1861" i="2"/>
  <c r="N1860" i="2"/>
  <c r="B1860" i="2"/>
  <c r="N1859" i="2"/>
  <c r="B1859" i="2"/>
  <c r="N1858" i="2"/>
  <c r="B1858" i="2"/>
  <c r="N1857" i="2"/>
  <c r="B1857" i="2"/>
  <c r="N1856" i="2"/>
  <c r="B1856" i="2"/>
  <c r="N1855" i="2"/>
  <c r="B1855" i="2"/>
  <c r="N1854" i="2"/>
  <c r="B1854" i="2"/>
  <c r="N1853" i="2"/>
  <c r="B1853" i="2"/>
  <c r="N1852" i="2"/>
  <c r="B1852" i="2"/>
  <c r="N1851" i="2"/>
  <c r="B1851" i="2"/>
  <c r="N1850" i="2"/>
  <c r="B1850" i="2"/>
  <c r="N1849" i="2"/>
  <c r="B1849" i="2"/>
  <c r="N1848" i="2"/>
  <c r="B1848" i="2"/>
  <c r="N1847" i="2"/>
  <c r="B1847" i="2"/>
  <c r="N1846" i="2"/>
  <c r="B1846" i="2"/>
  <c r="N1845" i="2"/>
  <c r="B1845" i="2"/>
  <c r="N1844" i="2"/>
  <c r="B1844" i="2"/>
  <c r="N1843" i="2"/>
  <c r="B1843" i="2"/>
  <c r="N1842" i="2"/>
  <c r="B1842" i="2"/>
  <c r="N1841" i="2"/>
  <c r="B1841" i="2"/>
  <c r="N1840" i="2"/>
  <c r="B1840" i="2"/>
  <c r="N1839" i="2"/>
  <c r="B1839" i="2"/>
  <c r="N1838" i="2"/>
  <c r="B1838" i="2"/>
  <c r="N1837" i="2"/>
  <c r="B1837" i="2"/>
  <c r="N1836" i="2"/>
  <c r="B1836" i="2"/>
  <c r="N1835" i="2"/>
  <c r="B1835" i="2"/>
  <c r="N1834" i="2"/>
  <c r="B1834" i="2"/>
  <c r="N1833" i="2"/>
  <c r="B1833" i="2"/>
  <c r="N1832" i="2"/>
  <c r="B1832" i="2"/>
  <c r="N1831" i="2"/>
  <c r="B1831" i="2"/>
  <c r="N1830" i="2"/>
  <c r="B1830" i="2"/>
  <c r="N1829" i="2"/>
  <c r="B1829" i="2"/>
  <c r="N1828" i="2"/>
  <c r="B1828" i="2"/>
  <c r="N1827" i="2"/>
  <c r="B1827" i="2"/>
  <c r="N1826" i="2"/>
  <c r="B1826" i="2"/>
  <c r="N1825" i="2"/>
  <c r="B1825" i="2"/>
  <c r="N1824" i="2"/>
  <c r="B1824" i="2"/>
  <c r="N1823" i="2"/>
  <c r="B1823" i="2"/>
  <c r="N1822" i="2"/>
  <c r="B1822" i="2"/>
  <c r="N1821" i="2"/>
  <c r="B1821" i="2"/>
  <c r="N1820" i="2"/>
  <c r="B1820" i="2"/>
  <c r="N1819" i="2"/>
  <c r="B1819" i="2"/>
  <c r="N1818" i="2"/>
  <c r="B1818" i="2"/>
  <c r="N1817" i="2"/>
  <c r="B1817" i="2"/>
  <c r="N1816" i="2"/>
  <c r="B1816" i="2"/>
  <c r="N1815" i="2"/>
  <c r="B1815" i="2"/>
  <c r="N1814" i="2"/>
  <c r="B1814" i="2"/>
  <c r="N1813" i="2"/>
  <c r="B1813" i="2"/>
  <c r="N1812" i="2"/>
  <c r="B1812" i="2"/>
  <c r="N1811" i="2"/>
  <c r="B1811" i="2"/>
  <c r="N1810" i="2"/>
  <c r="B1810" i="2"/>
  <c r="N1809" i="2"/>
  <c r="B1809" i="2"/>
  <c r="N1808" i="2"/>
  <c r="B1808" i="2"/>
  <c r="N1807" i="2"/>
  <c r="B1807" i="2"/>
  <c r="N1806" i="2"/>
  <c r="B1806" i="2"/>
  <c r="N1805" i="2"/>
  <c r="B1805" i="2"/>
  <c r="N1804" i="2"/>
  <c r="B1804" i="2"/>
  <c r="N1803" i="2"/>
  <c r="B1803" i="2"/>
  <c r="N1802" i="2"/>
  <c r="B1802" i="2"/>
  <c r="N1801" i="2"/>
  <c r="B1801" i="2"/>
  <c r="N1800" i="2"/>
  <c r="B1800" i="2"/>
  <c r="N1799" i="2"/>
  <c r="B1799" i="2"/>
  <c r="N1798" i="2"/>
  <c r="B1798" i="2"/>
  <c r="N1797" i="2"/>
  <c r="B1797" i="2"/>
  <c r="N1796" i="2"/>
  <c r="B1796" i="2"/>
  <c r="N1795" i="2"/>
  <c r="B1795" i="2"/>
  <c r="N1794" i="2"/>
  <c r="B1794" i="2"/>
  <c r="N1793" i="2"/>
  <c r="B1793" i="2"/>
  <c r="N1792" i="2"/>
  <c r="B1792" i="2"/>
  <c r="N1791" i="2"/>
  <c r="B1791" i="2"/>
  <c r="N1790" i="2"/>
  <c r="B1790" i="2"/>
  <c r="N1789" i="2"/>
  <c r="B1789" i="2"/>
  <c r="N1788" i="2"/>
  <c r="B1788" i="2"/>
  <c r="N1787" i="2"/>
  <c r="B1787" i="2"/>
  <c r="N1786" i="2"/>
  <c r="B1786" i="2"/>
  <c r="N1785" i="2"/>
  <c r="B1785" i="2"/>
  <c r="N1784" i="2"/>
  <c r="B1784" i="2"/>
  <c r="N1783" i="2"/>
  <c r="B1783" i="2"/>
  <c r="N1782" i="2"/>
  <c r="B1782" i="2"/>
  <c r="N1781" i="2"/>
  <c r="B1781" i="2"/>
  <c r="N1780" i="2"/>
  <c r="B1780" i="2"/>
  <c r="N1779" i="2"/>
  <c r="B1779" i="2"/>
  <c r="N1778" i="2"/>
  <c r="B1778" i="2"/>
  <c r="N1777" i="2"/>
  <c r="B1777" i="2"/>
  <c r="N1776" i="2"/>
  <c r="B1776" i="2"/>
  <c r="N1775" i="2"/>
  <c r="B1775" i="2"/>
  <c r="N1774" i="2"/>
  <c r="B1774" i="2"/>
  <c r="N1773" i="2"/>
  <c r="B1773" i="2"/>
  <c r="N1772" i="2"/>
  <c r="B1772" i="2"/>
  <c r="N1771" i="2"/>
  <c r="B1771" i="2"/>
  <c r="N1770" i="2"/>
  <c r="B1770" i="2"/>
  <c r="N1769" i="2"/>
  <c r="B1769" i="2"/>
  <c r="N1768" i="2"/>
  <c r="B1768" i="2"/>
  <c r="N1767" i="2"/>
  <c r="B1767" i="2"/>
  <c r="N1766" i="2"/>
  <c r="B1766" i="2"/>
  <c r="N1765" i="2"/>
  <c r="B1765" i="2"/>
  <c r="N1764" i="2"/>
  <c r="B1764" i="2"/>
  <c r="N1763" i="2"/>
  <c r="B1763" i="2"/>
  <c r="N1762" i="2"/>
  <c r="B1762" i="2"/>
  <c r="N1761" i="2"/>
  <c r="B1761" i="2"/>
  <c r="N1760" i="2"/>
  <c r="B1760" i="2"/>
  <c r="N1759" i="2"/>
  <c r="B1759" i="2"/>
  <c r="N1758" i="2"/>
  <c r="B1758" i="2"/>
  <c r="N1757" i="2"/>
  <c r="B1757" i="2"/>
  <c r="N1756" i="2"/>
  <c r="B1756" i="2"/>
  <c r="N1755" i="2"/>
  <c r="B1755" i="2"/>
  <c r="N1754" i="2"/>
  <c r="B1754" i="2"/>
  <c r="N1753" i="2"/>
  <c r="B1753" i="2"/>
  <c r="N1752" i="2"/>
  <c r="B1752" i="2"/>
  <c r="N1751" i="2"/>
  <c r="B1751" i="2"/>
  <c r="N1750" i="2"/>
  <c r="B1750" i="2"/>
  <c r="N1749" i="2"/>
  <c r="B1749" i="2"/>
  <c r="N1748" i="2"/>
  <c r="B1748" i="2"/>
  <c r="N1747" i="2"/>
  <c r="B1747" i="2"/>
  <c r="N1746" i="2"/>
  <c r="B1746" i="2"/>
  <c r="N1745" i="2"/>
  <c r="B1745" i="2"/>
  <c r="N1744" i="2"/>
  <c r="B1744" i="2"/>
  <c r="N1743" i="2"/>
  <c r="B1743" i="2"/>
  <c r="N1742" i="2"/>
  <c r="B1742" i="2"/>
  <c r="N1741" i="2"/>
  <c r="B1741" i="2"/>
  <c r="N1740" i="2"/>
  <c r="B1740" i="2"/>
  <c r="N1739" i="2"/>
  <c r="B1739" i="2"/>
  <c r="N1738" i="2"/>
  <c r="B1738" i="2"/>
  <c r="N1737" i="2"/>
  <c r="B1737" i="2"/>
  <c r="N1736" i="2"/>
  <c r="B1736" i="2"/>
  <c r="N1735" i="2"/>
  <c r="B1735" i="2"/>
  <c r="N1734" i="2"/>
  <c r="B1734" i="2"/>
  <c r="N1733" i="2"/>
  <c r="B1733" i="2"/>
  <c r="N1732" i="2"/>
  <c r="B1732" i="2"/>
  <c r="N1731" i="2"/>
  <c r="B1731" i="2"/>
  <c r="N1730" i="2"/>
  <c r="B1730" i="2"/>
  <c r="N1729" i="2"/>
  <c r="B1729" i="2"/>
  <c r="N1728" i="2"/>
  <c r="B1728" i="2"/>
  <c r="N1727" i="2"/>
  <c r="B1727" i="2"/>
  <c r="N1726" i="2"/>
  <c r="B1726" i="2"/>
  <c r="N1725" i="2"/>
  <c r="B1725" i="2"/>
  <c r="N1724" i="2"/>
  <c r="B1724" i="2"/>
  <c r="N1723" i="2"/>
  <c r="B1723" i="2"/>
  <c r="N1722" i="2"/>
  <c r="B1722" i="2"/>
  <c r="N1721" i="2"/>
  <c r="B1721" i="2"/>
  <c r="N1720" i="2"/>
  <c r="B1720" i="2"/>
  <c r="N1719" i="2"/>
  <c r="B1719" i="2"/>
  <c r="N1718" i="2"/>
  <c r="B1718" i="2"/>
  <c r="N1717" i="2"/>
  <c r="B1717" i="2"/>
  <c r="N1716" i="2"/>
  <c r="B1716" i="2"/>
  <c r="N1715" i="2"/>
  <c r="B1715" i="2"/>
  <c r="N1714" i="2"/>
  <c r="B1714" i="2"/>
  <c r="N1713" i="2"/>
  <c r="B1713" i="2"/>
  <c r="N1712" i="2"/>
  <c r="B1712" i="2"/>
  <c r="N1711" i="2"/>
  <c r="B1711" i="2"/>
  <c r="N1710" i="2"/>
  <c r="B1710" i="2"/>
  <c r="N1709" i="2"/>
  <c r="B1709" i="2"/>
  <c r="N1708" i="2"/>
  <c r="B1708" i="2"/>
  <c r="N1707" i="2"/>
  <c r="B1707" i="2"/>
  <c r="N1706" i="2"/>
  <c r="B1706" i="2"/>
  <c r="N1705" i="2"/>
  <c r="B1705" i="2"/>
  <c r="N1704" i="2"/>
  <c r="B1704" i="2"/>
  <c r="N1703" i="2"/>
  <c r="B1703" i="2"/>
  <c r="N1702" i="2"/>
  <c r="B1702" i="2"/>
  <c r="N1701" i="2"/>
  <c r="B1701" i="2"/>
  <c r="N1700" i="2"/>
  <c r="B1700" i="2"/>
  <c r="N1699" i="2"/>
  <c r="B1699" i="2"/>
  <c r="N1698" i="2"/>
  <c r="B1698" i="2"/>
  <c r="N1697" i="2"/>
  <c r="B1697" i="2"/>
  <c r="N1696" i="2"/>
  <c r="B1696" i="2"/>
  <c r="N1695" i="2"/>
  <c r="B1695" i="2"/>
  <c r="N1694" i="2"/>
  <c r="B1694" i="2"/>
  <c r="N1693" i="2"/>
  <c r="B1693" i="2"/>
  <c r="N1692" i="2"/>
  <c r="B1692" i="2"/>
  <c r="N1691" i="2"/>
  <c r="B1691" i="2"/>
  <c r="N1690" i="2"/>
  <c r="B1690" i="2"/>
  <c r="N1689" i="2"/>
  <c r="B1689" i="2"/>
  <c r="N1688" i="2"/>
  <c r="B1688" i="2"/>
  <c r="N1687" i="2"/>
  <c r="B1687" i="2"/>
  <c r="N1686" i="2"/>
  <c r="B1686" i="2"/>
  <c r="N1685" i="2"/>
  <c r="B1685" i="2"/>
  <c r="N1684" i="2"/>
  <c r="B1684" i="2"/>
  <c r="N1683" i="2"/>
  <c r="B1683" i="2"/>
  <c r="N1682" i="2"/>
  <c r="B1682" i="2"/>
  <c r="N1681" i="2"/>
  <c r="B1681" i="2"/>
  <c r="N1680" i="2"/>
  <c r="B1680" i="2"/>
  <c r="N1679" i="2"/>
  <c r="B1679" i="2"/>
  <c r="N1678" i="2"/>
  <c r="B1678" i="2"/>
  <c r="N1677" i="2"/>
  <c r="B1677" i="2"/>
  <c r="N1676" i="2"/>
  <c r="B1676" i="2"/>
  <c r="N1675" i="2"/>
  <c r="B1675" i="2"/>
  <c r="N1674" i="2"/>
  <c r="B1674" i="2"/>
  <c r="N1673" i="2"/>
  <c r="B1673" i="2"/>
  <c r="N1672" i="2"/>
  <c r="B1672" i="2"/>
  <c r="N1671" i="2"/>
  <c r="B1671" i="2"/>
  <c r="N1670" i="2"/>
  <c r="B1670" i="2"/>
  <c r="N1669" i="2"/>
  <c r="B1669" i="2"/>
  <c r="N1668" i="2"/>
  <c r="B1668" i="2"/>
  <c r="N1667" i="2"/>
  <c r="B1667" i="2"/>
  <c r="N1666" i="2"/>
  <c r="B1666" i="2"/>
  <c r="N1665" i="2"/>
  <c r="B1665" i="2"/>
  <c r="N1664" i="2"/>
  <c r="B1664" i="2"/>
  <c r="N1663" i="2"/>
  <c r="B1663" i="2"/>
  <c r="N1662" i="2"/>
  <c r="B1662" i="2"/>
  <c r="N1661" i="2"/>
  <c r="B1661" i="2"/>
  <c r="N1660" i="2"/>
  <c r="B1660" i="2"/>
  <c r="N1659" i="2"/>
  <c r="B1659" i="2"/>
  <c r="N1658" i="2"/>
  <c r="B1658" i="2"/>
  <c r="N1657" i="2"/>
  <c r="B1657" i="2"/>
  <c r="N1656" i="2"/>
  <c r="B1656" i="2"/>
  <c r="N1655" i="2"/>
  <c r="B1655" i="2"/>
  <c r="N1654" i="2"/>
  <c r="B1654" i="2"/>
  <c r="N1653" i="2"/>
  <c r="B1653" i="2"/>
  <c r="N1652" i="2"/>
  <c r="B1652" i="2"/>
  <c r="N1651" i="2"/>
  <c r="B1651" i="2"/>
  <c r="N1650" i="2"/>
  <c r="B1650" i="2"/>
  <c r="N1649" i="2"/>
  <c r="B1649" i="2"/>
  <c r="N1648" i="2"/>
  <c r="B1648" i="2"/>
  <c r="N1647" i="2"/>
  <c r="B1647" i="2"/>
  <c r="N1646" i="2"/>
  <c r="B1646" i="2"/>
  <c r="N1645" i="2"/>
  <c r="B1645" i="2"/>
  <c r="N1644" i="2"/>
  <c r="B1644" i="2"/>
  <c r="N1643" i="2"/>
  <c r="B1643" i="2"/>
  <c r="N1642" i="2"/>
  <c r="B1642" i="2"/>
  <c r="N1641" i="2"/>
  <c r="B1641" i="2"/>
  <c r="N1640" i="2"/>
  <c r="B1640" i="2"/>
  <c r="N1639" i="2"/>
  <c r="B1639" i="2"/>
  <c r="N1638" i="2"/>
  <c r="B1638" i="2"/>
  <c r="N1637" i="2"/>
  <c r="B1637" i="2"/>
  <c r="N1636" i="2"/>
  <c r="B1636" i="2"/>
  <c r="N1635" i="2"/>
  <c r="B1635" i="2"/>
  <c r="N1634" i="2"/>
  <c r="B1634" i="2"/>
  <c r="N1633" i="2"/>
  <c r="B1633" i="2"/>
  <c r="N1632" i="2"/>
  <c r="B1632" i="2"/>
  <c r="N1631" i="2"/>
  <c r="B1631" i="2"/>
  <c r="N1630" i="2"/>
  <c r="B1630" i="2"/>
  <c r="N1629" i="2"/>
  <c r="B1629" i="2"/>
  <c r="N1628" i="2"/>
  <c r="B1628" i="2"/>
  <c r="N1627" i="2"/>
  <c r="B1627" i="2"/>
  <c r="N1626" i="2"/>
  <c r="B1626" i="2"/>
  <c r="N1625" i="2"/>
  <c r="B1625" i="2"/>
  <c r="N1624" i="2"/>
  <c r="B1624" i="2"/>
  <c r="N1623" i="2"/>
  <c r="B1623" i="2"/>
  <c r="N1622" i="2"/>
  <c r="B1622" i="2"/>
  <c r="N1621" i="2"/>
  <c r="B1621" i="2"/>
  <c r="N1620" i="2"/>
  <c r="B1620" i="2"/>
  <c r="N1619" i="2"/>
  <c r="B1619" i="2"/>
  <c r="N1618" i="2"/>
  <c r="B1618" i="2"/>
  <c r="N1617" i="2"/>
  <c r="B1617" i="2"/>
  <c r="N1616" i="2"/>
  <c r="B1616" i="2"/>
  <c r="N1615" i="2"/>
  <c r="B1615" i="2"/>
  <c r="N1614" i="2"/>
  <c r="B1614" i="2"/>
  <c r="N1613" i="2"/>
  <c r="B1613" i="2"/>
  <c r="N1612" i="2"/>
  <c r="B1612" i="2"/>
  <c r="N1611" i="2"/>
  <c r="B1611" i="2"/>
  <c r="N1610" i="2"/>
  <c r="B1610" i="2"/>
  <c r="N1609" i="2"/>
  <c r="B1609" i="2"/>
  <c r="N1608" i="2"/>
  <c r="B1608" i="2"/>
  <c r="N1607" i="2"/>
  <c r="B1607" i="2"/>
  <c r="N1606" i="2"/>
  <c r="B1606" i="2"/>
  <c r="N1605" i="2"/>
  <c r="B1605" i="2"/>
  <c r="N1604" i="2"/>
  <c r="B1604" i="2"/>
  <c r="N1603" i="2"/>
  <c r="B1603" i="2"/>
  <c r="N1602" i="2"/>
  <c r="B1602" i="2"/>
  <c r="N1601" i="2"/>
  <c r="B1601" i="2"/>
  <c r="N1600" i="2"/>
  <c r="B1600" i="2"/>
  <c r="N1599" i="2"/>
  <c r="B1599" i="2"/>
  <c r="N1598" i="2"/>
  <c r="B1598" i="2"/>
  <c r="N1597" i="2"/>
  <c r="B1597" i="2"/>
  <c r="N1596" i="2"/>
  <c r="B1596" i="2"/>
  <c r="N1595" i="2"/>
  <c r="B1595" i="2"/>
  <c r="N1594" i="2"/>
  <c r="B1594" i="2"/>
  <c r="N1593" i="2"/>
  <c r="B1593" i="2"/>
  <c r="N1592" i="2"/>
  <c r="B1592" i="2"/>
  <c r="N1591" i="2"/>
  <c r="B1591" i="2"/>
  <c r="N1590" i="2"/>
  <c r="B1590" i="2"/>
  <c r="N1589" i="2"/>
  <c r="B1589" i="2"/>
  <c r="N1588" i="2"/>
  <c r="B1588" i="2"/>
  <c r="N1587" i="2"/>
  <c r="B1587" i="2"/>
  <c r="N1586" i="2"/>
  <c r="B1586" i="2"/>
  <c r="N1585" i="2"/>
  <c r="B1585" i="2"/>
  <c r="N1584" i="2"/>
  <c r="B1584" i="2"/>
  <c r="N1583" i="2"/>
  <c r="B1583" i="2"/>
  <c r="N1582" i="2"/>
  <c r="B1582" i="2"/>
  <c r="N1581" i="2"/>
  <c r="B1581" i="2"/>
  <c r="N1580" i="2"/>
  <c r="B1580" i="2"/>
  <c r="N1579" i="2"/>
  <c r="B1579" i="2"/>
  <c r="N1578" i="2"/>
  <c r="B1578" i="2"/>
  <c r="N1577" i="2"/>
  <c r="B1577" i="2"/>
  <c r="N1576" i="2"/>
  <c r="B1576" i="2"/>
  <c r="N1575" i="2"/>
  <c r="B1575" i="2"/>
  <c r="N1574" i="2"/>
  <c r="B1574" i="2"/>
  <c r="N1573" i="2"/>
  <c r="B1573" i="2"/>
  <c r="N1572" i="2"/>
  <c r="B1572" i="2"/>
  <c r="N1571" i="2"/>
  <c r="B1571" i="2"/>
  <c r="N1570" i="2"/>
  <c r="B1570" i="2"/>
  <c r="N1569" i="2"/>
  <c r="B1569" i="2"/>
  <c r="N1568" i="2"/>
  <c r="B1568" i="2"/>
  <c r="N1567" i="2"/>
  <c r="B1567" i="2"/>
  <c r="N1566" i="2"/>
  <c r="B1566" i="2"/>
  <c r="N1565" i="2"/>
  <c r="B1565" i="2"/>
  <c r="N1564" i="2"/>
  <c r="B1564" i="2"/>
  <c r="N1563" i="2"/>
  <c r="B1563" i="2"/>
  <c r="N1562" i="2"/>
  <c r="B1562" i="2"/>
  <c r="N1561" i="2"/>
  <c r="B1561" i="2"/>
  <c r="N1560" i="2"/>
  <c r="B1560" i="2"/>
  <c r="N1559" i="2"/>
  <c r="B1559" i="2"/>
  <c r="N1558" i="2"/>
  <c r="B1558" i="2"/>
  <c r="N1557" i="2"/>
  <c r="B1557" i="2"/>
  <c r="N1556" i="2"/>
  <c r="B1556" i="2"/>
  <c r="N1555" i="2"/>
  <c r="B1555" i="2"/>
  <c r="N1554" i="2"/>
  <c r="B1554" i="2"/>
  <c r="N1553" i="2"/>
  <c r="B1553" i="2"/>
  <c r="N1552" i="2"/>
  <c r="B1552" i="2"/>
  <c r="N1551" i="2"/>
  <c r="B1551" i="2"/>
  <c r="N1550" i="2"/>
  <c r="B1550" i="2"/>
  <c r="N1549" i="2"/>
  <c r="B1549" i="2"/>
  <c r="N1548" i="2"/>
  <c r="B1548" i="2"/>
  <c r="N1547" i="2"/>
  <c r="B1547" i="2"/>
  <c r="N1546" i="2"/>
  <c r="B1546" i="2"/>
  <c r="N1545" i="2"/>
  <c r="B1545" i="2"/>
  <c r="N1544" i="2"/>
  <c r="B1544" i="2"/>
  <c r="N1543" i="2"/>
  <c r="B1543" i="2"/>
  <c r="N1542" i="2"/>
  <c r="B1542" i="2"/>
  <c r="N1541" i="2"/>
  <c r="B1541" i="2"/>
  <c r="N1540" i="2"/>
  <c r="B1540" i="2"/>
  <c r="N1539" i="2"/>
  <c r="B1539" i="2"/>
  <c r="N1538" i="2"/>
  <c r="B1538" i="2"/>
  <c r="N1537" i="2"/>
  <c r="B1537" i="2"/>
  <c r="N1536" i="2"/>
  <c r="B1536" i="2"/>
  <c r="N1535" i="2"/>
  <c r="B1535" i="2"/>
  <c r="N1534" i="2"/>
  <c r="B1534" i="2"/>
  <c r="N1533" i="2"/>
  <c r="B1533" i="2"/>
  <c r="N1532" i="2"/>
  <c r="B1532" i="2"/>
  <c r="N1531" i="2"/>
  <c r="B1531" i="2"/>
  <c r="N1530" i="2"/>
  <c r="B1530" i="2"/>
  <c r="N1529" i="2"/>
  <c r="B1529" i="2"/>
  <c r="N1528" i="2"/>
  <c r="B1528" i="2"/>
  <c r="N1527" i="2"/>
  <c r="B1527" i="2"/>
  <c r="N1526" i="2"/>
  <c r="B1526" i="2"/>
  <c r="N1525" i="2"/>
  <c r="B1525" i="2"/>
  <c r="N1524" i="2"/>
  <c r="B1524" i="2"/>
  <c r="N1523" i="2"/>
  <c r="B1523" i="2"/>
  <c r="N1522" i="2"/>
  <c r="B1522" i="2"/>
  <c r="N1521" i="2"/>
  <c r="B1521" i="2"/>
  <c r="N1520" i="2"/>
  <c r="B1520" i="2"/>
  <c r="N1519" i="2"/>
  <c r="B1519" i="2"/>
  <c r="N1518" i="2"/>
  <c r="B1518" i="2"/>
  <c r="N1517" i="2"/>
  <c r="B1517" i="2"/>
  <c r="N1516" i="2"/>
  <c r="B1516" i="2"/>
  <c r="N1515" i="2"/>
  <c r="B1515" i="2"/>
  <c r="N1514" i="2"/>
  <c r="B1514" i="2"/>
  <c r="N1513" i="2"/>
  <c r="B1513" i="2"/>
  <c r="N1512" i="2"/>
  <c r="B1512" i="2"/>
  <c r="N1511" i="2"/>
  <c r="B1511" i="2"/>
  <c r="N1510" i="2"/>
  <c r="B1510" i="2"/>
  <c r="N1509" i="2"/>
  <c r="B1509" i="2"/>
  <c r="N1508" i="2"/>
  <c r="B1508" i="2"/>
  <c r="N1507" i="2"/>
  <c r="B1507" i="2"/>
  <c r="N1506" i="2"/>
  <c r="B1506" i="2"/>
  <c r="N1505" i="2"/>
  <c r="B1505" i="2"/>
  <c r="N1504" i="2"/>
  <c r="B1504" i="2"/>
  <c r="N1503" i="2"/>
  <c r="B1503" i="2"/>
  <c r="N1502" i="2"/>
  <c r="B1502" i="2"/>
  <c r="N1501" i="2"/>
  <c r="B1501" i="2"/>
  <c r="N1500" i="2"/>
  <c r="B1500" i="2"/>
  <c r="N1499" i="2"/>
  <c r="B1499" i="2"/>
  <c r="N1498" i="2"/>
  <c r="B1498" i="2"/>
  <c r="N1497" i="2"/>
  <c r="B1497" i="2"/>
  <c r="N1496" i="2"/>
  <c r="B1496" i="2"/>
  <c r="N1495" i="2"/>
  <c r="B1495" i="2"/>
  <c r="N1494" i="2"/>
  <c r="B1494" i="2"/>
  <c r="N1493" i="2"/>
  <c r="B1493" i="2"/>
  <c r="N1492" i="2"/>
  <c r="B1492" i="2"/>
  <c r="N1491" i="2"/>
  <c r="B1491" i="2"/>
  <c r="N1490" i="2"/>
  <c r="B1490" i="2"/>
  <c r="N1489" i="2"/>
  <c r="B1489" i="2"/>
  <c r="N1488" i="2"/>
  <c r="B1488" i="2"/>
  <c r="N1487" i="2"/>
  <c r="B1487" i="2"/>
  <c r="N1486" i="2"/>
  <c r="B1486" i="2"/>
  <c r="N1485" i="2"/>
  <c r="B1485" i="2"/>
  <c r="N1484" i="2"/>
  <c r="B1484" i="2"/>
  <c r="N1483" i="2"/>
  <c r="B1483" i="2"/>
  <c r="N1482" i="2"/>
  <c r="B1482" i="2"/>
  <c r="N1481" i="2"/>
  <c r="B1481" i="2"/>
  <c r="N1480" i="2"/>
  <c r="B1480" i="2"/>
  <c r="N1479" i="2"/>
  <c r="B1479" i="2"/>
  <c r="N1478" i="2"/>
  <c r="B1478" i="2"/>
  <c r="N1477" i="2"/>
  <c r="B1477" i="2"/>
  <c r="N1476" i="2"/>
  <c r="B1476" i="2"/>
  <c r="N1475" i="2"/>
  <c r="B1475" i="2"/>
  <c r="N1474" i="2"/>
  <c r="B1474" i="2"/>
  <c r="N1473" i="2"/>
  <c r="B1473" i="2"/>
  <c r="N1472" i="2"/>
  <c r="B1472" i="2"/>
  <c r="N1471" i="2"/>
  <c r="B1471" i="2"/>
  <c r="N1470" i="2"/>
  <c r="B1470" i="2"/>
  <c r="N1469" i="2"/>
  <c r="B1469" i="2"/>
  <c r="N1468" i="2"/>
  <c r="B1468" i="2"/>
  <c r="N1467" i="2"/>
  <c r="B1467" i="2"/>
  <c r="N1466" i="2"/>
  <c r="B1466" i="2"/>
  <c r="N1465" i="2"/>
  <c r="B1465" i="2"/>
  <c r="N1464" i="2"/>
  <c r="B1464" i="2"/>
  <c r="N1463" i="2"/>
  <c r="B1463" i="2"/>
  <c r="N1462" i="2"/>
  <c r="B1462" i="2"/>
  <c r="N1461" i="2"/>
  <c r="B1461" i="2"/>
  <c r="N1460" i="2"/>
  <c r="B1460" i="2"/>
  <c r="N1459" i="2"/>
  <c r="B1459" i="2"/>
  <c r="N1458" i="2"/>
  <c r="B1458" i="2"/>
  <c r="N1457" i="2"/>
  <c r="B1457" i="2"/>
  <c r="N1456" i="2"/>
  <c r="B1456" i="2"/>
  <c r="N1455" i="2"/>
  <c r="B1455" i="2"/>
  <c r="N1454" i="2"/>
  <c r="B1454" i="2"/>
  <c r="N1453" i="2"/>
  <c r="B1453" i="2"/>
  <c r="N1452" i="2"/>
  <c r="B1452" i="2"/>
  <c r="N1451" i="2"/>
  <c r="B1451" i="2"/>
  <c r="N1450" i="2"/>
  <c r="B1450" i="2"/>
  <c r="N1449" i="2"/>
  <c r="B1449" i="2"/>
  <c r="N1448" i="2"/>
  <c r="B1448" i="2"/>
  <c r="N1447" i="2"/>
  <c r="B1447" i="2"/>
  <c r="N1446" i="2"/>
  <c r="B1446" i="2"/>
  <c r="N1445" i="2"/>
  <c r="B1445" i="2"/>
  <c r="N1444" i="2"/>
  <c r="B1444" i="2"/>
  <c r="N1443" i="2"/>
  <c r="B1443" i="2"/>
  <c r="N1442" i="2"/>
  <c r="B1442" i="2"/>
  <c r="N1441" i="2"/>
  <c r="B1441" i="2"/>
  <c r="N1440" i="2"/>
  <c r="B1440" i="2"/>
  <c r="N1439" i="2"/>
  <c r="B1439" i="2"/>
  <c r="N1438" i="2"/>
  <c r="B1438" i="2"/>
  <c r="N1437" i="2"/>
  <c r="B1437" i="2"/>
  <c r="N1436" i="2"/>
  <c r="B1436" i="2"/>
  <c r="N1435" i="2"/>
  <c r="B1435" i="2"/>
  <c r="N1434" i="2"/>
  <c r="B1434" i="2"/>
  <c r="N1433" i="2"/>
  <c r="B1433" i="2"/>
  <c r="N1432" i="2"/>
  <c r="B1432" i="2"/>
  <c r="N1431" i="2"/>
  <c r="B1431" i="2"/>
  <c r="N1430" i="2"/>
  <c r="B1430" i="2"/>
  <c r="N1429" i="2"/>
  <c r="B1429" i="2"/>
  <c r="N1428" i="2"/>
  <c r="B1428" i="2"/>
  <c r="N1427" i="2"/>
  <c r="B1427" i="2"/>
  <c r="N1426" i="2"/>
  <c r="B1426" i="2"/>
  <c r="N1425" i="2"/>
  <c r="B1425" i="2"/>
  <c r="N1424" i="2"/>
  <c r="B1424" i="2"/>
  <c r="N1423" i="2"/>
  <c r="B1423" i="2"/>
  <c r="N1422" i="2"/>
  <c r="B1422" i="2"/>
  <c r="N1421" i="2"/>
  <c r="B1421" i="2"/>
  <c r="N1420" i="2"/>
  <c r="B1420" i="2"/>
  <c r="N1419" i="2"/>
  <c r="B1419" i="2"/>
  <c r="N1418" i="2"/>
  <c r="B1418" i="2"/>
  <c r="N1417" i="2"/>
  <c r="B1417" i="2"/>
  <c r="N1416" i="2"/>
  <c r="B1416" i="2"/>
  <c r="N1415" i="2"/>
  <c r="B1415" i="2"/>
  <c r="N1414" i="2"/>
  <c r="B1414" i="2"/>
  <c r="N1413" i="2"/>
  <c r="B1413" i="2"/>
  <c r="N1412" i="2"/>
  <c r="B1412" i="2"/>
  <c r="N1411" i="2"/>
  <c r="B1411" i="2"/>
  <c r="N1410" i="2"/>
  <c r="B1410" i="2"/>
  <c r="N1409" i="2"/>
  <c r="B1409" i="2"/>
  <c r="N1408" i="2"/>
  <c r="B1408" i="2"/>
  <c r="N1407" i="2"/>
  <c r="B1407" i="2"/>
  <c r="N1406" i="2"/>
  <c r="B1406" i="2"/>
  <c r="N1405" i="2"/>
  <c r="B1405" i="2"/>
  <c r="N1404" i="2"/>
  <c r="B1404" i="2"/>
  <c r="N1403" i="2"/>
  <c r="B1403" i="2"/>
  <c r="N1402" i="2"/>
  <c r="B1402" i="2"/>
  <c r="N1401" i="2"/>
  <c r="B1401" i="2"/>
  <c r="N1400" i="2"/>
  <c r="B1400" i="2"/>
  <c r="N1399" i="2"/>
  <c r="B1399" i="2"/>
  <c r="N1398" i="2"/>
  <c r="B1398" i="2"/>
  <c r="N1397" i="2"/>
  <c r="B1397" i="2"/>
  <c r="N1396" i="2"/>
  <c r="B1396" i="2"/>
  <c r="N1395" i="2"/>
  <c r="B1395" i="2"/>
  <c r="N1394" i="2"/>
  <c r="B1394" i="2"/>
  <c r="N1393" i="2"/>
  <c r="B1393" i="2"/>
  <c r="N1392" i="2"/>
  <c r="B1392" i="2"/>
  <c r="N1391" i="2"/>
  <c r="B1391" i="2"/>
  <c r="N1390" i="2"/>
  <c r="B1390" i="2"/>
  <c r="N1389" i="2"/>
  <c r="B1389" i="2"/>
  <c r="N1388" i="2"/>
  <c r="B1388" i="2"/>
  <c r="N1387" i="2"/>
  <c r="B1387" i="2"/>
  <c r="N1386" i="2"/>
  <c r="B1386" i="2"/>
  <c r="N1385" i="2"/>
  <c r="B1385" i="2"/>
  <c r="N1384" i="2"/>
  <c r="B1384" i="2"/>
  <c r="N1383" i="2"/>
  <c r="B1383" i="2"/>
  <c r="N1382" i="2"/>
  <c r="B1382" i="2"/>
  <c r="N1381" i="2"/>
  <c r="B1381" i="2"/>
  <c r="N1380" i="2"/>
  <c r="B1380" i="2"/>
  <c r="N1379" i="2"/>
  <c r="B1379" i="2"/>
  <c r="N1378" i="2"/>
  <c r="B1378" i="2"/>
  <c r="N1377" i="2"/>
  <c r="B1377" i="2"/>
  <c r="N1376" i="2"/>
  <c r="B1376" i="2"/>
  <c r="N1375" i="2"/>
  <c r="B1375" i="2"/>
  <c r="N1374" i="2"/>
  <c r="B1374" i="2"/>
  <c r="N1373" i="2"/>
  <c r="B1373" i="2"/>
  <c r="N1372" i="2"/>
  <c r="B1372" i="2"/>
  <c r="N1371" i="2"/>
  <c r="B1371" i="2"/>
  <c r="N1370" i="2"/>
  <c r="B1370" i="2"/>
  <c r="N1369" i="2"/>
  <c r="B1369" i="2"/>
  <c r="N1368" i="2"/>
  <c r="B1368" i="2"/>
  <c r="N1367" i="2"/>
  <c r="B1367" i="2"/>
  <c r="N1366" i="2"/>
  <c r="B1366" i="2"/>
  <c r="N1365" i="2"/>
  <c r="B1365" i="2"/>
  <c r="N1364" i="2"/>
  <c r="B1364" i="2"/>
  <c r="N1363" i="2"/>
  <c r="B1363" i="2"/>
  <c r="N1362" i="2"/>
  <c r="B1362" i="2"/>
  <c r="N1361" i="2"/>
  <c r="B1361" i="2"/>
  <c r="N1360" i="2"/>
  <c r="B1360" i="2"/>
  <c r="N1359" i="2"/>
  <c r="B1359" i="2"/>
  <c r="N1358" i="2"/>
  <c r="B1358" i="2"/>
  <c r="N1357" i="2"/>
  <c r="B1357" i="2"/>
  <c r="N1356" i="2"/>
  <c r="B1356" i="2"/>
  <c r="N1355" i="2"/>
  <c r="B1355" i="2"/>
  <c r="N1354" i="2"/>
  <c r="B1354" i="2"/>
  <c r="N1353" i="2"/>
  <c r="B1353" i="2"/>
  <c r="N1352" i="2"/>
  <c r="B1352" i="2"/>
  <c r="N1351" i="2"/>
  <c r="B1351" i="2"/>
  <c r="N1350" i="2"/>
  <c r="B1350" i="2"/>
  <c r="N1349" i="2"/>
  <c r="B1349" i="2"/>
  <c r="N1348" i="2"/>
  <c r="B1348" i="2"/>
  <c r="N1347" i="2"/>
  <c r="B1347" i="2"/>
  <c r="N1346" i="2"/>
  <c r="B1346" i="2"/>
  <c r="N1345" i="2"/>
  <c r="B1345" i="2"/>
  <c r="N1344" i="2"/>
  <c r="B1344" i="2"/>
  <c r="N1343" i="2"/>
  <c r="B1343" i="2"/>
  <c r="N1342" i="2"/>
  <c r="B1342" i="2"/>
  <c r="N1341" i="2"/>
  <c r="B1341" i="2"/>
  <c r="N1340" i="2"/>
  <c r="B1340" i="2"/>
  <c r="N1339" i="2"/>
  <c r="B1339" i="2"/>
  <c r="N1338" i="2"/>
  <c r="B1338" i="2"/>
  <c r="N1337" i="2"/>
  <c r="B1337" i="2"/>
  <c r="N1336" i="2"/>
  <c r="B1336" i="2"/>
  <c r="N1335" i="2"/>
  <c r="B1335" i="2"/>
  <c r="N1334" i="2"/>
  <c r="B1334" i="2"/>
  <c r="N1333" i="2"/>
  <c r="B1333" i="2"/>
  <c r="N1332" i="2"/>
  <c r="B1332" i="2"/>
  <c r="N1331" i="2"/>
  <c r="B1331" i="2"/>
  <c r="N1330" i="2"/>
  <c r="B1330" i="2"/>
  <c r="N1329" i="2"/>
  <c r="B1329" i="2"/>
  <c r="N1328" i="2"/>
  <c r="B1328" i="2"/>
  <c r="N1327" i="2"/>
  <c r="B1327" i="2"/>
  <c r="N1326" i="2"/>
  <c r="B1326" i="2"/>
  <c r="N1325" i="2"/>
  <c r="B1325" i="2"/>
  <c r="N1324" i="2"/>
  <c r="B1324" i="2"/>
  <c r="N1323" i="2"/>
  <c r="B1323" i="2"/>
  <c r="N1322" i="2"/>
  <c r="B1322" i="2"/>
  <c r="N1321" i="2"/>
  <c r="B1321" i="2"/>
  <c r="N1320" i="2"/>
  <c r="B1320" i="2"/>
  <c r="N1319" i="2"/>
  <c r="B1319" i="2"/>
  <c r="N1318" i="2"/>
  <c r="B1318" i="2"/>
  <c r="N1317" i="2"/>
  <c r="B1317" i="2"/>
  <c r="N1316" i="2"/>
  <c r="B1316" i="2"/>
  <c r="N1315" i="2"/>
  <c r="B1315" i="2"/>
  <c r="N1314" i="2"/>
  <c r="B1314" i="2"/>
  <c r="N1313" i="2"/>
  <c r="B1313" i="2"/>
  <c r="N1312" i="2"/>
  <c r="B1312" i="2"/>
  <c r="N1311" i="2"/>
  <c r="B1311" i="2"/>
  <c r="N1310" i="2"/>
  <c r="B1310" i="2"/>
  <c r="N1309" i="2"/>
  <c r="B1309" i="2"/>
  <c r="N1308" i="2"/>
  <c r="B1308" i="2"/>
  <c r="N1307" i="2"/>
  <c r="B1307" i="2"/>
  <c r="N1306" i="2"/>
  <c r="B1306" i="2"/>
  <c r="N1305" i="2"/>
  <c r="B1305" i="2"/>
  <c r="N1304" i="2"/>
  <c r="B1304" i="2"/>
  <c r="N1303" i="2"/>
  <c r="B1303" i="2"/>
  <c r="N1302" i="2"/>
  <c r="B1302" i="2"/>
  <c r="N1301" i="2"/>
  <c r="B1301" i="2"/>
  <c r="N1300" i="2"/>
  <c r="B1300" i="2"/>
  <c r="N1299" i="2"/>
  <c r="B1299" i="2"/>
  <c r="N1298" i="2"/>
  <c r="B1298" i="2"/>
  <c r="N1297" i="2"/>
  <c r="B1297" i="2"/>
  <c r="N1296" i="2"/>
  <c r="B1296" i="2"/>
  <c r="N1295" i="2"/>
  <c r="B1295" i="2"/>
  <c r="N1294" i="2"/>
  <c r="B1294" i="2"/>
  <c r="N1293" i="2"/>
  <c r="B1293" i="2"/>
  <c r="N1292" i="2"/>
  <c r="B1292" i="2"/>
  <c r="N1291" i="2"/>
  <c r="B1291" i="2"/>
  <c r="N1290" i="2"/>
  <c r="B1290" i="2"/>
  <c r="N1289" i="2"/>
  <c r="B1289" i="2"/>
  <c r="N1288" i="2"/>
  <c r="B1288" i="2"/>
  <c r="N1287" i="2"/>
  <c r="B1287" i="2"/>
  <c r="N1286" i="2"/>
  <c r="B1286" i="2"/>
  <c r="N1285" i="2"/>
  <c r="B1285" i="2"/>
  <c r="N1284" i="2"/>
  <c r="B1284" i="2"/>
  <c r="N1283" i="2"/>
  <c r="B1283" i="2"/>
  <c r="N1282" i="2"/>
  <c r="B1282" i="2"/>
  <c r="N1281" i="2"/>
  <c r="B1281" i="2"/>
  <c r="N1280" i="2"/>
  <c r="B1280" i="2"/>
  <c r="N1279" i="2"/>
  <c r="B1279" i="2"/>
  <c r="N1278" i="2"/>
  <c r="B1278" i="2"/>
  <c r="N1277" i="2"/>
  <c r="B1277" i="2"/>
  <c r="N1276" i="2"/>
  <c r="B1276" i="2"/>
  <c r="N1275" i="2"/>
  <c r="B1275" i="2"/>
  <c r="N1274" i="2"/>
  <c r="B1274" i="2"/>
  <c r="N1273" i="2"/>
  <c r="B1273" i="2"/>
  <c r="N1272" i="2"/>
  <c r="B1272" i="2"/>
  <c r="N1271" i="2"/>
  <c r="B1271" i="2"/>
  <c r="N1270" i="2"/>
  <c r="B1270" i="2"/>
  <c r="N1269" i="2"/>
  <c r="B1269" i="2"/>
  <c r="N1268" i="2"/>
  <c r="B1268" i="2"/>
  <c r="N1267" i="2"/>
  <c r="B1267" i="2"/>
  <c r="N1266" i="2"/>
  <c r="B1266" i="2"/>
  <c r="N1265" i="2"/>
  <c r="B1265" i="2"/>
  <c r="N1264" i="2"/>
  <c r="B1264" i="2"/>
  <c r="N1263" i="2"/>
  <c r="B1263" i="2"/>
  <c r="N1262" i="2"/>
  <c r="B1262" i="2"/>
  <c r="N1261" i="2"/>
  <c r="B1261" i="2"/>
  <c r="N1260" i="2"/>
  <c r="B1260" i="2"/>
  <c r="N1259" i="2"/>
  <c r="B1259" i="2"/>
  <c r="N1258" i="2"/>
  <c r="B1258" i="2"/>
  <c r="N1257" i="2"/>
  <c r="B1257" i="2"/>
  <c r="N1256" i="2"/>
  <c r="B1256" i="2"/>
  <c r="N1255" i="2"/>
  <c r="B1255" i="2"/>
  <c r="N1254" i="2"/>
  <c r="B1254" i="2"/>
  <c r="N1253" i="2"/>
  <c r="B1253" i="2"/>
  <c r="N1252" i="2"/>
  <c r="B1252" i="2"/>
  <c r="N1251" i="2"/>
  <c r="B1251" i="2"/>
  <c r="N1250" i="2"/>
  <c r="B1250" i="2"/>
  <c r="N1249" i="2"/>
  <c r="B1249" i="2"/>
  <c r="N1248" i="2"/>
  <c r="B1248" i="2"/>
  <c r="N1247" i="2"/>
  <c r="B1247" i="2"/>
  <c r="N1246" i="2"/>
  <c r="B1246" i="2"/>
  <c r="N1245" i="2"/>
  <c r="B1245" i="2"/>
  <c r="N1244" i="2"/>
  <c r="B1244" i="2"/>
  <c r="N1243" i="2"/>
  <c r="B1243" i="2"/>
  <c r="N1242" i="2"/>
  <c r="B1242" i="2"/>
  <c r="N1241" i="2"/>
  <c r="B1241" i="2"/>
  <c r="N1240" i="2"/>
  <c r="B1240" i="2"/>
  <c r="N1239" i="2"/>
  <c r="B1239" i="2"/>
  <c r="N1238" i="2"/>
  <c r="B1238" i="2"/>
  <c r="N1237" i="2"/>
  <c r="B1237" i="2"/>
  <c r="N1236" i="2"/>
  <c r="B1236" i="2"/>
  <c r="N1235" i="2"/>
  <c r="B1235" i="2"/>
  <c r="N1234" i="2"/>
  <c r="B1234" i="2"/>
  <c r="N1233" i="2"/>
  <c r="B1233" i="2"/>
  <c r="N1232" i="2"/>
  <c r="B1232" i="2"/>
  <c r="N1231" i="2"/>
  <c r="B1231" i="2"/>
  <c r="N1230" i="2"/>
  <c r="B1230" i="2"/>
  <c r="N1229" i="2"/>
  <c r="B1229" i="2"/>
  <c r="N1228" i="2"/>
  <c r="B1228" i="2"/>
  <c r="N1227" i="2"/>
  <c r="B1227" i="2"/>
  <c r="N1226" i="2"/>
  <c r="B1226" i="2"/>
  <c r="N1225" i="2"/>
  <c r="B1225" i="2"/>
  <c r="N1224" i="2"/>
  <c r="B1224" i="2"/>
  <c r="N1223" i="2"/>
  <c r="B1223" i="2"/>
  <c r="N1222" i="2"/>
  <c r="B1222" i="2"/>
  <c r="N1221" i="2"/>
  <c r="B1221" i="2"/>
  <c r="N1220" i="2"/>
  <c r="B1220" i="2"/>
  <c r="N1219" i="2"/>
  <c r="B1219" i="2"/>
  <c r="N1218" i="2"/>
  <c r="B1218" i="2"/>
  <c r="N1217" i="2"/>
  <c r="B1217" i="2"/>
  <c r="N1216" i="2"/>
  <c r="B1216" i="2"/>
  <c r="N1215" i="2"/>
  <c r="B1215" i="2"/>
  <c r="N1214" i="2"/>
  <c r="B1214" i="2"/>
  <c r="N1213" i="2"/>
  <c r="B1213" i="2"/>
  <c r="N1212" i="2"/>
  <c r="B1212" i="2"/>
  <c r="N1211" i="2"/>
  <c r="B1211" i="2"/>
  <c r="N1210" i="2"/>
  <c r="B1210" i="2"/>
  <c r="N1209" i="2"/>
  <c r="B1209" i="2"/>
  <c r="N1208" i="2"/>
  <c r="B1208" i="2"/>
  <c r="N1207" i="2"/>
  <c r="B1207" i="2"/>
  <c r="N1206" i="2"/>
  <c r="B1206" i="2"/>
  <c r="N1205" i="2"/>
  <c r="B1205" i="2"/>
  <c r="N1204" i="2"/>
  <c r="B1204" i="2"/>
  <c r="N1203" i="2"/>
  <c r="B1203" i="2"/>
  <c r="N1202" i="2"/>
  <c r="B1202" i="2"/>
  <c r="N1201" i="2"/>
  <c r="B1201" i="2"/>
  <c r="N1200" i="2"/>
  <c r="B1200" i="2"/>
  <c r="N1199" i="2"/>
  <c r="B1199" i="2"/>
  <c r="N1198" i="2"/>
  <c r="B1198" i="2"/>
  <c r="N1197" i="2"/>
  <c r="B1197" i="2"/>
  <c r="N1196" i="2"/>
  <c r="B1196" i="2"/>
  <c r="N1195" i="2"/>
  <c r="B1195" i="2"/>
  <c r="N1194" i="2"/>
  <c r="B1194" i="2"/>
  <c r="N1193" i="2"/>
  <c r="B1193" i="2"/>
  <c r="N1192" i="2"/>
  <c r="B1192" i="2"/>
  <c r="N1191" i="2"/>
  <c r="B1191" i="2"/>
  <c r="N1190" i="2"/>
  <c r="B1190" i="2"/>
  <c r="N1189" i="2"/>
  <c r="B1189" i="2"/>
  <c r="N1188" i="2"/>
  <c r="B1188" i="2"/>
  <c r="N1187" i="2"/>
  <c r="B1187" i="2"/>
  <c r="N1186" i="2"/>
  <c r="B1186" i="2"/>
  <c r="N1185" i="2"/>
  <c r="B1185" i="2"/>
  <c r="N1184" i="2"/>
  <c r="B1184" i="2"/>
  <c r="N1183" i="2"/>
  <c r="B1183" i="2"/>
  <c r="N1182" i="2"/>
  <c r="B1182" i="2"/>
  <c r="N1181" i="2"/>
  <c r="B1181" i="2"/>
  <c r="N1180" i="2"/>
  <c r="B1180" i="2"/>
  <c r="N1179" i="2"/>
  <c r="B1179" i="2"/>
  <c r="N1178" i="2"/>
  <c r="B1178" i="2"/>
  <c r="N1177" i="2"/>
  <c r="B1177" i="2"/>
  <c r="N1176" i="2"/>
  <c r="B1176" i="2"/>
  <c r="N1175" i="2"/>
  <c r="B1175" i="2"/>
  <c r="N1174" i="2"/>
  <c r="B1174" i="2"/>
  <c r="N1173" i="2"/>
  <c r="B1173" i="2"/>
  <c r="N1172" i="2"/>
  <c r="B1172" i="2"/>
  <c r="N1171" i="2"/>
  <c r="B1171" i="2"/>
  <c r="N1170" i="2"/>
  <c r="B1170" i="2"/>
  <c r="N1169" i="2"/>
  <c r="B1169" i="2"/>
  <c r="N1168" i="2"/>
  <c r="B1168" i="2"/>
  <c r="N1167" i="2"/>
  <c r="B1167" i="2"/>
  <c r="N1166" i="2"/>
  <c r="B1166" i="2"/>
  <c r="N1165" i="2"/>
  <c r="B1165" i="2"/>
  <c r="N1164" i="2"/>
  <c r="B1164" i="2"/>
  <c r="N1163" i="2"/>
  <c r="B1163" i="2"/>
  <c r="N1162" i="2"/>
  <c r="B1162" i="2"/>
  <c r="N1161" i="2"/>
  <c r="B1161" i="2"/>
  <c r="N1160" i="2"/>
  <c r="B1160" i="2"/>
  <c r="N1159" i="2"/>
  <c r="B1159" i="2"/>
  <c r="N1158" i="2"/>
  <c r="B1158" i="2"/>
  <c r="N1157" i="2"/>
  <c r="B1157" i="2"/>
  <c r="N1156" i="2"/>
  <c r="B1156" i="2"/>
  <c r="N1155" i="2"/>
  <c r="B1155" i="2"/>
  <c r="N1154" i="2"/>
  <c r="B1154" i="2"/>
  <c r="N1153" i="2"/>
  <c r="B1153" i="2"/>
  <c r="N1152" i="2"/>
  <c r="B1152" i="2"/>
  <c r="N1151" i="2"/>
  <c r="B1151" i="2"/>
  <c r="N1150" i="2"/>
  <c r="B1150" i="2"/>
  <c r="N1149" i="2"/>
  <c r="B1149" i="2"/>
  <c r="N1148" i="2"/>
  <c r="B1148" i="2"/>
  <c r="N1147" i="2"/>
  <c r="B1147" i="2"/>
  <c r="N1146" i="2"/>
  <c r="B1146" i="2"/>
  <c r="N1145" i="2"/>
  <c r="B1145" i="2"/>
  <c r="N1144" i="2"/>
  <c r="B1144" i="2"/>
  <c r="N1143" i="2"/>
  <c r="B1143" i="2"/>
  <c r="N1142" i="2"/>
  <c r="B1142" i="2"/>
  <c r="N1141" i="2"/>
  <c r="B1141" i="2"/>
  <c r="N1140" i="2"/>
  <c r="B1140" i="2"/>
  <c r="N1139" i="2"/>
  <c r="B1139" i="2"/>
  <c r="N1138" i="2"/>
  <c r="B1138" i="2"/>
  <c r="N1137" i="2"/>
  <c r="B1137" i="2"/>
  <c r="N1136" i="2"/>
  <c r="B1136" i="2"/>
  <c r="N1135" i="2"/>
  <c r="B1135" i="2"/>
  <c r="N1134" i="2"/>
  <c r="B1134" i="2"/>
  <c r="N1133" i="2"/>
  <c r="B1133" i="2"/>
  <c r="N1132" i="2"/>
  <c r="B1132" i="2"/>
  <c r="N1131" i="2"/>
  <c r="B1131" i="2"/>
  <c r="N1130" i="2"/>
  <c r="B1130" i="2"/>
  <c r="N1129" i="2"/>
  <c r="B1129" i="2"/>
  <c r="N1128" i="2"/>
  <c r="B1128" i="2"/>
  <c r="N1127" i="2"/>
  <c r="B1127" i="2"/>
  <c r="N1126" i="2"/>
  <c r="B1126" i="2"/>
  <c r="N1125" i="2"/>
  <c r="B1125" i="2"/>
  <c r="N1124" i="2"/>
  <c r="B1124" i="2"/>
  <c r="N1123" i="2"/>
  <c r="B1123" i="2"/>
  <c r="N1122" i="2"/>
  <c r="B1122" i="2"/>
  <c r="N1121" i="2"/>
  <c r="B1121" i="2"/>
  <c r="N1120" i="2"/>
  <c r="B1120" i="2"/>
  <c r="N1119" i="2"/>
  <c r="B1119" i="2"/>
  <c r="N1118" i="2"/>
  <c r="B1118" i="2"/>
  <c r="N1117" i="2"/>
  <c r="B1117" i="2"/>
  <c r="N1116" i="2"/>
  <c r="B1116" i="2"/>
  <c r="N1115" i="2"/>
  <c r="B1115" i="2"/>
  <c r="N1114" i="2"/>
  <c r="B1114" i="2"/>
  <c r="N1113" i="2"/>
  <c r="B1113" i="2"/>
  <c r="N1112" i="2"/>
  <c r="B1112" i="2"/>
  <c r="N1111" i="2"/>
  <c r="B1111" i="2"/>
  <c r="N1110" i="2"/>
  <c r="B1110" i="2"/>
  <c r="N1109" i="2"/>
  <c r="B1109" i="2"/>
  <c r="N1108" i="2"/>
  <c r="B1108" i="2"/>
  <c r="N1107" i="2"/>
  <c r="B1107" i="2"/>
  <c r="N1106" i="2"/>
  <c r="B1106" i="2"/>
  <c r="N1105" i="2"/>
  <c r="B1105" i="2"/>
  <c r="N1104" i="2"/>
  <c r="B1104" i="2"/>
  <c r="N1103" i="2"/>
  <c r="B1103" i="2"/>
  <c r="N1102" i="2"/>
  <c r="B1102" i="2"/>
  <c r="N1101" i="2"/>
  <c r="B1101" i="2"/>
  <c r="N1100" i="2"/>
  <c r="B1100" i="2"/>
  <c r="N1099" i="2"/>
  <c r="B1099" i="2"/>
  <c r="N1098" i="2"/>
  <c r="B1098" i="2"/>
  <c r="N1097" i="2"/>
  <c r="B1097" i="2"/>
  <c r="N1096" i="2"/>
  <c r="B1096" i="2"/>
  <c r="N1095" i="2"/>
  <c r="B1095" i="2"/>
  <c r="N1094" i="2"/>
  <c r="B1094" i="2"/>
  <c r="N1093" i="2"/>
  <c r="B1093" i="2"/>
  <c r="N1092" i="2"/>
  <c r="B1092" i="2"/>
  <c r="N1091" i="2"/>
  <c r="B1091" i="2"/>
  <c r="N1090" i="2"/>
  <c r="B1090" i="2"/>
  <c r="N1089" i="2"/>
  <c r="B1089" i="2"/>
  <c r="N1088" i="2"/>
  <c r="B1088" i="2"/>
  <c r="N1087" i="2"/>
  <c r="B1087" i="2"/>
  <c r="N1086" i="2"/>
  <c r="B1086" i="2"/>
  <c r="N1085" i="2"/>
  <c r="B1085" i="2"/>
  <c r="N1084" i="2"/>
  <c r="B1084" i="2"/>
  <c r="N1083" i="2"/>
  <c r="B1083" i="2"/>
  <c r="N1082" i="2"/>
  <c r="B1082" i="2"/>
  <c r="N1081" i="2"/>
  <c r="B1081" i="2"/>
  <c r="N1080" i="2"/>
  <c r="B1080" i="2"/>
  <c r="N1079" i="2"/>
  <c r="B1079" i="2"/>
  <c r="N1078" i="2"/>
  <c r="B1078" i="2"/>
  <c r="N1077" i="2"/>
  <c r="B1077" i="2"/>
  <c r="N1076" i="2"/>
  <c r="B1076" i="2"/>
  <c r="N1075" i="2"/>
  <c r="B1075" i="2"/>
  <c r="N1074" i="2"/>
  <c r="B1074" i="2"/>
  <c r="N1073" i="2"/>
  <c r="B1073" i="2"/>
  <c r="N1072" i="2"/>
  <c r="B1072" i="2"/>
  <c r="N1071" i="2"/>
  <c r="B1071" i="2"/>
  <c r="N1070" i="2"/>
  <c r="B1070" i="2"/>
  <c r="N1069" i="2"/>
  <c r="B1069" i="2"/>
  <c r="N1068" i="2"/>
  <c r="B1068" i="2"/>
  <c r="N1067" i="2"/>
  <c r="B1067" i="2"/>
  <c r="N1066" i="2"/>
  <c r="B1066" i="2"/>
  <c r="N1065" i="2"/>
  <c r="B1065" i="2"/>
  <c r="N1064" i="2"/>
  <c r="B1064" i="2"/>
  <c r="N1063" i="2"/>
  <c r="B1063" i="2"/>
  <c r="N1062" i="2"/>
  <c r="B1062" i="2"/>
  <c r="N1061" i="2"/>
  <c r="B1061" i="2"/>
  <c r="N1060" i="2"/>
  <c r="B1060" i="2"/>
  <c r="N1059" i="2"/>
  <c r="B1059" i="2"/>
  <c r="N1058" i="2"/>
  <c r="B1058" i="2"/>
  <c r="N1057" i="2"/>
  <c r="B1057" i="2"/>
  <c r="N1056" i="2"/>
  <c r="B1056" i="2"/>
  <c r="N1055" i="2"/>
  <c r="B1055" i="2"/>
  <c r="N1054" i="2"/>
  <c r="B1054" i="2"/>
  <c r="N1053" i="2"/>
  <c r="B1053" i="2"/>
  <c r="N1052" i="2"/>
  <c r="B1052" i="2"/>
  <c r="N1051" i="2"/>
  <c r="B1051" i="2"/>
  <c r="N1050" i="2"/>
  <c r="B1050" i="2"/>
  <c r="N1049" i="2"/>
  <c r="B1049" i="2"/>
  <c r="N1048" i="2"/>
  <c r="B1048" i="2"/>
  <c r="N1047" i="2"/>
  <c r="B1047" i="2"/>
  <c r="N1046" i="2"/>
  <c r="B1046" i="2"/>
  <c r="N1045" i="2"/>
  <c r="B1045" i="2"/>
  <c r="N1044" i="2"/>
  <c r="B1044" i="2"/>
  <c r="N1043" i="2"/>
  <c r="B1043" i="2"/>
  <c r="N1042" i="2"/>
  <c r="B1042" i="2"/>
  <c r="N1041" i="2"/>
  <c r="B1041" i="2"/>
  <c r="N1040" i="2"/>
  <c r="B1040" i="2"/>
  <c r="N1039" i="2"/>
  <c r="B1039" i="2"/>
  <c r="N1038" i="2"/>
  <c r="B1038" i="2"/>
  <c r="N1037" i="2"/>
  <c r="B1037" i="2"/>
  <c r="N1036" i="2"/>
  <c r="B1036" i="2"/>
  <c r="N1035" i="2"/>
  <c r="B1035" i="2"/>
  <c r="N1034" i="2"/>
  <c r="B1034" i="2"/>
  <c r="N1033" i="2"/>
  <c r="B1033" i="2"/>
  <c r="N1032" i="2"/>
  <c r="B1032" i="2"/>
  <c r="N1031" i="2"/>
  <c r="B1031" i="2"/>
  <c r="N1030" i="2"/>
  <c r="B1030" i="2"/>
  <c r="N1029" i="2"/>
  <c r="B1029" i="2"/>
  <c r="N1028" i="2"/>
  <c r="B1028" i="2"/>
  <c r="N1027" i="2"/>
  <c r="B1027" i="2"/>
  <c r="N1026" i="2"/>
  <c r="B1026" i="2"/>
  <c r="N1025" i="2"/>
  <c r="B1025" i="2"/>
  <c r="N1024" i="2"/>
  <c r="B1024" i="2"/>
  <c r="N1023" i="2"/>
  <c r="B1023" i="2"/>
  <c r="N1022" i="2"/>
  <c r="B1022" i="2"/>
  <c r="N1021" i="2"/>
  <c r="B1021" i="2"/>
  <c r="N1020" i="2"/>
  <c r="B1020" i="2"/>
  <c r="N1019" i="2"/>
  <c r="B1019" i="2"/>
  <c r="N1018" i="2"/>
  <c r="B1018" i="2"/>
  <c r="N1017" i="2"/>
  <c r="B1017" i="2"/>
  <c r="N1016" i="2"/>
  <c r="B1016" i="2"/>
  <c r="N1015" i="2"/>
  <c r="B1015" i="2"/>
  <c r="N1014" i="2"/>
  <c r="B1014" i="2"/>
  <c r="N1013" i="2"/>
  <c r="B1013" i="2"/>
  <c r="N1012" i="2"/>
  <c r="B1012" i="2"/>
  <c r="N1011" i="2"/>
  <c r="B1011" i="2"/>
  <c r="N1010" i="2"/>
  <c r="B1010" i="2"/>
  <c r="N1009" i="2"/>
  <c r="B1009" i="2"/>
  <c r="N1008" i="2"/>
  <c r="B1008" i="2"/>
  <c r="N1007" i="2"/>
  <c r="B1007" i="2"/>
  <c r="N1006" i="2"/>
  <c r="B1006" i="2"/>
  <c r="N1005" i="2"/>
  <c r="B1005" i="2"/>
  <c r="N1004" i="2"/>
  <c r="B1004" i="2"/>
  <c r="N1003" i="2"/>
  <c r="B1003" i="2"/>
  <c r="N1002" i="2"/>
  <c r="B1002" i="2"/>
  <c r="N1001" i="2"/>
  <c r="B1001" i="2"/>
  <c r="N1000" i="2"/>
  <c r="B1000" i="2"/>
  <c r="N999" i="2"/>
  <c r="B999" i="2"/>
  <c r="N998" i="2"/>
  <c r="B998" i="2"/>
  <c r="N997" i="2"/>
  <c r="B997" i="2"/>
  <c r="N996" i="2"/>
  <c r="B996" i="2"/>
  <c r="N995" i="2"/>
  <c r="B995" i="2"/>
  <c r="N994" i="2"/>
  <c r="B994" i="2"/>
  <c r="N993" i="2"/>
  <c r="B993" i="2"/>
  <c r="N992" i="2"/>
  <c r="B992" i="2"/>
  <c r="N991" i="2"/>
  <c r="B991" i="2"/>
  <c r="N990" i="2"/>
  <c r="B990" i="2"/>
  <c r="N989" i="2"/>
  <c r="B989" i="2"/>
  <c r="N988" i="2"/>
  <c r="B988" i="2"/>
  <c r="N987" i="2"/>
  <c r="B987" i="2"/>
  <c r="N986" i="2"/>
  <c r="B986" i="2"/>
  <c r="N985" i="2"/>
  <c r="B985" i="2"/>
  <c r="N984" i="2"/>
  <c r="B984" i="2"/>
  <c r="N983" i="2"/>
  <c r="B983" i="2"/>
  <c r="N982" i="2"/>
  <c r="B982" i="2"/>
  <c r="N981" i="2"/>
  <c r="B981" i="2"/>
  <c r="N980" i="2"/>
  <c r="B980" i="2"/>
  <c r="N979" i="2"/>
  <c r="B979" i="2"/>
  <c r="N978" i="2"/>
  <c r="B978" i="2"/>
  <c r="N977" i="2"/>
  <c r="B977" i="2"/>
  <c r="N976" i="2"/>
  <c r="B976" i="2"/>
  <c r="N975" i="2"/>
  <c r="B975" i="2"/>
  <c r="N974" i="2"/>
  <c r="B974" i="2"/>
  <c r="N973" i="2"/>
  <c r="B973" i="2"/>
  <c r="N972" i="2"/>
  <c r="B972" i="2"/>
  <c r="N971" i="2"/>
  <c r="B971" i="2"/>
  <c r="N970" i="2"/>
  <c r="B970" i="2"/>
  <c r="N969" i="2"/>
  <c r="B969" i="2"/>
  <c r="N968" i="2"/>
  <c r="B968" i="2"/>
  <c r="N967" i="2"/>
  <c r="B967" i="2"/>
  <c r="N966" i="2"/>
  <c r="B966" i="2"/>
  <c r="N965" i="2"/>
  <c r="B965" i="2"/>
  <c r="N964" i="2"/>
  <c r="B964" i="2"/>
  <c r="N963" i="2"/>
  <c r="B963" i="2"/>
  <c r="N962" i="2"/>
  <c r="B962" i="2"/>
  <c r="N961" i="2"/>
  <c r="B961" i="2"/>
  <c r="N960" i="2"/>
  <c r="B960" i="2"/>
  <c r="N959" i="2"/>
  <c r="B959" i="2"/>
  <c r="N958" i="2"/>
  <c r="B958" i="2"/>
  <c r="N957" i="2"/>
  <c r="B957" i="2"/>
  <c r="N956" i="2"/>
  <c r="B956" i="2"/>
  <c r="N955" i="2"/>
  <c r="B955" i="2"/>
  <c r="N954" i="2"/>
  <c r="B954" i="2"/>
  <c r="N953" i="2"/>
  <c r="B953" i="2"/>
  <c r="N952" i="2"/>
  <c r="B952" i="2"/>
  <c r="N951" i="2"/>
  <c r="B951" i="2"/>
  <c r="N950" i="2"/>
  <c r="B950" i="2"/>
  <c r="N949" i="2"/>
  <c r="B949" i="2"/>
  <c r="N948" i="2"/>
  <c r="B948" i="2"/>
  <c r="N947" i="2"/>
  <c r="B947" i="2"/>
  <c r="N946" i="2"/>
  <c r="B946" i="2"/>
  <c r="N945" i="2"/>
  <c r="B945" i="2"/>
  <c r="N944" i="2"/>
  <c r="B944" i="2"/>
  <c r="N943" i="2"/>
  <c r="B943" i="2"/>
  <c r="N942" i="2"/>
  <c r="B942" i="2"/>
  <c r="N941" i="2"/>
  <c r="B941" i="2"/>
  <c r="N940" i="2"/>
  <c r="B940" i="2"/>
  <c r="N939" i="2"/>
  <c r="B939" i="2"/>
  <c r="N938" i="2"/>
  <c r="B938" i="2"/>
  <c r="N937" i="2"/>
  <c r="B937" i="2"/>
  <c r="N936" i="2"/>
  <c r="B936" i="2"/>
  <c r="N935" i="2"/>
  <c r="B935" i="2"/>
  <c r="N934" i="2"/>
  <c r="B934" i="2"/>
  <c r="N933" i="2"/>
  <c r="B933" i="2"/>
  <c r="N932" i="2"/>
  <c r="B932" i="2"/>
  <c r="N931" i="2"/>
  <c r="B931" i="2"/>
  <c r="N930" i="2"/>
  <c r="B930" i="2"/>
  <c r="N929" i="2"/>
  <c r="B929" i="2"/>
  <c r="N928" i="2"/>
  <c r="B928" i="2"/>
  <c r="N927" i="2"/>
  <c r="B927" i="2"/>
  <c r="N926" i="2"/>
  <c r="B926" i="2"/>
  <c r="N925" i="2"/>
  <c r="B925" i="2"/>
  <c r="N924" i="2"/>
  <c r="B924" i="2"/>
  <c r="N923" i="2"/>
  <c r="B923" i="2"/>
  <c r="N922" i="2"/>
  <c r="B922" i="2"/>
  <c r="N921" i="2"/>
  <c r="B921" i="2"/>
  <c r="N920" i="2"/>
  <c r="B920" i="2"/>
  <c r="N919" i="2"/>
  <c r="B919" i="2"/>
  <c r="N918" i="2"/>
  <c r="B918" i="2"/>
  <c r="N917" i="2"/>
  <c r="B917" i="2"/>
  <c r="N916" i="2"/>
  <c r="B916" i="2"/>
  <c r="N915" i="2"/>
  <c r="B915" i="2"/>
  <c r="N914" i="2"/>
  <c r="B914" i="2"/>
  <c r="N913" i="2"/>
  <c r="B913" i="2"/>
  <c r="N912" i="2"/>
  <c r="B912" i="2"/>
  <c r="N911" i="2"/>
  <c r="B911" i="2"/>
  <c r="N910" i="2"/>
  <c r="B910" i="2"/>
  <c r="N909" i="2"/>
  <c r="B909" i="2"/>
  <c r="N908" i="2"/>
  <c r="B908" i="2"/>
  <c r="N907" i="2"/>
  <c r="B907" i="2"/>
  <c r="N906" i="2"/>
  <c r="B906" i="2"/>
  <c r="N905" i="2"/>
  <c r="B905" i="2"/>
  <c r="N904" i="2"/>
  <c r="B904" i="2"/>
  <c r="N903" i="2"/>
  <c r="B903" i="2"/>
  <c r="N902" i="2"/>
  <c r="B902" i="2"/>
  <c r="N901" i="2"/>
  <c r="B901" i="2"/>
  <c r="N900" i="2"/>
  <c r="B900" i="2"/>
  <c r="N899" i="2"/>
  <c r="B899" i="2"/>
  <c r="N898" i="2"/>
  <c r="B898" i="2"/>
  <c r="N897" i="2"/>
  <c r="B897" i="2"/>
  <c r="N896" i="2"/>
  <c r="B896" i="2"/>
  <c r="N895" i="2"/>
  <c r="B895" i="2"/>
  <c r="N894" i="2"/>
  <c r="B894" i="2"/>
  <c r="N893" i="2"/>
  <c r="B893" i="2"/>
  <c r="N892" i="2"/>
  <c r="B892" i="2"/>
  <c r="N891" i="2"/>
  <c r="B891" i="2"/>
  <c r="N890" i="2"/>
  <c r="B890" i="2"/>
  <c r="N889" i="2"/>
  <c r="B889" i="2"/>
  <c r="N888" i="2"/>
  <c r="B888" i="2"/>
  <c r="N887" i="2"/>
  <c r="B887" i="2"/>
  <c r="N886" i="2"/>
  <c r="B886" i="2"/>
  <c r="N885" i="2"/>
  <c r="B885" i="2"/>
  <c r="N884" i="2"/>
  <c r="B884" i="2"/>
  <c r="N883" i="2"/>
  <c r="B883" i="2"/>
  <c r="N882" i="2"/>
  <c r="B882" i="2"/>
  <c r="N881" i="2"/>
  <c r="B881" i="2"/>
  <c r="N880" i="2"/>
  <c r="B880" i="2"/>
  <c r="N879" i="2"/>
  <c r="B879" i="2"/>
  <c r="N878" i="2"/>
  <c r="B878" i="2"/>
  <c r="N877" i="2"/>
  <c r="B877" i="2"/>
  <c r="N876" i="2"/>
  <c r="B876" i="2"/>
  <c r="N875" i="2"/>
  <c r="B875" i="2"/>
  <c r="N874" i="2"/>
  <c r="B874" i="2"/>
  <c r="N873" i="2"/>
  <c r="B873" i="2"/>
  <c r="N872" i="2"/>
  <c r="B872" i="2"/>
  <c r="N871" i="2"/>
  <c r="B871" i="2"/>
  <c r="N870" i="2"/>
  <c r="B870" i="2"/>
  <c r="N869" i="2"/>
  <c r="B869" i="2"/>
  <c r="N868" i="2"/>
  <c r="B868" i="2"/>
  <c r="N867" i="2"/>
  <c r="B867" i="2"/>
  <c r="N866" i="2"/>
  <c r="B866" i="2"/>
  <c r="N865" i="2"/>
  <c r="B865" i="2"/>
  <c r="N864" i="2"/>
  <c r="B864" i="2"/>
  <c r="N863" i="2"/>
  <c r="B863" i="2"/>
  <c r="N862" i="2"/>
  <c r="B862" i="2"/>
  <c r="N861" i="2"/>
  <c r="B861" i="2"/>
  <c r="N860" i="2"/>
  <c r="B860" i="2"/>
  <c r="N859" i="2"/>
  <c r="B859" i="2"/>
  <c r="N858" i="2"/>
  <c r="B858" i="2"/>
  <c r="N857" i="2"/>
  <c r="B857" i="2"/>
  <c r="N856" i="2"/>
  <c r="B856" i="2"/>
  <c r="N855" i="2"/>
  <c r="B855" i="2"/>
  <c r="N854" i="2"/>
  <c r="B854" i="2"/>
  <c r="N853" i="2"/>
  <c r="B853" i="2"/>
  <c r="N852" i="2"/>
  <c r="B852" i="2"/>
  <c r="N851" i="2"/>
  <c r="B851" i="2"/>
  <c r="N850" i="2"/>
  <c r="B850" i="2"/>
  <c r="N849" i="2"/>
  <c r="B849" i="2"/>
  <c r="N848" i="2"/>
  <c r="B848" i="2"/>
  <c r="N847" i="2"/>
  <c r="B847" i="2"/>
  <c r="N846" i="2"/>
  <c r="B846" i="2"/>
  <c r="N845" i="2"/>
  <c r="B845" i="2"/>
  <c r="N844" i="2"/>
  <c r="B844" i="2"/>
  <c r="N843" i="2"/>
  <c r="B843" i="2"/>
  <c r="N842" i="2"/>
  <c r="B842" i="2"/>
  <c r="N841" i="2"/>
  <c r="B841" i="2"/>
  <c r="N840" i="2"/>
  <c r="B840" i="2"/>
  <c r="N839" i="2"/>
  <c r="B839" i="2"/>
  <c r="N838" i="2"/>
  <c r="B838" i="2"/>
  <c r="N837" i="2"/>
  <c r="B837" i="2"/>
  <c r="N836" i="2"/>
  <c r="B836" i="2"/>
  <c r="N835" i="2"/>
  <c r="B835" i="2"/>
  <c r="N834" i="2"/>
  <c r="B834" i="2"/>
  <c r="N833" i="2"/>
  <c r="B833" i="2"/>
  <c r="N832" i="2"/>
  <c r="B832" i="2"/>
  <c r="N831" i="2"/>
  <c r="B831" i="2"/>
  <c r="N830" i="2"/>
  <c r="B830" i="2"/>
  <c r="N829" i="2"/>
  <c r="B829" i="2"/>
  <c r="N828" i="2"/>
  <c r="B828" i="2"/>
  <c r="N827" i="2"/>
  <c r="B827" i="2"/>
  <c r="N826" i="2"/>
  <c r="B826" i="2"/>
  <c r="N825" i="2"/>
  <c r="B825" i="2"/>
  <c r="N824" i="2"/>
  <c r="B824" i="2"/>
  <c r="N823" i="2"/>
  <c r="B823" i="2"/>
  <c r="N822" i="2"/>
  <c r="B822" i="2"/>
  <c r="N821" i="2"/>
  <c r="B821" i="2"/>
  <c r="N820" i="2"/>
  <c r="B820" i="2"/>
  <c r="N819" i="2"/>
  <c r="B819" i="2"/>
  <c r="N818" i="2"/>
  <c r="B818" i="2"/>
  <c r="N817" i="2"/>
  <c r="B817" i="2"/>
  <c r="N816" i="2"/>
  <c r="B816" i="2"/>
  <c r="N815" i="2"/>
  <c r="B815" i="2"/>
  <c r="N814" i="2"/>
  <c r="B814" i="2"/>
  <c r="N813" i="2"/>
  <c r="B813" i="2"/>
  <c r="N812" i="2"/>
  <c r="B812" i="2"/>
  <c r="N811" i="2"/>
  <c r="B811" i="2"/>
  <c r="N810" i="2"/>
  <c r="B810" i="2"/>
  <c r="N809" i="2"/>
  <c r="B809" i="2"/>
  <c r="N808" i="2"/>
  <c r="B808" i="2"/>
  <c r="N807" i="2"/>
  <c r="B807" i="2"/>
  <c r="N806" i="2"/>
  <c r="B806" i="2"/>
  <c r="N805" i="2"/>
  <c r="B805" i="2"/>
  <c r="N804" i="2"/>
  <c r="B804" i="2"/>
  <c r="N803" i="2"/>
  <c r="B803" i="2"/>
  <c r="N802" i="2"/>
  <c r="B802" i="2"/>
  <c r="N801" i="2"/>
  <c r="B801" i="2"/>
  <c r="N800" i="2"/>
  <c r="B800" i="2"/>
  <c r="N799" i="2"/>
  <c r="B799" i="2"/>
  <c r="N798" i="2"/>
  <c r="B798" i="2"/>
  <c r="N797" i="2"/>
  <c r="B797" i="2"/>
  <c r="N796" i="2"/>
  <c r="B796" i="2"/>
  <c r="N795" i="2"/>
  <c r="B795" i="2"/>
  <c r="N794" i="2"/>
  <c r="B794" i="2"/>
  <c r="N793" i="2"/>
  <c r="B793" i="2"/>
  <c r="N792" i="2"/>
  <c r="B792" i="2"/>
  <c r="N791" i="2"/>
  <c r="B791" i="2"/>
  <c r="N790" i="2"/>
  <c r="B790" i="2"/>
  <c r="N789" i="2"/>
  <c r="B789" i="2"/>
  <c r="N788" i="2"/>
  <c r="B788" i="2"/>
  <c r="N787" i="2"/>
  <c r="B787" i="2"/>
  <c r="N786" i="2"/>
  <c r="B786" i="2"/>
  <c r="N785" i="2"/>
  <c r="B785" i="2"/>
  <c r="N784" i="2"/>
  <c r="B784" i="2"/>
  <c r="N783" i="2"/>
  <c r="B783" i="2"/>
  <c r="N782" i="2"/>
  <c r="B782" i="2"/>
  <c r="N781" i="2"/>
  <c r="B781" i="2"/>
  <c r="N780" i="2"/>
  <c r="B780" i="2"/>
  <c r="N779" i="2"/>
  <c r="B779" i="2"/>
  <c r="N778" i="2"/>
  <c r="B778" i="2"/>
  <c r="N777" i="2"/>
  <c r="B777" i="2"/>
  <c r="N776" i="2"/>
  <c r="B776" i="2"/>
  <c r="N775" i="2"/>
  <c r="B775" i="2"/>
  <c r="N774" i="2"/>
  <c r="B774" i="2"/>
  <c r="N773" i="2"/>
  <c r="B773" i="2"/>
  <c r="N772" i="2"/>
  <c r="B772" i="2"/>
  <c r="N771" i="2"/>
  <c r="B771" i="2"/>
  <c r="N770" i="2"/>
  <c r="B770" i="2"/>
  <c r="N769" i="2"/>
  <c r="B769" i="2"/>
  <c r="N768" i="2"/>
  <c r="B768" i="2"/>
  <c r="N767" i="2"/>
  <c r="B767" i="2"/>
  <c r="N766" i="2"/>
  <c r="B766" i="2"/>
  <c r="N765" i="2"/>
  <c r="B765" i="2"/>
  <c r="N764" i="2"/>
  <c r="B764" i="2"/>
  <c r="N763" i="2"/>
  <c r="B763" i="2"/>
  <c r="N762" i="2"/>
  <c r="B762" i="2"/>
  <c r="N761" i="2"/>
  <c r="B761" i="2"/>
  <c r="N760" i="2"/>
  <c r="B760" i="2"/>
  <c r="N759" i="2"/>
  <c r="B759" i="2"/>
  <c r="N758" i="2"/>
  <c r="B758" i="2"/>
  <c r="N757" i="2"/>
  <c r="B757" i="2"/>
  <c r="N756" i="2"/>
  <c r="B756" i="2"/>
  <c r="N755" i="2"/>
  <c r="B755" i="2"/>
  <c r="N754" i="2"/>
  <c r="B754" i="2"/>
  <c r="N753" i="2"/>
  <c r="B753" i="2"/>
  <c r="N752" i="2"/>
  <c r="B752" i="2"/>
  <c r="N751" i="2"/>
  <c r="B751" i="2"/>
  <c r="N750" i="2"/>
  <c r="B750" i="2"/>
  <c r="N749" i="2"/>
  <c r="B749" i="2"/>
  <c r="N748" i="2"/>
  <c r="B748" i="2"/>
  <c r="N747" i="2"/>
  <c r="B747" i="2"/>
  <c r="N746" i="2"/>
  <c r="B746" i="2"/>
  <c r="N745" i="2"/>
  <c r="B745" i="2"/>
  <c r="N744" i="2"/>
  <c r="B744" i="2"/>
  <c r="N743" i="2"/>
  <c r="B743" i="2"/>
  <c r="N742" i="2"/>
  <c r="B742" i="2"/>
  <c r="N741" i="2"/>
  <c r="B741" i="2"/>
  <c r="N740" i="2"/>
  <c r="B740" i="2"/>
  <c r="N739" i="2"/>
  <c r="B739" i="2"/>
  <c r="N738" i="2"/>
  <c r="B738" i="2"/>
  <c r="N737" i="2"/>
  <c r="B737" i="2"/>
  <c r="N736" i="2"/>
  <c r="B736" i="2"/>
  <c r="N735" i="2"/>
  <c r="B735" i="2"/>
  <c r="N734" i="2"/>
  <c r="B734" i="2"/>
  <c r="N733" i="2"/>
  <c r="B733" i="2"/>
  <c r="N732" i="2"/>
  <c r="B732" i="2"/>
  <c r="N731" i="2"/>
  <c r="B731" i="2"/>
  <c r="N730" i="2"/>
  <c r="B730" i="2"/>
  <c r="N729" i="2"/>
  <c r="B729" i="2"/>
  <c r="N728" i="2"/>
  <c r="B728" i="2"/>
  <c r="N727" i="2"/>
  <c r="B727" i="2"/>
  <c r="N726" i="2"/>
  <c r="B726" i="2"/>
  <c r="N725" i="2"/>
  <c r="B725" i="2"/>
  <c r="N724" i="2"/>
  <c r="B724" i="2"/>
  <c r="N723" i="2"/>
  <c r="B723" i="2"/>
  <c r="N722" i="2"/>
  <c r="B722" i="2"/>
  <c r="N721" i="2"/>
  <c r="B721" i="2"/>
  <c r="N720" i="2"/>
  <c r="B720" i="2"/>
  <c r="N719" i="2"/>
  <c r="B719" i="2"/>
  <c r="N718" i="2"/>
  <c r="B718" i="2"/>
  <c r="N717" i="2"/>
  <c r="B717" i="2"/>
  <c r="N716" i="2"/>
  <c r="B716" i="2"/>
  <c r="N715" i="2"/>
  <c r="B715" i="2"/>
  <c r="N714" i="2"/>
  <c r="B714" i="2"/>
  <c r="N713" i="2"/>
  <c r="B713" i="2"/>
  <c r="N712" i="2"/>
  <c r="B712" i="2"/>
  <c r="N711" i="2"/>
  <c r="B711" i="2"/>
  <c r="N710" i="2"/>
  <c r="B710" i="2"/>
  <c r="N709" i="2"/>
  <c r="B709" i="2"/>
  <c r="N708" i="2"/>
  <c r="B708" i="2"/>
  <c r="N707" i="2"/>
  <c r="B707" i="2"/>
  <c r="N706" i="2"/>
  <c r="B706" i="2"/>
  <c r="N705" i="2"/>
  <c r="B705" i="2"/>
  <c r="N704" i="2"/>
  <c r="B704" i="2"/>
  <c r="N703" i="2"/>
  <c r="B703" i="2"/>
  <c r="N702" i="2"/>
  <c r="B702" i="2"/>
  <c r="N701" i="2"/>
  <c r="B701" i="2"/>
  <c r="N700" i="2"/>
  <c r="B700" i="2"/>
  <c r="N699" i="2"/>
  <c r="B699" i="2"/>
  <c r="N698" i="2"/>
  <c r="B698" i="2"/>
  <c r="N697" i="2"/>
  <c r="B697" i="2"/>
  <c r="N696" i="2"/>
  <c r="B696" i="2"/>
  <c r="N695" i="2"/>
  <c r="B695" i="2"/>
  <c r="N694" i="2"/>
  <c r="B694" i="2"/>
  <c r="N693" i="2"/>
  <c r="B693" i="2"/>
  <c r="N692" i="2"/>
  <c r="B692" i="2"/>
  <c r="N691" i="2"/>
  <c r="B691" i="2"/>
  <c r="N690" i="2"/>
  <c r="B690" i="2"/>
  <c r="N689" i="2"/>
  <c r="B689" i="2"/>
  <c r="N688" i="2"/>
  <c r="B688" i="2"/>
  <c r="N687" i="2"/>
  <c r="B687" i="2"/>
  <c r="N686" i="2"/>
  <c r="B686" i="2"/>
  <c r="N685" i="2"/>
  <c r="B685" i="2"/>
  <c r="N684" i="2"/>
  <c r="B684" i="2"/>
  <c r="N683" i="2"/>
  <c r="B683" i="2"/>
  <c r="N682" i="2"/>
  <c r="B682" i="2"/>
  <c r="N681" i="2"/>
  <c r="B681" i="2"/>
  <c r="N680" i="2"/>
  <c r="B680" i="2"/>
  <c r="N679" i="2"/>
  <c r="B679" i="2"/>
  <c r="N678" i="2"/>
  <c r="B678" i="2"/>
  <c r="N677" i="2"/>
  <c r="B677" i="2"/>
  <c r="N676" i="2"/>
  <c r="B676" i="2"/>
  <c r="N675" i="2"/>
  <c r="B675" i="2"/>
  <c r="N674" i="2"/>
  <c r="B674" i="2"/>
  <c r="N673" i="2"/>
  <c r="B673" i="2"/>
  <c r="N672" i="2"/>
  <c r="B672" i="2"/>
  <c r="N671" i="2"/>
  <c r="B671" i="2"/>
  <c r="N670" i="2"/>
  <c r="B670" i="2"/>
  <c r="N669" i="2"/>
  <c r="B669" i="2"/>
  <c r="N668" i="2"/>
  <c r="B668" i="2"/>
  <c r="N667" i="2"/>
  <c r="B667" i="2"/>
  <c r="N666" i="2"/>
  <c r="B666" i="2"/>
  <c r="N665" i="2"/>
  <c r="B665" i="2"/>
  <c r="N664" i="2"/>
  <c r="B664" i="2"/>
  <c r="N663" i="2"/>
  <c r="B663" i="2"/>
  <c r="N662" i="2"/>
  <c r="B662" i="2"/>
  <c r="N661" i="2"/>
  <c r="B661" i="2"/>
  <c r="N660" i="2"/>
  <c r="B660" i="2"/>
  <c r="N659" i="2"/>
  <c r="B659" i="2"/>
  <c r="N658" i="2"/>
  <c r="B658" i="2"/>
  <c r="N657" i="2"/>
  <c r="B657" i="2"/>
  <c r="N656" i="2"/>
  <c r="B656" i="2"/>
  <c r="N655" i="2"/>
  <c r="B655" i="2"/>
  <c r="N654" i="2"/>
  <c r="B654" i="2"/>
  <c r="N653" i="2"/>
  <c r="B653" i="2"/>
  <c r="N652" i="2"/>
  <c r="B652" i="2"/>
  <c r="N651" i="2"/>
  <c r="B651" i="2"/>
  <c r="N650" i="2"/>
  <c r="B650" i="2"/>
  <c r="N649" i="2"/>
  <c r="B649" i="2"/>
  <c r="N648" i="2"/>
  <c r="B648" i="2"/>
  <c r="N647" i="2"/>
  <c r="B647" i="2"/>
  <c r="N646" i="2"/>
  <c r="B646" i="2"/>
  <c r="N645" i="2"/>
  <c r="B645" i="2"/>
  <c r="N644" i="2"/>
  <c r="B644" i="2"/>
  <c r="N643" i="2"/>
  <c r="B643" i="2"/>
  <c r="N642" i="2"/>
  <c r="B642" i="2"/>
  <c r="N641" i="2"/>
  <c r="B641" i="2"/>
  <c r="N640" i="2"/>
  <c r="B640" i="2"/>
  <c r="N639" i="2"/>
  <c r="B639" i="2"/>
  <c r="N638" i="2"/>
  <c r="B638" i="2"/>
  <c r="N637" i="2"/>
  <c r="B637" i="2"/>
  <c r="N636" i="2"/>
  <c r="B636" i="2"/>
  <c r="N635" i="2"/>
  <c r="B635" i="2"/>
  <c r="N634" i="2"/>
  <c r="B634" i="2"/>
  <c r="N633" i="2"/>
  <c r="B633" i="2"/>
  <c r="N632" i="2"/>
  <c r="B632" i="2"/>
  <c r="N631" i="2"/>
  <c r="B631" i="2"/>
  <c r="N630" i="2"/>
  <c r="B630" i="2"/>
  <c r="N629" i="2"/>
  <c r="B629" i="2"/>
  <c r="N628" i="2"/>
  <c r="B628" i="2"/>
  <c r="N627" i="2"/>
  <c r="B627" i="2"/>
  <c r="N626" i="2"/>
  <c r="B626" i="2"/>
  <c r="N625" i="2"/>
  <c r="B625" i="2"/>
  <c r="N624" i="2"/>
  <c r="B624" i="2"/>
  <c r="N623" i="2"/>
  <c r="B623" i="2"/>
  <c r="N622" i="2"/>
  <c r="B622" i="2"/>
  <c r="N621" i="2"/>
  <c r="B621" i="2"/>
  <c r="N620" i="2"/>
  <c r="B620" i="2"/>
  <c r="N619" i="2"/>
  <c r="B619" i="2"/>
  <c r="N618" i="2"/>
  <c r="B618" i="2"/>
  <c r="N617" i="2"/>
  <c r="B617" i="2"/>
  <c r="N616" i="2"/>
  <c r="B616" i="2"/>
  <c r="N615" i="2"/>
  <c r="B615" i="2"/>
  <c r="N614" i="2"/>
  <c r="B614" i="2"/>
  <c r="N613" i="2"/>
  <c r="B613" i="2"/>
  <c r="N612" i="2"/>
  <c r="B612" i="2"/>
  <c r="N611" i="2"/>
  <c r="B611" i="2"/>
  <c r="N610" i="2"/>
  <c r="B610" i="2"/>
  <c r="N609" i="2"/>
  <c r="B609" i="2"/>
  <c r="N608" i="2"/>
  <c r="B608" i="2"/>
  <c r="N607" i="2"/>
  <c r="B607" i="2"/>
  <c r="N606" i="2"/>
  <c r="B606" i="2"/>
  <c r="N605" i="2"/>
  <c r="B605" i="2"/>
  <c r="N604" i="2"/>
  <c r="B604" i="2"/>
  <c r="N603" i="2"/>
  <c r="B603" i="2"/>
  <c r="N602" i="2"/>
  <c r="B602" i="2"/>
  <c r="N601" i="2"/>
  <c r="B601" i="2"/>
  <c r="N600" i="2"/>
  <c r="B600" i="2"/>
  <c r="N599" i="2"/>
  <c r="B599" i="2"/>
  <c r="N598" i="2"/>
  <c r="B598" i="2"/>
  <c r="N597" i="2"/>
  <c r="B597" i="2"/>
  <c r="N596" i="2"/>
  <c r="B596" i="2"/>
  <c r="N595" i="2"/>
  <c r="B595" i="2"/>
  <c r="N594" i="2"/>
  <c r="B594" i="2"/>
  <c r="N593" i="2"/>
  <c r="B593" i="2"/>
  <c r="N592" i="2"/>
  <c r="B592" i="2"/>
  <c r="N591" i="2"/>
  <c r="B591" i="2"/>
  <c r="N590" i="2"/>
  <c r="B590" i="2"/>
  <c r="N589" i="2"/>
  <c r="B589" i="2"/>
  <c r="N588" i="2"/>
  <c r="B588" i="2"/>
  <c r="N587" i="2"/>
  <c r="B587" i="2"/>
  <c r="N586" i="2"/>
  <c r="B586" i="2"/>
  <c r="N585" i="2"/>
  <c r="B585" i="2"/>
  <c r="N584" i="2"/>
  <c r="B584" i="2"/>
  <c r="N583" i="2"/>
  <c r="B583" i="2"/>
  <c r="N582" i="2"/>
  <c r="B582" i="2"/>
  <c r="N581" i="2"/>
  <c r="B581" i="2"/>
  <c r="N580" i="2"/>
  <c r="B580" i="2"/>
  <c r="N579" i="2"/>
  <c r="B579" i="2"/>
  <c r="N578" i="2"/>
  <c r="B578" i="2"/>
  <c r="N577" i="2"/>
  <c r="B577" i="2"/>
  <c r="N576" i="2"/>
  <c r="B576" i="2"/>
  <c r="N575" i="2"/>
  <c r="B575" i="2"/>
  <c r="N574" i="2"/>
  <c r="B574" i="2"/>
  <c r="N573" i="2"/>
  <c r="B573" i="2"/>
  <c r="N572" i="2"/>
  <c r="B572" i="2"/>
  <c r="N571" i="2"/>
  <c r="B571" i="2"/>
  <c r="N570" i="2"/>
  <c r="B570" i="2"/>
  <c r="N569" i="2"/>
  <c r="B569" i="2"/>
  <c r="N568" i="2"/>
  <c r="B568" i="2"/>
  <c r="N567" i="2"/>
  <c r="B567" i="2"/>
  <c r="N566" i="2"/>
  <c r="B566" i="2"/>
  <c r="N565" i="2"/>
  <c r="B565" i="2"/>
  <c r="N564" i="2"/>
  <c r="B564" i="2"/>
  <c r="N563" i="2"/>
  <c r="B563" i="2"/>
  <c r="N562" i="2"/>
  <c r="B562" i="2"/>
  <c r="N561" i="2"/>
  <c r="B561" i="2"/>
  <c r="N560" i="2"/>
  <c r="B560" i="2"/>
  <c r="N559" i="2"/>
  <c r="B559" i="2"/>
  <c r="N558" i="2"/>
  <c r="B558" i="2"/>
  <c r="N557" i="2"/>
  <c r="B557" i="2"/>
  <c r="N556" i="2"/>
  <c r="B556" i="2"/>
  <c r="N555" i="2"/>
  <c r="B555" i="2"/>
  <c r="N554" i="2"/>
  <c r="B554" i="2"/>
  <c r="N553" i="2"/>
  <c r="B553" i="2"/>
  <c r="N552" i="2"/>
  <c r="B552" i="2"/>
  <c r="N551" i="2"/>
  <c r="B551" i="2"/>
  <c r="N550" i="2"/>
  <c r="B550" i="2"/>
  <c r="N549" i="2"/>
  <c r="B549" i="2"/>
  <c r="N548" i="2"/>
  <c r="B548" i="2"/>
  <c r="N547" i="2"/>
  <c r="B547" i="2"/>
  <c r="N546" i="2"/>
  <c r="B546" i="2"/>
  <c r="N545" i="2"/>
  <c r="B545" i="2"/>
  <c r="N544" i="2"/>
  <c r="B544" i="2"/>
  <c r="N543" i="2"/>
  <c r="B543" i="2"/>
  <c r="N542" i="2"/>
  <c r="B542" i="2"/>
  <c r="N541" i="2"/>
  <c r="B541" i="2"/>
  <c r="N540" i="2"/>
  <c r="B540" i="2"/>
  <c r="N539" i="2"/>
  <c r="B539" i="2"/>
  <c r="N538" i="2"/>
  <c r="B538" i="2"/>
  <c r="N537" i="2"/>
  <c r="B537" i="2"/>
  <c r="N536" i="2"/>
  <c r="B536" i="2"/>
  <c r="N535" i="2"/>
  <c r="B535" i="2"/>
  <c r="N534" i="2"/>
  <c r="B534" i="2"/>
  <c r="N533" i="2"/>
  <c r="B533" i="2"/>
  <c r="N532" i="2"/>
  <c r="B532" i="2"/>
  <c r="N531" i="2"/>
  <c r="B531" i="2"/>
  <c r="N530" i="2"/>
  <c r="B530" i="2"/>
  <c r="N529" i="2"/>
  <c r="B529" i="2"/>
  <c r="N528" i="2"/>
  <c r="B528" i="2"/>
  <c r="N527" i="2"/>
  <c r="B527" i="2"/>
  <c r="N526" i="2"/>
  <c r="B526" i="2"/>
  <c r="N525" i="2"/>
  <c r="B525" i="2"/>
  <c r="N524" i="2"/>
  <c r="B524" i="2"/>
  <c r="N523" i="2"/>
  <c r="B523" i="2"/>
  <c r="N522" i="2"/>
  <c r="B522" i="2"/>
  <c r="N521" i="2"/>
  <c r="B521" i="2"/>
  <c r="N520" i="2"/>
  <c r="B520" i="2"/>
  <c r="N519" i="2"/>
  <c r="B519" i="2"/>
  <c r="N518" i="2"/>
  <c r="B518" i="2"/>
  <c r="N517" i="2"/>
  <c r="B517" i="2"/>
  <c r="N516" i="2"/>
  <c r="B516" i="2"/>
  <c r="N515" i="2"/>
  <c r="B515" i="2"/>
  <c r="N514" i="2"/>
  <c r="B514" i="2"/>
  <c r="N513" i="2"/>
  <c r="B513" i="2"/>
  <c r="N512" i="2"/>
  <c r="B512" i="2"/>
  <c r="N511" i="2"/>
  <c r="B511" i="2"/>
  <c r="N510" i="2"/>
  <c r="B510" i="2"/>
  <c r="N509" i="2"/>
  <c r="B509" i="2"/>
  <c r="N508" i="2"/>
  <c r="B508" i="2"/>
  <c r="N507" i="2"/>
  <c r="B507" i="2"/>
  <c r="N506" i="2"/>
  <c r="B506" i="2"/>
  <c r="N505" i="2"/>
  <c r="B505" i="2"/>
  <c r="N504" i="2"/>
  <c r="B504" i="2"/>
  <c r="N503" i="2"/>
  <c r="B503" i="2"/>
  <c r="N502" i="2"/>
  <c r="B502" i="2"/>
  <c r="N501" i="2"/>
  <c r="B501" i="2"/>
  <c r="N500" i="2"/>
  <c r="B500" i="2"/>
  <c r="N499" i="2"/>
  <c r="B499" i="2"/>
  <c r="N498" i="2"/>
  <c r="B498" i="2"/>
  <c r="N497" i="2"/>
  <c r="B497" i="2"/>
  <c r="N496" i="2"/>
  <c r="B496" i="2"/>
  <c r="N495" i="2"/>
  <c r="B495" i="2"/>
  <c r="N494" i="2"/>
  <c r="B494" i="2"/>
  <c r="N493" i="2"/>
  <c r="B493" i="2"/>
  <c r="N492" i="2"/>
  <c r="B492" i="2"/>
  <c r="N491" i="2"/>
  <c r="B491" i="2"/>
  <c r="N490" i="2"/>
  <c r="B490" i="2"/>
  <c r="N489" i="2"/>
  <c r="B489" i="2"/>
  <c r="N488" i="2"/>
  <c r="B488" i="2"/>
  <c r="N487" i="2"/>
  <c r="B487" i="2"/>
  <c r="N486" i="2"/>
  <c r="B486" i="2"/>
  <c r="N485" i="2"/>
  <c r="B485" i="2"/>
  <c r="N484" i="2"/>
  <c r="B484" i="2"/>
  <c r="N483" i="2"/>
  <c r="B483" i="2"/>
  <c r="N482" i="2"/>
  <c r="B482" i="2"/>
  <c r="N481" i="2"/>
  <c r="B481" i="2"/>
  <c r="N480" i="2"/>
  <c r="B480" i="2"/>
  <c r="N479" i="2"/>
  <c r="B479" i="2"/>
  <c r="N478" i="2"/>
  <c r="B478" i="2"/>
  <c r="N477" i="2"/>
  <c r="B477" i="2"/>
  <c r="N476" i="2"/>
  <c r="B476" i="2"/>
  <c r="N475" i="2"/>
  <c r="B475" i="2"/>
  <c r="N474" i="2"/>
  <c r="B474" i="2"/>
  <c r="N473" i="2"/>
  <c r="B473" i="2"/>
  <c r="N472" i="2"/>
  <c r="B472" i="2"/>
  <c r="N471" i="2"/>
  <c r="B471" i="2"/>
  <c r="N470" i="2"/>
  <c r="B470" i="2"/>
  <c r="N469" i="2"/>
  <c r="B469" i="2"/>
  <c r="N468" i="2"/>
  <c r="B468" i="2"/>
  <c r="N467" i="2"/>
  <c r="B467" i="2"/>
  <c r="N466" i="2"/>
  <c r="B466" i="2"/>
  <c r="N465" i="2"/>
  <c r="B465" i="2"/>
  <c r="N464" i="2"/>
  <c r="B464" i="2"/>
  <c r="N463" i="2"/>
  <c r="B463" i="2"/>
  <c r="N462" i="2"/>
  <c r="B462" i="2"/>
  <c r="N461" i="2"/>
  <c r="B461" i="2"/>
  <c r="N460" i="2"/>
  <c r="B460" i="2"/>
  <c r="N459" i="2"/>
  <c r="B459" i="2"/>
  <c r="N458" i="2"/>
  <c r="B458" i="2"/>
  <c r="N457" i="2"/>
  <c r="B457" i="2"/>
  <c r="N456" i="2"/>
  <c r="B456" i="2"/>
  <c r="N455" i="2"/>
  <c r="B455" i="2"/>
  <c r="N454" i="2"/>
  <c r="B454" i="2"/>
  <c r="N453" i="2"/>
  <c r="B453" i="2"/>
  <c r="N452" i="2"/>
  <c r="B452" i="2"/>
  <c r="N451" i="2"/>
  <c r="B451" i="2"/>
  <c r="N450" i="2"/>
  <c r="B450" i="2"/>
  <c r="N449" i="2"/>
  <c r="B449" i="2"/>
  <c r="N448" i="2"/>
  <c r="B448" i="2"/>
  <c r="N447" i="2"/>
  <c r="B447" i="2"/>
  <c r="N446" i="2"/>
  <c r="B446" i="2"/>
  <c r="N445" i="2"/>
  <c r="B445" i="2"/>
  <c r="N444" i="2"/>
  <c r="B444" i="2"/>
  <c r="N443" i="2"/>
  <c r="B443" i="2"/>
  <c r="N442" i="2"/>
  <c r="B442" i="2"/>
  <c r="N441" i="2"/>
  <c r="B441" i="2"/>
  <c r="N440" i="2"/>
  <c r="B440" i="2"/>
  <c r="N439" i="2"/>
  <c r="B439" i="2"/>
  <c r="N438" i="2"/>
  <c r="B438" i="2"/>
  <c r="N437" i="2"/>
  <c r="B437" i="2"/>
  <c r="N436" i="2"/>
  <c r="B436" i="2"/>
  <c r="N435" i="2"/>
  <c r="B435" i="2"/>
  <c r="N434" i="2"/>
  <c r="B434" i="2"/>
  <c r="N433" i="2"/>
  <c r="B433" i="2"/>
  <c r="N432" i="2"/>
  <c r="B432" i="2"/>
  <c r="N431" i="2"/>
  <c r="B431" i="2"/>
  <c r="N430" i="2"/>
  <c r="B430" i="2"/>
  <c r="N429" i="2"/>
  <c r="B429" i="2"/>
  <c r="N428" i="2"/>
  <c r="B428" i="2"/>
  <c r="N427" i="2"/>
  <c r="B427" i="2"/>
  <c r="N426" i="2"/>
  <c r="B426" i="2"/>
  <c r="N425" i="2"/>
  <c r="B425" i="2"/>
  <c r="N424" i="2"/>
  <c r="B424" i="2"/>
  <c r="N423" i="2"/>
  <c r="B423" i="2"/>
  <c r="N422" i="2"/>
  <c r="B422" i="2"/>
  <c r="N421" i="2"/>
  <c r="B421" i="2"/>
  <c r="N420" i="2"/>
  <c r="B420" i="2"/>
  <c r="N419" i="2"/>
  <c r="B419" i="2"/>
  <c r="N418" i="2"/>
  <c r="B418" i="2"/>
  <c r="N417" i="2"/>
  <c r="B417" i="2"/>
  <c r="N416" i="2"/>
  <c r="B416" i="2"/>
  <c r="N415" i="2"/>
  <c r="B415" i="2"/>
  <c r="N414" i="2"/>
  <c r="B414" i="2"/>
  <c r="N413" i="2"/>
  <c r="B413" i="2"/>
  <c r="N412" i="2"/>
  <c r="B412" i="2"/>
  <c r="N411" i="2"/>
  <c r="B411" i="2"/>
  <c r="N410" i="2"/>
  <c r="B410" i="2"/>
  <c r="N409" i="2"/>
  <c r="B409" i="2"/>
  <c r="N408" i="2"/>
  <c r="B408" i="2"/>
  <c r="N407" i="2"/>
  <c r="B407" i="2"/>
  <c r="N406" i="2"/>
  <c r="B406" i="2"/>
  <c r="N405" i="2"/>
  <c r="B405" i="2"/>
  <c r="N404" i="2"/>
  <c r="B404" i="2"/>
  <c r="N403" i="2"/>
  <c r="B403" i="2"/>
  <c r="N402" i="2"/>
  <c r="B402" i="2"/>
  <c r="N401" i="2"/>
  <c r="B401" i="2"/>
  <c r="N400" i="2"/>
  <c r="B400" i="2"/>
  <c r="N399" i="2"/>
  <c r="B399" i="2"/>
  <c r="N398" i="2"/>
  <c r="B398" i="2"/>
  <c r="N397" i="2"/>
  <c r="B397" i="2"/>
  <c r="N396" i="2"/>
  <c r="B396" i="2"/>
  <c r="N395" i="2"/>
  <c r="B395" i="2"/>
  <c r="N394" i="2"/>
  <c r="B394" i="2"/>
  <c r="N393" i="2"/>
  <c r="B393" i="2"/>
  <c r="N392" i="2"/>
  <c r="B392" i="2"/>
  <c r="N391" i="2"/>
  <c r="B391" i="2"/>
  <c r="N390" i="2"/>
  <c r="B390" i="2"/>
  <c r="N389" i="2"/>
  <c r="B389" i="2"/>
  <c r="N388" i="2"/>
  <c r="B388" i="2"/>
  <c r="N387" i="2"/>
  <c r="B387" i="2"/>
  <c r="N386" i="2"/>
  <c r="B386" i="2"/>
  <c r="N385" i="2"/>
  <c r="B385" i="2"/>
  <c r="N384" i="2"/>
  <c r="B384" i="2"/>
  <c r="N383" i="2"/>
  <c r="B383" i="2"/>
  <c r="N382" i="2"/>
  <c r="B382" i="2"/>
  <c r="N381" i="2"/>
  <c r="B381" i="2"/>
  <c r="N380" i="2"/>
  <c r="B380" i="2"/>
  <c r="N379" i="2"/>
  <c r="B379" i="2"/>
  <c r="N378" i="2"/>
  <c r="B378" i="2"/>
  <c r="N377" i="2"/>
  <c r="B377" i="2"/>
  <c r="N376" i="2"/>
  <c r="B376" i="2"/>
  <c r="N375" i="2"/>
  <c r="B375" i="2"/>
  <c r="N374" i="2"/>
  <c r="B374" i="2"/>
  <c r="N373" i="2"/>
  <c r="B373" i="2"/>
  <c r="N372" i="2"/>
  <c r="B372" i="2"/>
  <c r="N371" i="2"/>
  <c r="B371" i="2"/>
  <c r="N370" i="2"/>
  <c r="B370" i="2"/>
  <c r="N369" i="2"/>
  <c r="B369" i="2"/>
  <c r="N368" i="2"/>
  <c r="B368" i="2"/>
  <c r="N367" i="2"/>
  <c r="B367" i="2"/>
  <c r="N366" i="2"/>
  <c r="B366" i="2"/>
  <c r="N365" i="2"/>
  <c r="B365" i="2"/>
  <c r="N364" i="2"/>
  <c r="B364" i="2"/>
  <c r="N363" i="2"/>
  <c r="B363" i="2"/>
  <c r="N362" i="2"/>
  <c r="B362" i="2"/>
  <c r="N361" i="2"/>
  <c r="B361" i="2"/>
  <c r="N360" i="2"/>
  <c r="B360" i="2"/>
  <c r="N359" i="2"/>
  <c r="B359" i="2"/>
  <c r="N358" i="2"/>
  <c r="B358" i="2"/>
  <c r="N357" i="2"/>
  <c r="B357" i="2"/>
  <c r="N356" i="2"/>
  <c r="B356" i="2"/>
  <c r="N355" i="2"/>
  <c r="B355" i="2"/>
  <c r="N354" i="2"/>
  <c r="B354" i="2"/>
  <c r="N353" i="2"/>
  <c r="B353" i="2"/>
  <c r="N352" i="2"/>
  <c r="B352" i="2"/>
  <c r="N351" i="2"/>
  <c r="B351" i="2"/>
  <c r="N350" i="2"/>
  <c r="B350" i="2"/>
  <c r="N349" i="2"/>
  <c r="B349" i="2"/>
  <c r="N348" i="2"/>
  <c r="B348" i="2"/>
  <c r="N347" i="2"/>
  <c r="B347" i="2"/>
  <c r="N346" i="2"/>
  <c r="B346" i="2"/>
  <c r="N345" i="2"/>
  <c r="B345" i="2"/>
  <c r="N344" i="2"/>
  <c r="B344" i="2"/>
  <c r="N343" i="2"/>
  <c r="B343" i="2"/>
  <c r="N342" i="2"/>
  <c r="B342" i="2"/>
  <c r="N341" i="2"/>
  <c r="B341" i="2"/>
  <c r="N340" i="2"/>
  <c r="B340" i="2"/>
  <c r="N339" i="2"/>
  <c r="B339" i="2"/>
  <c r="N338" i="2"/>
  <c r="B338" i="2"/>
  <c r="N337" i="2"/>
  <c r="B337" i="2"/>
  <c r="N336" i="2"/>
  <c r="B336" i="2"/>
  <c r="N335" i="2"/>
  <c r="B335" i="2"/>
  <c r="N334" i="2"/>
  <c r="B334" i="2"/>
  <c r="N333" i="2"/>
  <c r="B333" i="2"/>
  <c r="N332" i="2"/>
  <c r="B332" i="2"/>
  <c r="N331" i="2"/>
  <c r="B331" i="2"/>
  <c r="N330" i="2"/>
  <c r="B330" i="2"/>
  <c r="N329" i="2"/>
  <c r="B329" i="2"/>
  <c r="N328" i="2"/>
  <c r="B328" i="2"/>
  <c r="N327" i="2"/>
  <c r="B327" i="2"/>
  <c r="N326" i="2"/>
  <c r="B326" i="2"/>
  <c r="N325" i="2"/>
  <c r="B325" i="2"/>
  <c r="N324" i="2"/>
  <c r="B324" i="2"/>
  <c r="N323" i="2"/>
  <c r="B323" i="2"/>
  <c r="N322" i="2"/>
  <c r="B322" i="2"/>
  <c r="N321" i="2"/>
  <c r="B321" i="2"/>
  <c r="N320" i="2"/>
  <c r="B320" i="2"/>
  <c r="N319" i="2"/>
  <c r="B319" i="2"/>
  <c r="N318" i="2"/>
  <c r="B318" i="2"/>
  <c r="N317" i="2"/>
  <c r="B317" i="2"/>
  <c r="N316" i="2"/>
  <c r="B316" i="2"/>
  <c r="N315" i="2"/>
  <c r="B315" i="2"/>
  <c r="N314" i="2"/>
  <c r="B314" i="2"/>
  <c r="N313" i="2"/>
  <c r="B313" i="2"/>
  <c r="N312" i="2"/>
  <c r="B312" i="2"/>
  <c r="N311" i="2"/>
  <c r="B311" i="2"/>
  <c r="N310" i="2"/>
  <c r="B310" i="2"/>
  <c r="N309" i="2"/>
  <c r="B309" i="2"/>
  <c r="N308" i="2"/>
  <c r="B308" i="2"/>
  <c r="N307" i="2"/>
  <c r="B307" i="2"/>
  <c r="N306" i="2"/>
  <c r="B306" i="2"/>
  <c r="N305" i="2"/>
  <c r="B305" i="2"/>
  <c r="N304" i="2"/>
  <c r="B304" i="2"/>
  <c r="N303" i="2"/>
  <c r="B303" i="2"/>
  <c r="N302" i="2"/>
  <c r="B302" i="2"/>
  <c r="N301" i="2"/>
  <c r="B301" i="2"/>
  <c r="N300" i="2"/>
  <c r="B300" i="2"/>
  <c r="N299" i="2"/>
  <c r="B299" i="2"/>
  <c r="N298" i="2"/>
  <c r="B298" i="2"/>
  <c r="N297" i="2"/>
  <c r="B297" i="2"/>
  <c r="N296" i="2"/>
  <c r="B296" i="2"/>
  <c r="N295" i="2"/>
  <c r="B295" i="2"/>
  <c r="N294" i="2"/>
  <c r="B294" i="2"/>
  <c r="N293" i="2"/>
  <c r="B293" i="2"/>
  <c r="N292" i="2"/>
  <c r="B292" i="2"/>
  <c r="N291" i="2"/>
  <c r="B291" i="2"/>
  <c r="N290" i="2"/>
  <c r="B290" i="2"/>
  <c r="N289" i="2"/>
  <c r="B289" i="2"/>
  <c r="N288" i="2"/>
  <c r="B288" i="2"/>
  <c r="N287" i="2"/>
  <c r="B287" i="2"/>
  <c r="N286" i="2"/>
  <c r="B286" i="2"/>
  <c r="N285" i="2"/>
  <c r="B285" i="2"/>
  <c r="N284" i="2"/>
  <c r="B284" i="2"/>
  <c r="N283" i="2"/>
  <c r="B283" i="2"/>
  <c r="N282" i="2"/>
  <c r="B282" i="2"/>
  <c r="N281" i="2"/>
  <c r="B281" i="2"/>
  <c r="N280" i="2"/>
  <c r="B280" i="2"/>
  <c r="N279" i="2"/>
  <c r="B279" i="2"/>
  <c r="N278" i="2"/>
  <c r="B278" i="2"/>
  <c r="N277" i="2"/>
  <c r="B277" i="2"/>
  <c r="N276" i="2"/>
  <c r="B276" i="2"/>
  <c r="N275" i="2"/>
  <c r="B275" i="2"/>
  <c r="N274" i="2"/>
  <c r="B274" i="2"/>
  <c r="N273" i="2"/>
  <c r="B273" i="2"/>
  <c r="N272" i="2"/>
  <c r="B272" i="2"/>
  <c r="N271" i="2"/>
  <c r="B271" i="2"/>
  <c r="N270" i="2"/>
  <c r="B270" i="2"/>
  <c r="N269" i="2"/>
  <c r="B269" i="2"/>
  <c r="N268" i="2"/>
  <c r="B268" i="2"/>
  <c r="N267" i="2"/>
  <c r="B267" i="2"/>
  <c r="N266" i="2"/>
  <c r="B266" i="2"/>
  <c r="N265" i="2"/>
  <c r="B265" i="2"/>
  <c r="N264" i="2"/>
  <c r="B264" i="2"/>
  <c r="N263" i="2"/>
  <c r="B263" i="2"/>
  <c r="N262" i="2"/>
  <c r="B262" i="2"/>
  <c r="N261" i="2"/>
  <c r="B261" i="2"/>
  <c r="N260" i="2"/>
  <c r="B260" i="2"/>
  <c r="N259" i="2"/>
  <c r="B259" i="2"/>
  <c r="N258" i="2"/>
  <c r="B258" i="2"/>
  <c r="N257" i="2"/>
  <c r="B257" i="2"/>
  <c r="N256" i="2"/>
  <c r="B256" i="2"/>
  <c r="N255" i="2"/>
  <c r="B255" i="2"/>
  <c r="N254" i="2"/>
  <c r="B254" i="2"/>
  <c r="N253" i="2"/>
  <c r="B253" i="2"/>
  <c r="N252" i="2"/>
  <c r="B252" i="2"/>
  <c r="N251" i="2"/>
  <c r="B251" i="2"/>
  <c r="N250" i="2"/>
  <c r="B250" i="2"/>
  <c r="N249" i="2"/>
  <c r="B249" i="2"/>
  <c r="N248" i="2"/>
  <c r="B248" i="2"/>
  <c r="N247" i="2"/>
  <c r="B247" i="2"/>
  <c r="N246" i="2"/>
  <c r="B246" i="2"/>
  <c r="N245" i="2"/>
  <c r="B245" i="2"/>
  <c r="N244" i="2"/>
  <c r="B244" i="2"/>
  <c r="N243" i="2"/>
  <c r="B243" i="2"/>
  <c r="N242" i="2"/>
  <c r="B242" i="2"/>
  <c r="N241" i="2"/>
  <c r="B241" i="2"/>
  <c r="N240" i="2"/>
  <c r="B240" i="2"/>
  <c r="N239" i="2"/>
  <c r="B239" i="2"/>
  <c r="N238" i="2"/>
  <c r="B238" i="2"/>
  <c r="N237" i="2"/>
  <c r="B237" i="2"/>
  <c r="N236" i="2"/>
  <c r="B236" i="2"/>
  <c r="N235" i="2"/>
  <c r="B235" i="2"/>
  <c r="N234" i="2"/>
  <c r="B234" i="2"/>
  <c r="N233" i="2"/>
  <c r="B233" i="2"/>
  <c r="N232" i="2"/>
  <c r="B232" i="2"/>
  <c r="N231" i="2"/>
  <c r="B231" i="2"/>
  <c r="N230" i="2"/>
  <c r="B230" i="2"/>
  <c r="N229" i="2"/>
  <c r="B229" i="2"/>
  <c r="N228" i="2"/>
  <c r="B228" i="2"/>
  <c r="N227" i="2"/>
  <c r="B227" i="2"/>
  <c r="N226" i="2"/>
  <c r="B226" i="2"/>
  <c r="N225" i="2"/>
  <c r="B225" i="2"/>
  <c r="N224" i="2"/>
  <c r="B224" i="2"/>
  <c r="N223" i="2"/>
  <c r="B223" i="2"/>
  <c r="N222" i="2"/>
  <c r="B222" i="2"/>
  <c r="N221" i="2"/>
  <c r="B221" i="2"/>
  <c r="N220" i="2"/>
  <c r="B220" i="2"/>
  <c r="N219" i="2"/>
  <c r="B219" i="2"/>
  <c r="N218" i="2"/>
  <c r="B218" i="2"/>
  <c r="N217" i="2"/>
  <c r="B217" i="2"/>
  <c r="N216" i="2"/>
  <c r="B216" i="2"/>
  <c r="N215" i="2"/>
  <c r="B215" i="2"/>
  <c r="N214" i="2"/>
  <c r="B214" i="2"/>
  <c r="N213" i="2"/>
  <c r="B213" i="2"/>
  <c r="N212" i="2"/>
  <c r="B212" i="2"/>
  <c r="N211" i="2"/>
  <c r="B211" i="2"/>
  <c r="N210" i="2"/>
  <c r="B210" i="2"/>
  <c r="N209" i="2"/>
  <c r="B209" i="2"/>
  <c r="N208" i="2"/>
  <c r="B208" i="2"/>
  <c r="N207" i="2"/>
  <c r="B207" i="2"/>
  <c r="N206" i="2"/>
  <c r="B206" i="2"/>
  <c r="N205" i="2"/>
  <c r="B205" i="2"/>
  <c r="N204" i="2"/>
  <c r="B204" i="2"/>
  <c r="N203" i="2"/>
  <c r="B203" i="2"/>
  <c r="N202" i="2"/>
  <c r="B202" i="2"/>
  <c r="N201" i="2"/>
  <c r="B201" i="2"/>
  <c r="N200" i="2"/>
  <c r="B200" i="2"/>
  <c r="N199" i="2"/>
  <c r="B199" i="2"/>
  <c r="N198" i="2"/>
  <c r="B198" i="2"/>
  <c r="N197" i="2"/>
  <c r="B197" i="2"/>
  <c r="N196" i="2"/>
  <c r="B196" i="2"/>
  <c r="N195" i="2"/>
  <c r="B195" i="2"/>
  <c r="N194" i="2"/>
  <c r="B194" i="2"/>
  <c r="N193" i="2"/>
  <c r="B193" i="2"/>
  <c r="N192" i="2"/>
  <c r="B192" i="2"/>
  <c r="N191" i="2"/>
  <c r="B191" i="2"/>
  <c r="N190" i="2"/>
  <c r="B190" i="2"/>
  <c r="N189" i="2"/>
  <c r="B189" i="2"/>
  <c r="N188" i="2"/>
  <c r="B188" i="2"/>
  <c r="N187" i="2"/>
  <c r="B187" i="2"/>
  <c r="N186" i="2"/>
  <c r="B186" i="2"/>
  <c r="N185" i="2"/>
  <c r="B185" i="2"/>
  <c r="N184" i="2"/>
  <c r="B184" i="2"/>
  <c r="N183" i="2"/>
  <c r="B183" i="2"/>
  <c r="N182" i="2"/>
  <c r="B182" i="2"/>
  <c r="N181" i="2"/>
  <c r="B181" i="2"/>
  <c r="N180" i="2"/>
  <c r="B180" i="2"/>
  <c r="N179" i="2"/>
  <c r="B179" i="2"/>
  <c r="N178" i="2"/>
  <c r="B178" i="2"/>
  <c r="N177" i="2"/>
  <c r="B177" i="2"/>
  <c r="N176" i="2"/>
  <c r="B176" i="2"/>
  <c r="N175" i="2"/>
  <c r="B175" i="2"/>
  <c r="N174" i="2"/>
  <c r="B174" i="2"/>
  <c r="N173" i="2"/>
  <c r="B173" i="2"/>
  <c r="N172" i="2"/>
  <c r="B172" i="2"/>
  <c r="N171" i="2"/>
  <c r="B171" i="2"/>
  <c r="N170" i="2"/>
  <c r="B170" i="2"/>
  <c r="N169" i="2"/>
  <c r="B169" i="2"/>
  <c r="N168" i="2"/>
  <c r="B168" i="2"/>
  <c r="N167" i="2"/>
  <c r="B167" i="2"/>
  <c r="N166" i="2"/>
  <c r="B166" i="2"/>
  <c r="N165" i="2"/>
  <c r="B165" i="2"/>
  <c r="N164" i="2"/>
  <c r="B164" i="2"/>
  <c r="N163" i="2"/>
  <c r="B163" i="2"/>
  <c r="N162" i="2"/>
  <c r="B162" i="2"/>
  <c r="N161" i="2"/>
  <c r="B161" i="2"/>
  <c r="N160" i="2"/>
  <c r="B160" i="2"/>
  <c r="N159" i="2"/>
  <c r="B159" i="2"/>
  <c r="N158" i="2"/>
  <c r="B158" i="2"/>
  <c r="N157" i="2"/>
  <c r="B157" i="2"/>
  <c r="N156" i="2"/>
  <c r="B156" i="2"/>
  <c r="N155" i="2"/>
  <c r="B155" i="2"/>
  <c r="N154" i="2"/>
  <c r="B154" i="2"/>
  <c r="N153" i="2"/>
  <c r="B153" i="2"/>
  <c r="N152" i="2"/>
  <c r="B152" i="2"/>
  <c r="N151" i="2"/>
  <c r="B151" i="2"/>
  <c r="N150" i="2"/>
  <c r="B150" i="2"/>
  <c r="N149" i="2"/>
  <c r="B149" i="2"/>
  <c r="N148" i="2"/>
  <c r="B148" i="2"/>
  <c r="N147" i="2"/>
  <c r="B147" i="2"/>
  <c r="N146" i="2"/>
  <c r="B146" i="2"/>
  <c r="N145" i="2"/>
  <c r="B145" i="2"/>
  <c r="N144" i="2"/>
  <c r="B144" i="2"/>
  <c r="N143" i="2"/>
  <c r="B143" i="2"/>
  <c r="N142" i="2"/>
  <c r="B142" i="2"/>
  <c r="N141" i="2"/>
  <c r="B141" i="2"/>
  <c r="N140" i="2"/>
  <c r="B140" i="2"/>
  <c r="N139" i="2"/>
  <c r="B139" i="2"/>
  <c r="N138" i="2"/>
  <c r="B138" i="2"/>
  <c r="N137" i="2"/>
  <c r="B137" i="2"/>
  <c r="N136" i="2"/>
  <c r="B136" i="2"/>
  <c r="N135" i="2"/>
  <c r="B135" i="2"/>
  <c r="N134" i="2"/>
  <c r="B134" i="2"/>
  <c r="N133" i="2"/>
  <c r="B133" i="2"/>
  <c r="N132" i="2"/>
  <c r="B132" i="2"/>
  <c r="N131" i="2"/>
  <c r="B131" i="2"/>
  <c r="N130" i="2"/>
  <c r="B130" i="2"/>
  <c r="N129" i="2"/>
  <c r="B129" i="2"/>
  <c r="N128" i="2"/>
  <c r="B128" i="2"/>
  <c r="N127" i="2"/>
  <c r="B127" i="2"/>
  <c r="N126" i="2"/>
  <c r="B126" i="2"/>
  <c r="N125" i="2"/>
  <c r="B125" i="2"/>
  <c r="N124" i="2"/>
  <c r="B124" i="2"/>
  <c r="N123" i="2"/>
  <c r="B123" i="2"/>
  <c r="N122" i="2"/>
  <c r="B122" i="2"/>
  <c r="N121" i="2"/>
  <c r="B121" i="2"/>
  <c r="N120" i="2"/>
  <c r="B120" i="2"/>
  <c r="N119" i="2"/>
  <c r="B119" i="2"/>
  <c r="N118" i="2"/>
  <c r="B118" i="2"/>
  <c r="N117" i="2"/>
  <c r="B117" i="2"/>
  <c r="N116" i="2"/>
  <c r="B116" i="2"/>
  <c r="N115" i="2"/>
  <c r="B115" i="2"/>
  <c r="N114" i="2"/>
  <c r="B114" i="2"/>
  <c r="N113" i="2"/>
  <c r="B113" i="2"/>
  <c r="N112" i="2"/>
  <c r="B112" i="2"/>
  <c r="N111" i="2"/>
  <c r="B111" i="2"/>
  <c r="N110" i="2"/>
  <c r="B110" i="2"/>
  <c r="N109" i="2"/>
  <c r="B109" i="2"/>
  <c r="N108" i="2"/>
  <c r="B108" i="2"/>
  <c r="N107" i="2"/>
  <c r="B107" i="2"/>
  <c r="N106" i="2"/>
  <c r="B106" i="2"/>
  <c r="N105" i="2"/>
  <c r="B105" i="2"/>
  <c r="N104" i="2"/>
  <c r="B104" i="2"/>
  <c r="N103" i="2"/>
  <c r="B103" i="2"/>
  <c r="N102" i="2"/>
  <c r="B102" i="2"/>
  <c r="N101" i="2"/>
  <c r="B101" i="2"/>
  <c r="N100" i="2"/>
  <c r="B100" i="2"/>
  <c r="N99" i="2"/>
  <c r="B99" i="2"/>
  <c r="N98" i="2"/>
  <c r="B98" i="2"/>
  <c r="N97" i="2"/>
  <c r="B97" i="2"/>
  <c r="N96" i="2"/>
  <c r="B96" i="2"/>
  <c r="N95" i="2"/>
  <c r="B95" i="2"/>
  <c r="N94" i="2"/>
  <c r="B94" i="2"/>
  <c r="N93" i="2"/>
  <c r="B93" i="2"/>
  <c r="N92" i="2"/>
  <c r="B92" i="2"/>
  <c r="N91" i="2"/>
  <c r="B91" i="2"/>
  <c r="N90" i="2"/>
  <c r="B90" i="2"/>
  <c r="N89" i="2"/>
  <c r="B89" i="2"/>
  <c r="N88" i="2"/>
  <c r="B88" i="2"/>
  <c r="N87" i="2"/>
  <c r="B87" i="2"/>
  <c r="N86" i="2"/>
  <c r="B86" i="2"/>
  <c r="N85" i="2"/>
  <c r="B85" i="2"/>
  <c r="N84" i="2"/>
  <c r="B84" i="2"/>
  <c r="N83" i="2"/>
  <c r="B83" i="2"/>
  <c r="N82" i="2"/>
  <c r="B82" i="2"/>
  <c r="N81" i="2"/>
  <c r="B81" i="2"/>
  <c r="N80" i="2"/>
  <c r="B80" i="2"/>
  <c r="N79" i="2"/>
  <c r="B79" i="2"/>
  <c r="N78" i="2"/>
  <c r="B78" i="2"/>
  <c r="N77" i="2"/>
  <c r="B77" i="2"/>
  <c r="N76" i="2"/>
  <c r="B76" i="2"/>
  <c r="N75" i="2"/>
  <c r="B75" i="2"/>
  <c r="N74" i="2"/>
  <c r="B74" i="2"/>
  <c r="N73" i="2"/>
  <c r="B73" i="2"/>
  <c r="N72" i="2"/>
  <c r="B72" i="2"/>
  <c r="N71" i="2"/>
  <c r="B71" i="2"/>
  <c r="N70" i="2"/>
  <c r="B70" i="2"/>
  <c r="N69" i="2"/>
  <c r="B69" i="2"/>
  <c r="N68" i="2"/>
  <c r="B68" i="2"/>
  <c r="N67" i="2"/>
  <c r="B67" i="2"/>
  <c r="N66" i="2"/>
  <c r="B66" i="2"/>
  <c r="N65" i="2"/>
  <c r="B65" i="2"/>
  <c r="N64" i="2"/>
  <c r="B64" i="2"/>
  <c r="N63" i="2"/>
  <c r="B63" i="2"/>
  <c r="N62" i="2"/>
  <c r="B62" i="2"/>
  <c r="N61" i="2"/>
  <c r="B61" i="2"/>
  <c r="N60" i="2"/>
  <c r="B60" i="2"/>
  <c r="N59" i="2"/>
  <c r="B59" i="2"/>
  <c r="N58" i="2"/>
  <c r="B58" i="2"/>
  <c r="N57" i="2"/>
  <c r="B57" i="2"/>
  <c r="N56" i="2"/>
  <c r="B56" i="2"/>
  <c r="N55" i="2"/>
  <c r="B55" i="2"/>
  <c r="N54" i="2"/>
  <c r="B54" i="2"/>
  <c r="N53" i="2"/>
  <c r="B53" i="2"/>
  <c r="N52" i="2"/>
  <c r="B52" i="2"/>
  <c r="N51" i="2"/>
  <c r="B51" i="2"/>
  <c r="N50" i="2"/>
  <c r="B50" i="2"/>
  <c r="N49" i="2"/>
  <c r="B49" i="2"/>
  <c r="N48" i="2"/>
  <c r="B48" i="2"/>
  <c r="N47" i="2"/>
  <c r="B47" i="2"/>
  <c r="N46" i="2"/>
  <c r="B46" i="2"/>
  <c r="N45" i="2"/>
  <c r="B45" i="2"/>
  <c r="N44" i="2"/>
  <c r="B44" i="2"/>
  <c r="N43" i="2"/>
  <c r="B43" i="2"/>
  <c r="N42" i="2"/>
  <c r="B42" i="2"/>
  <c r="N41" i="2"/>
  <c r="B41" i="2"/>
  <c r="N40" i="2"/>
  <c r="B40" i="2"/>
  <c r="N39" i="2"/>
  <c r="B39" i="2"/>
  <c r="N38" i="2"/>
  <c r="B38" i="2"/>
  <c r="N37" i="2"/>
  <c r="B37" i="2"/>
  <c r="N36" i="2"/>
  <c r="B36" i="2"/>
  <c r="N35" i="2"/>
  <c r="B35" i="2"/>
  <c r="N34" i="2"/>
  <c r="B34" i="2"/>
  <c r="N33" i="2"/>
  <c r="B33" i="2"/>
  <c r="N32" i="2"/>
  <c r="B32" i="2"/>
  <c r="N31" i="2"/>
  <c r="B31" i="2"/>
  <c r="N30" i="2"/>
  <c r="B30" i="2"/>
  <c r="N29" i="2"/>
  <c r="B29" i="2"/>
  <c r="N28" i="2"/>
  <c r="B28" i="2"/>
  <c r="N27" i="2"/>
  <c r="B27" i="2"/>
  <c r="N26" i="2"/>
  <c r="B26" i="2"/>
  <c r="N25" i="2"/>
  <c r="B25" i="2"/>
  <c r="N24" i="2"/>
  <c r="B24" i="2"/>
  <c r="N23" i="2"/>
  <c r="B23" i="2"/>
  <c r="N22" i="2"/>
  <c r="B22" i="2"/>
  <c r="N21" i="2"/>
  <c r="B21" i="2"/>
  <c r="N20" i="2"/>
  <c r="B20" i="2"/>
  <c r="N19" i="2"/>
  <c r="B19" i="2"/>
  <c r="N18" i="2"/>
  <c r="B18" i="2"/>
  <c r="N17" i="2"/>
  <c r="B17" i="2"/>
  <c r="N16" i="2"/>
  <c r="B16" i="2"/>
  <c r="N15" i="2"/>
  <c r="B15" i="2"/>
  <c r="N14" i="2"/>
  <c r="B14" i="2"/>
  <c r="N13" i="2"/>
  <c r="B13" i="2"/>
  <c r="N12" i="2"/>
  <c r="B12" i="2"/>
  <c r="N11" i="2"/>
  <c r="B11" i="2"/>
  <c r="N10" i="2"/>
  <c r="B10" i="2"/>
  <c r="N9" i="2"/>
  <c r="B9" i="2"/>
  <c r="N8" i="2"/>
  <c r="B8" i="2"/>
  <c r="N7" i="2"/>
  <c r="B7" i="2"/>
  <c r="N6" i="2"/>
  <c r="B6" i="2"/>
  <c r="N5" i="2"/>
  <c r="B5" i="2"/>
  <c r="N4" i="2"/>
  <c r="B4" i="2"/>
  <c r="N3" i="2"/>
  <c r="B3" i="2"/>
  <c r="N2" i="2"/>
  <c r="B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<sst xmlns="http://schemas.openxmlformats.org/spreadsheetml/2006/main" count="86105" uniqueCount="15413">
  <si>
    <t>Validation: Are the fields complete?</t>
  </si>
  <si>
    <t>Validation: IRN good?</t>
  </si>
  <si>
    <t>Hub leader</t>
  </si>
  <si>
    <t>Date of event (single date, not range)
If multi-day, use ending date</t>
  </si>
  <si>
    <t>Title of event</t>
  </si>
  <si>
    <t>Participant first name</t>
  </si>
  <si>
    <t>Participant last name</t>
  </si>
  <si>
    <t>Participant email address (never used for marketing, only as an identifier for record keeping)</t>
  </si>
  <si>
    <t>School or organization name</t>
  </si>
  <si>
    <t>School IRN # (Use District IRN # if more relevant). Recommend directing participants to https://oeds.ode.state.oh.us/SearchOrg</t>
  </si>
  <si>
    <t>Total number of students impacted (0 if unknown)</t>
  </si>
  <si>
    <t>Jane Doe</t>
  </si>
  <si>
    <t>Event 1</t>
  </si>
  <si>
    <t>Emily</t>
  </si>
  <si>
    <t>Johnson</t>
  </si>
  <si>
    <t>emily.johnson@email.com</t>
  </si>
  <si>
    <t>Maple Elementary</t>
  </si>
  <si>
    <t>Event 4</t>
  </si>
  <si>
    <t>Sarah</t>
  </si>
  <si>
    <t>Brown</t>
  </si>
  <si>
    <t>james.garcia@email.com</t>
  </si>
  <si>
    <t>Botkins High School</t>
  </si>
  <si>
    <t>Event 2</t>
  </si>
  <si>
    <t>James</t>
  </si>
  <si>
    <t>Garcia</t>
  </si>
  <si>
    <t>Oakridge Middle</t>
  </si>
  <si>
    <t>Anna Elementary School</t>
  </si>
  <si>
    <t>Deliverable (Strictly 1.3, 1.4, 2.2, or 3.2)</t>
  </si>
  <si>
    <t>1-2 sentence description (use alt+enter for line breaks, if you need them)</t>
  </si>
  <si>
    <t>IRN_numb</t>
  </si>
  <si>
    <t>IRN</t>
  </si>
  <si>
    <t>ORGANIZATION NAME</t>
  </si>
  <si>
    <t>SCHOOL TYPE</t>
  </si>
  <si>
    <t>ORGANIZATION TYPE</t>
  </si>
  <si>
    <t>ORGANIZATION CATEGORY</t>
  </si>
  <si>
    <t>DESIGNATED COUNTY</t>
  </si>
  <si>
    <t>Full address</t>
  </si>
  <si>
    <t>Street</t>
  </si>
  <si>
    <t>City</t>
  </si>
  <si>
    <t>State</t>
  </si>
  <si>
    <t>Zip</t>
  </si>
  <si>
    <t>Country</t>
  </si>
  <si>
    <t>PARENT IRN</t>
  </si>
  <si>
    <t>PARENT ORGANIZATION NAME</t>
  </si>
  <si>
    <t>ODE_DIST_TYPE</t>
  </si>
  <si>
    <t>ECONDISADV</t>
  </si>
  <si>
    <t>Non-White</t>
  </si>
  <si>
    <t>Hub</t>
  </si>
  <si>
    <t>Delaware City</t>
  </si>
  <si>
    <t>N/A</t>
  </si>
  <si>
    <t>Public District</t>
  </si>
  <si>
    <t>District</t>
  </si>
  <si>
    <t>Delaware</t>
  </si>
  <si>
    <t>74 W William St, Delaware, Ohio, 43015</t>
  </si>
  <si>
    <t>74 W William St</t>
  </si>
  <si>
    <t>Ohio</t>
  </si>
  <si>
    <t>43015</t>
  </si>
  <si>
    <t>United States</t>
  </si>
  <si>
    <t>Ohio Department of Education</t>
  </si>
  <si>
    <t>Suburban</t>
  </si>
  <si>
    <t>Central Ohio Hub</t>
  </si>
  <si>
    <t>Parma City CTPD</t>
  </si>
  <si>
    <t>Career Technical Planning District</t>
  </si>
  <si>
    <t>Cuyahoga</t>
  </si>
  <si>
    <t>5311 Longwood Ave, Parma, Ohio, 44134</t>
  </si>
  <si>
    <t>5311 Longwood Ave</t>
  </si>
  <si>
    <t>Parma</t>
  </si>
  <si>
    <t>44134</t>
  </si>
  <si>
    <t>NF</t>
  </si>
  <si>
    <t>Northeast Hub</t>
  </si>
  <si>
    <t>Claymont City</t>
  </si>
  <si>
    <t>Tuscarawas</t>
  </si>
  <si>
    <t>201 N 3rd St, Dennison, Ohio, 44621</t>
  </si>
  <si>
    <t>201 N 3rd St</t>
  </si>
  <si>
    <t>Dennison</t>
  </si>
  <si>
    <t>44621</t>
  </si>
  <si>
    <t>Rural</t>
  </si>
  <si>
    <t>Akron Hub</t>
  </si>
  <si>
    <t>Willard City</t>
  </si>
  <si>
    <t>Huron</t>
  </si>
  <si>
    <t>123 W Whisler Dr, Willard, Ohio, 44890</t>
  </si>
  <si>
    <t>123 W Whisler Dr</t>
  </si>
  <si>
    <t>Willard</t>
  </si>
  <si>
    <t>44890</t>
  </si>
  <si>
    <t>Town</t>
  </si>
  <si>
    <t>Newcomerstown Exempted Village</t>
  </si>
  <si>
    <t>702 S River St, Newcomerstown, Ohio, 43832</t>
  </si>
  <si>
    <t>702 S River St</t>
  </si>
  <si>
    <t>Newcomerstown</t>
  </si>
  <si>
    <t>43832</t>
  </si>
  <si>
    <t>Muskingum Valley ESC</t>
  </si>
  <si>
    <t>Walnut Township Local</t>
  </si>
  <si>
    <t>Fairfield</t>
  </si>
  <si>
    <t>11850 Lancaster St, Millersport, Ohio, 43046</t>
  </si>
  <si>
    <t>11850 Lancaster St</t>
  </si>
  <si>
    <t>Millersport</t>
  </si>
  <si>
    <t>43046</t>
  </si>
  <si>
    <t>Fairfield County ESC</t>
  </si>
  <si>
    <t>Shaker Heights City</t>
  </si>
  <si>
    <t>15600 Parkland Dr, Shaker Heights, Ohio, 44120</t>
  </si>
  <si>
    <t>15600 Parkland Dr</t>
  </si>
  <si>
    <t>Shaker Heights</t>
  </si>
  <si>
    <t>44120</t>
  </si>
  <si>
    <t>Carrollton Exempted Village</t>
  </si>
  <si>
    <t>Carroll</t>
  </si>
  <si>
    <t>205 Scio Road SW, Carrollton, Ohio, 44615</t>
  </si>
  <si>
    <t>205 Scio Road SW</t>
  </si>
  <si>
    <t>Carrollton</t>
  </si>
  <si>
    <t>44615</t>
  </si>
  <si>
    <t>Northridge Local</t>
  </si>
  <si>
    <t>Licking</t>
  </si>
  <si>
    <t>6097 Johnstown Utica Rd, Johnstown, Ohio, 43031</t>
  </si>
  <si>
    <t>6097 Johnstown Utica Rd</t>
  </si>
  <si>
    <t>Johnstown</t>
  </si>
  <si>
    <t>43031</t>
  </si>
  <si>
    <t>Licking Regional Educational Service Center</t>
  </si>
  <si>
    <t>Marlington Local</t>
  </si>
  <si>
    <t>Stark</t>
  </si>
  <si>
    <t>10320 Moulin Ave NE, Alliance, Ohio, 44601</t>
  </si>
  <si>
    <t>10320 Moulin Ave NE</t>
  </si>
  <si>
    <t>Alliance</t>
  </si>
  <si>
    <t>44601</t>
  </si>
  <si>
    <t>Stark County ESC</t>
  </si>
  <si>
    <t>Frontier Local</t>
  </si>
  <si>
    <t>Washington</t>
  </si>
  <si>
    <t>44870 State Route 7, New Matamoras, Ohio, 45767</t>
  </si>
  <si>
    <t>44870 State Route 7</t>
  </si>
  <si>
    <t>New Matamoras</t>
  </si>
  <si>
    <t>45767</t>
  </si>
  <si>
    <t>Ohio Valley ESC</t>
  </si>
  <si>
    <t>Southeast Hub</t>
  </si>
  <si>
    <t>Ashtabula County Technical and Career Center  CTPD</t>
  </si>
  <si>
    <t>Ashtabula</t>
  </si>
  <si>
    <t>1565 State Route 167, Jefferson, Ohio, 44047</t>
  </si>
  <si>
    <t>1565 State Route 167</t>
  </si>
  <si>
    <t>Jefferson</t>
  </si>
  <si>
    <t>44047</t>
  </si>
  <si>
    <t>Brecksville-Broadview Heights City</t>
  </si>
  <si>
    <t>6638 Mill Rd, Brecksville, Ohio, 44141</t>
  </si>
  <si>
    <t>6638 Mill Rd</t>
  </si>
  <si>
    <t>Brecksville</t>
  </si>
  <si>
    <t>44141</t>
  </si>
  <si>
    <t>Keystone Local</t>
  </si>
  <si>
    <t>Lorain</t>
  </si>
  <si>
    <t>531 Opportunity Way, Lagrange, Ohio, 44050</t>
  </si>
  <si>
    <t>531 Opportunity Way</t>
  </si>
  <si>
    <t>Lagrange</t>
  </si>
  <si>
    <t>44050</t>
  </si>
  <si>
    <t>Lorain County ESC</t>
  </si>
  <si>
    <t>Kalida Local</t>
  </si>
  <si>
    <t>Putnam</t>
  </si>
  <si>
    <t>301 North Third St., Kalida, Ohio, 45853</t>
  </si>
  <si>
    <t>301 North Third St.</t>
  </si>
  <si>
    <t>Kalida</t>
  </si>
  <si>
    <t>45853</t>
  </si>
  <si>
    <t>Putnam County ESC</t>
  </si>
  <si>
    <t>Northwest Hub</t>
  </si>
  <si>
    <t>Lake Local</t>
  </si>
  <si>
    <t>436 King Church Ave SW, Uniontown, Ohio, 44685</t>
  </si>
  <si>
    <t>436 King Church Ave SW</t>
  </si>
  <si>
    <t>Uniontown</t>
  </si>
  <si>
    <t>44685</t>
  </si>
  <si>
    <t>Lorain County JVS</t>
  </si>
  <si>
    <t>Joint Vocational School District</t>
  </si>
  <si>
    <t>15181 State Route 58, Oberlin, Ohio, 44074</t>
  </si>
  <si>
    <t>15181 State Route 58</t>
  </si>
  <si>
    <t>Oberlin</t>
  </si>
  <si>
    <t>44074</t>
  </si>
  <si>
    <t>Trumbull Career &amp; Tech Ctr</t>
  </si>
  <si>
    <t>Trumbull</t>
  </si>
  <si>
    <t>528 Educational Hwy NW, Warren, Ohio, 44483</t>
  </si>
  <si>
    <t>528 Educational Hwy NW</t>
  </si>
  <si>
    <t>Warren</t>
  </si>
  <si>
    <t>44483</t>
  </si>
  <si>
    <t xml:space="preserve">Greenville City </t>
  </si>
  <si>
    <t>Darke</t>
  </si>
  <si>
    <t>215 W 4th St, Greenville, Ohio, 45331</t>
  </si>
  <si>
    <t>215 W 4th St</t>
  </si>
  <si>
    <t>Greenville</t>
  </si>
  <si>
    <t>45331</t>
  </si>
  <si>
    <t>Dayton Hub</t>
  </si>
  <si>
    <t>Buckeye Local</t>
  </si>
  <si>
    <t>3436 Edgewood Dr, Ashtabula, Ohio, 44004</t>
  </si>
  <si>
    <t>3436 Edgewood Dr</t>
  </si>
  <si>
    <t>44004</t>
  </si>
  <si>
    <t>Ashtabula County ESC</t>
  </si>
  <si>
    <t>Chippewa Local</t>
  </si>
  <si>
    <t>Wayne</t>
  </si>
  <si>
    <t>56 N Portage St, Doylestown, Ohio, 44230</t>
  </si>
  <si>
    <t>56 N Portage St</t>
  </si>
  <si>
    <t>Doylestown</t>
  </si>
  <si>
    <t>44230</t>
  </si>
  <si>
    <t>Tri-County ESC</t>
  </si>
  <si>
    <t>Pike County Area</t>
  </si>
  <si>
    <t>Pike</t>
  </si>
  <si>
    <t>175 Beaver Creek Rd, Piketon, Ohio, 45661</t>
  </si>
  <si>
    <t>175 Beaver Creek Rd</t>
  </si>
  <si>
    <t>Piketon</t>
  </si>
  <si>
    <t>45661</t>
  </si>
  <si>
    <t>Sylvania City CTPD</t>
  </si>
  <si>
    <t>Lucas</t>
  </si>
  <si>
    <t>4747 N Holland Sylvania Rd, Sylvania, Ohio, 43560</t>
  </si>
  <si>
    <t>4747 N Holland Sylvania Rd</t>
  </si>
  <si>
    <t>Sylvania</t>
  </si>
  <si>
    <t>43560</t>
  </si>
  <si>
    <t>Urbana City</t>
  </si>
  <si>
    <t>Champaign</t>
  </si>
  <si>
    <t>711 Wood St, Urbana, Ohio, 43078</t>
  </si>
  <si>
    <t>711 Wood St</t>
  </si>
  <si>
    <t>Urbana</t>
  </si>
  <si>
    <t>43078</t>
  </si>
  <si>
    <t>Indian Hill Exempted Village</t>
  </si>
  <si>
    <t>Hamilton</t>
  </si>
  <si>
    <t>6855 Drake Rd, Cincinnati, Ohio, 45243</t>
  </si>
  <si>
    <t>6855 Drake Rd</t>
  </si>
  <si>
    <t>Cincinnati</t>
  </si>
  <si>
    <t>45243</t>
  </si>
  <si>
    <t>Southwest Hub</t>
  </si>
  <si>
    <t>Clay Local</t>
  </si>
  <si>
    <t>Scioto</t>
  </si>
  <si>
    <t>44 Clay High St, Portsmouth, Ohio, 45662</t>
  </si>
  <si>
    <t>44 Clay High St</t>
  </si>
  <si>
    <t>Portsmouth</t>
  </si>
  <si>
    <t>45662</t>
  </si>
  <si>
    <t>South Central Ohio ESC</t>
  </si>
  <si>
    <t>Elmwood Local</t>
  </si>
  <si>
    <t>Wood</t>
  </si>
  <si>
    <t>7650 Jerry City Rd, Bloomdale, Ohio, 44817</t>
  </si>
  <si>
    <t>7650 Jerry City Rd</t>
  </si>
  <si>
    <t>Bloomdale</t>
  </si>
  <si>
    <t>44817</t>
  </si>
  <si>
    <t>Wood County ESC</t>
  </si>
  <si>
    <t>Belmont-Harrison</t>
  </si>
  <si>
    <t>Belmont</t>
  </si>
  <si>
    <t>68090 Hammond Road, Saint Clairsville, Ohio, 43950</t>
  </si>
  <si>
    <t>68090 Hammond Road</t>
  </si>
  <si>
    <t>Saint Clairsville</t>
  </si>
  <si>
    <t>43950</t>
  </si>
  <si>
    <t>Conneaut Area City</t>
  </si>
  <si>
    <t>230 Gateway Ave Ste B, Conneaut, Ohio, 44030</t>
  </si>
  <si>
    <t>230 Gateway Ave Ste B</t>
  </si>
  <si>
    <t>Conneaut</t>
  </si>
  <si>
    <t>44030</t>
  </si>
  <si>
    <t>Edgewood City School District</t>
  </si>
  <si>
    <t>Butler</t>
  </si>
  <si>
    <t>3500 Busenbark Rd, Trenton, Ohio, 45067</t>
  </si>
  <si>
    <t>3500 Busenbark Rd</t>
  </si>
  <si>
    <t>Trenton</t>
  </si>
  <si>
    <t>45067</t>
  </si>
  <si>
    <t>Blanchester Local</t>
  </si>
  <si>
    <t>Clinton</t>
  </si>
  <si>
    <t>957 Cherry St, Blanchester, Ohio, 45107</t>
  </si>
  <si>
    <t>957 Cherry St</t>
  </si>
  <si>
    <t>Blanchester</t>
  </si>
  <si>
    <t>45107</t>
  </si>
  <si>
    <t>Southern Ohio ESC</t>
  </si>
  <si>
    <t>North Bass Local</t>
  </si>
  <si>
    <t>Ottawa</t>
  </si>
  <si>
    <t>515 Kenny Rd, Isle St George, Ohio, 43436</t>
  </si>
  <si>
    <t>515 Kenny Rd</t>
  </si>
  <si>
    <t>Isle St George</t>
  </si>
  <si>
    <t>43436</t>
  </si>
  <si>
    <t>North Point Educational Service Center</t>
  </si>
  <si>
    <t>Springfield Local</t>
  </si>
  <si>
    <t>Summit</t>
  </si>
  <si>
    <t>2141 Pickle Rd, Akron, Ohio, 44312</t>
  </si>
  <si>
    <t>2141 Pickle Rd</t>
  </si>
  <si>
    <t>Akron</t>
  </si>
  <si>
    <t>44312</t>
  </si>
  <si>
    <t>Summit County ESC</t>
  </si>
  <si>
    <t>Four County Career Center</t>
  </si>
  <si>
    <t>Henry</t>
  </si>
  <si>
    <t>22900 State Route 34, Archbold, Ohio, 43502</t>
  </si>
  <si>
    <t>22900 State Route 34</t>
  </si>
  <si>
    <t>Archbold</t>
  </si>
  <si>
    <t>43502</t>
  </si>
  <si>
    <t>Steubenville City</t>
  </si>
  <si>
    <t>611 N 4th St, Steubenville, Ohio, 43952</t>
  </si>
  <si>
    <t>611 N 4th St</t>
  </si>
  <si>
    <t>Steubenville</t>
  </si>
  <si>
    <t>43952</t>
  </si>
  <si>
    <t>Urban</t>
  </si>
  <si>
    <t xml:space="preserve">Orange City </t>
  </si>
  <si>
    <t>32000 Chagrin Blvd, Cleveland, Ohio, 44124</t>
  </si>
  <si>
    <t>32000 Chagrin Blvd</t>
  </si>
  <si>
    <t>Cleveland</t>
  </si>
  <si>
    <t>44124</t>
  </si>
  <si>
    <t>Riverside Local</t>
  </si>
  <si>
    <t>Logan</t>
  </si>
  <si>
    <t>2096 County Road 24 S, De Graff, Ohio, 43318</t>
  </si>
  <si>
    <t>2096 County Road 24 S</t>
  </si>
  <si>
    <t>De Graff</t>
  </si>
  <si>
    <t>43318</t>
  </si>
  <si>
    <t>Midwest Regional ESC</t>
  </si>
  <si>
    <t>Field Local</t>
  </si>
  <si>
    <t>Portage</t>
  </si>
  <si>
    <t>2900 State Route 43, Mogadore, Ohio, 44260</t>
  </si>
  <si>
    <t>2900 State Route 43</t>
  </si>
  <si>
    <t>Mogadore</t>
  </si>
  <si>
    <t>44260</t>
  </si>
  <si>
    <t>Northwest Tech Prep Regional Center</t>
  </si>
  <si>
    <t>Tech Prep. Regional Centers</t>
  </si>
  <si>
    <t>2801 W Bancroft St, Toledo, Ohio, 43606</t>
  </si>
  <si>
    <t>2801 W Bancroft St</t>
  </si>
  <si>
    <t>Toledo</t>
  </si>
  <si>
    <t>43606</t>
  </si>
  <si>
    <t>Wooster City</t>
  </si>
  <si>
    <t>144 N Market St, Wooster, Ohio, 44691</t>
  </si>
  <si>
    <t>144 N Market St</t>
  </si>
  <si>
    <t>Wooster</t>
  </si>
  <si>
    <t>44691</t>
  </si>
  <si>
    <t>Pleasant Local</t>
  </si>
  <si>
    <t>Marion</t>
  </si>
  <si>
    <t>1117 Owens Rd W, Marion, Ohio, 43302</t>
  </si>
  <si>
    <t>1117 Owens Rd W</t>
  </si>
  <si>
    <t>43302</t>
  </si>
  <si>
    <t>North Central Ohio ESC</t>
  </si>
  <si>
    <t>Union-Scioto Local</t>
  </si>
  <si>
    <t>Ross</t>
  </si>
  <si>
    <t>1565 Egypt Pike, Chillicothe, Ohio, 45601</t>
  </si>
  <si>
    <t>1565 Egypt Pike</t>
  </si>
  <si>
    <t>Chillicothe</t>
  </si>
  <si>
    <t>45601</t>
  </si>
  <si>
    <t>Ross-Pike ESC</t>
  </si>
  <si>
    <t>Piqua City</t>
  </si>
  <si>
    <t>Miami</t>
  </si>
  <si>
    <t>215 Looney Rd, Piqua, Ohio, 45356</t>
  </si>
  <si>
    <t>215 Looney Rd</t>
  </si>
  <si>
    <t>Piqua</t>
  </si>
  <si>
    <t>45356</t>
  </si>
  <si>
    <t>Crestline Exempted Village</t>
  </si>
  <si>
    <t>Crawford</t>
  </si>
  <si>
    <t>401 Heiser Ct, Crestline, Ohio, 44827</t>
  </si>
  <si>
    <t>401 Heiser Ct</t>
  </si>
  <si>
    <t>Crestline</t>
  </si>
  <si>
    <t>44827</t>
  </si>
  <si>
    <t>Ottawa Hills Local</t>
  </si>
  <si>
    <t>4035 W Central Ave, Toledo, Ohio, 43606</t>
  </si>
  <si>
    <t>4035 W Central Ave</t>
  </si>
  <si>
    <t>ESC of Lake Erie West</t>
  </si>
  <si>
    <t>Portage Lakes JVSD CTPD</t>
  </si>
  <si>
    <t>4401 Shriver Rd, Uniontown, Ohio, 44685</t>
  </si>
  <si>
    <t>4401 Shriver Rd</t>
  </si>
  <si>
    <t>Evergreen Local</t>
  </si>
  <si>
    <t>Fulton</t>
  </si>
  <si>
    <t>14544 County Road 6, Metamora, Ohio, 43540</t>
  </si>
  <si>
    <t>14544 County Road 6</t>
  </si>
  <si>
    <t>Metamora</t>
  </si>
  <si>
    <t>43540</t>
  </si>
  <si>
    <t>Northwest Ohio Educational Service Center</t>
  </si>
  <si>
    <t>Oak Hill Union Local</t>
  </si>
  <si>
    <t>Jackson</t>
  </si>
  <si>
    <t>205 Western Ave, Oak Hill, Ohio, 45656</t>
  </si>
  <si>
    <t>205 Western Ave</t>
  </si>
  <si>
    <t>Oak Hill</t>
  </si>
  <si>
    <t>45656</t>
  </si>
  <si>
    <t>River Valley Local</t>
  </si>
  <si>
    <t>197 Brockelsby Road, Caledonia, Ohio, 43314</t>
  </si>
  <si>
    <t>197 Brockelsby Road</t>
  </si>
  <si>
    <t>Caledonia</t>
  </si>
  <si>
    <t>43314</t>
  </si>
  <si>
    <t>Preble Shawnee Local</t>
  </si>
  <si>
    <t>Preble</t>
  </si>
  <si>
    <t>5495 Somers Gratis Rd, Camden, Ohio, 45311</t>
  </si>
  <si>
    <t>5495 Somers Gratis Rd</t>
  </si>
  <si>
    <t>Camden</t>
  </si>
  <si>
    <t>45311</t>
  </si>
  <si>
    <t>Preble County ESC</t>
  </si>
  <si>
    <t>St Clairsville-Richland City</t>
  </si>
  <si>
    <t>108 Woodrow Ave, Saint Clairsville, Ohio, 43950</t>
  </si>
  <si>
    <t>108 Woodrow Ave</t>
  </si>
  <si>
    <t>New Miami Local</t>
  </si>
  <si>
    <t>600 Seven Mile Ave, Hamilton, Ohio, 45011</t>
  </si>
  <si>
    <t>600 Seven Mile Ave</t>
  </si>
  <si>
    <t>45011</t>
  </si>
  <si>
    <t>Butler County ESC</t>
  </si>
  <si>
    <t>Ansonia Local</t>
  </si>
  <si>
    <t>600 E Canal, Ansonia, Ohio, 45303</t>
  </si>
  <si>
    <t>600 E Canal</t>
  </si>
  <si>
    <t>Ansonia</t>
  </si>
  <si>
    <t>45303</t>
  </si>
  <si>
    <t>Darke County ESC</t>
  </si>
  <si>
    <t>Lowellville Local</t>
  </si>
  <si>
    <t>Mahoning</t>
  </si>
  <si>
    <t>52 Rocket Place, Lowellville, Ohio, 44436</t>
  </si>
  <si>
    <t>52 Rocket Place</t>
  </si>
  <si>
    <t>Lowellville</t>
  </si>
  <si>
    <t>44436</t>
  </si>
  <si>
    <t>Educational Service Center of Eastern Ohio</t>
  </si>
  <si>
    <t>Adena Local</t>
  </si>
  <si>
    <t>3367 County Road 550, Frankfort, Ohio, 45628</t>
  </si>
  <si>
    <t>3367 County Road 550</t>
  </si>
  <si>
    <t>Frankfort</t>
  </si>
  <si>
    <t>45628</t>
  </si>
  <si>
    <t>Wayne County JVSD CTPD</t>
  </si>
  <si>
    <t>518 W Prospect St, Smithville, Ohio, 44677</t>
  </si>
  <si>
    <t>518 W Prospect St</t>
  </si>
  <si>
    <t>Smithville</t>
  </si>
  <si>
    <t>44677</t>
  </si>
  <si>
    <t>Clyde-Green Springs Exempted Village</t>
  </si>
  <si>
    <t>Sandusky</t>
  </si>
  <si>
    <t>106 S Main St, Clyde, Ohio, 43410</t>
  </si>
  <si>
    <t>106 S Main St</t>
  </si>
  <si>
    <t>Clyde</t>
  </si>
  <si>
    <t>43410</t>
  </si>
  <si>
    <t>Highland Local</t>
  </si>
  <si>
    <t>Medina</t>
  </si>
  <si>
    <t>3880 Ridge Rd, Medina, Ohio, 44256</t>
  </si>
  <si>
    <t>3880 Ridge Rd</t>
  </si>
  <si>
    <t>44256</t>
  </si>
  <si>
    <t>ESC of Medina County</t>
  </si>
  <si>
    <t>Bloomfield-Mespo Local</t>
  </si>
  <si>
    <t>2077 Park Rd W, North Bloomfield, Ohio, 44450</t>
  </si>
  <si>
    <t>2077 Park Rd W</t>
  </si>
  <si>
    <t>North Bloomfield</t>
  </si>
  <si>
    <t>44450</t>
  </si>
  <si>
    <t>Trumbull County ESC</t>
  </si>
  <si>
    <t>Amanda-Clearcreek Local</t>
  </si>
  <si>
    <t>328 E Main St, Amanda, Ohio, 43102</t>
  </si>
  <si>
    <t>328 E Main St</t>
  </si>
  <si>
    <t>Amanda</t>
  </si>
  <si>
    <t>43102</t>
  </si>
  <si>
    <t>Tri Star CTPD</t>
  </si>
  <si>
    <t>Mercer</t>
  </si>
  <si>
    <t>585 E Livingston St, Celina, Ohio, 45822</t>
  </si>
  <si>
    <t>585 E Livingston St</t>
  </si>
  <si>
    <t>Celina</t>
  </si>
  <si>
    <t>45822</t>
  </si>
  <si>
    <t>Greenville City CTPD</t>
  </si>
  <si>
    <t>6924 Spring Valley Dr, Holland, Ohio, 43528</t>
  </si>
  <si>
    <t>6924 Spring Valley Dr</t>
  </si>
  <si>
    <t>Holland</t>
  </si>
  <si>
    <t>43528</t>
  </si>
  <si>
    <t>Antwerp Local</t>
  </si>
  <si>
    <t>Paulding</t>
  </si>
  <si>
    <t>303 S. Harrmann Rd, Antwerp, Ohio, 45813</t>
  </si>
  <si>
    <t>303 S. Harrmann Rd</t>
  </si>
  <si>
    <t>Antwerp</t>
  </si>
  <si>
    <t>45813</t>
  </si>
  <si>
    <t>Western Buckeye ESC</t>
  </si>
  <si>
    <t>Cincinnati Public Schools</t>
  </si>
  <si>
    <t>2651 Burnet Ave, Cincinnati, Ohio, 45219</t>
  </si>
  <si>
    <t>2651 Burnet Ave</t>
  </si>
  <si>
    <t>45219</t>
  </si>
  <si>
    <t>New Philadelphia City</t>
  </si>
  <si>
    <t>248 Front Ave SW, New Philadelphia, Ohio, 44663</t>
  </si>
  <si>
    <t>248 Front Ave SW</t>
  </si>
  <si>
    <t>New Philadelphia</t>
  </si>
  <si>
    <t>44663</t>
  </si>
  <si>
    <t>North Royalton City</t>
  </si>
  <si>
    <t>6579 Royalton Rd, North Royalton, Ohio, 44133</t>
  </si>
  <si>
    <t>6579 Royalton Rd</t>
  </si>
  <si>
    <t>North Royalton</t>
  </si>
  <si>
    <t>44133</t>
  </si>
  <si>
    <t>Jefferson Area Local</t>
  </si>
  <si>
    <t>121 S Poplar St, Jefferson, Ohio, 44047</t>
  </si>
  <si>
    <t>121 S Poplar St</t>
  </si>
  <si>
    <t>Pandora-Gilboa Local</t>
  </si>
  <si>
    <t>410 Rocket Ridge, Pandora, Ohio, 45877</t>
  </si>
  <si>
    <t>410 Rocket Ridge</t>
  </si>
  <si>
    <t>Pandora</t>
  </si>
  <si>
    <t>45877</t>
  </si>
  <si>
    <t xml:space="preserve">Wadsworth City </t>
  </si>
  <si>
    <t>524 Broad St, Wadsworth, Ohio, 44281</t>
  </si>
  <si>
    <t>524 Broad St</t>
  </si>
  <si>
    <t>Wadsworth</t>
  </si>
  <si>
    <t>44281</t>
  </si>
  <si>
    <t>Western Reserve Local</t>
  </si>
  <si>
    <t>3765 US Rt 20, Collins, Ohio, 44826</t>
  </si>
  <si>
    <t>3765 US Rt 20</t>
  </si>
  <si>
    <t>Collins</t>
  </si>
  <si>
    <t>44826</t>
  </si>
  <si>
    <t>Columbia Local</t>
  </si>
  <si>
    <t>25796 Royalton Rd, Columbia Station, Ohio, 44028</t>
  </si>
  <si>
    <t>25796 Royalton Rd</t>
  </si>
  <si>
    <t>Columbia Station</t>
  </si>
  <si>
    <t>44028</t>
  </si>
  <si>
    <t>Upper Valley JVSD CTPD</t>
  </si>
  <si>
    <t>8811 Career Dr, Piqua, Ohio, 45356</t>
  </si>
  <si>
    <t>8811 Career Dr</t>
  </si>
  <si>
    <t>Lake Shore Compact CTPD</t>
  </si>
  <si>
    <t>Lake</t>
  </si>
  <si>
    <t>6451 Center St, Mentor, Ohio, 44060</t>
  </si>
  <si>
    <t>6451 Center St</t>
  </si>
  <si>
    <t>Mentor</t>
  </si>
  <si>
    <t>44060</t>
  </si>
  <si>
    <t xml:space="preserve">Three Rivers Local </t>
  </si>
  <si>
    <t>401 N Miami Ave, Cleves, Ohio, 45002</t>
  </si>
  <si>
    <t>401 N Miami Ave</t>
  </si>
  <si>
    <t>Cleves</t>
  </si>
  <si>
    <t>45002</t>
  </si>
  <si>
    <t>Hamilton County ESC</t>
  </si>
  <si>
    <t>Tri-County JVSD CTPD</t>
  </si>
  <si>
    <t>Athens</t>
  </si>
  <si>
    <t>15676 State Route 691, Nelsonville, Ohio, 45764</t>
  </si>
  <si>
    <t>15676 State Route 691</t>
  </si>
  <si>
    <t>Nelsonville</t>
  </si>
  <si>
    <t>45764</t>
  </si>
  <si>
    <t>Trimble Local</t>
  </si>
  <si>
    <t>1 Tomcat Dr, Glouster, Ohio, 45732</t>
  </si>
  <si>
    <t>1 Tomcat Dr</t>
  </si>
  <si>
    <t>Glouster</t>
  </si>
  <si>
    <t>45732</t>
  </si>
  <si>
    <t>Athens-Meigs ESC</t>
  </si>
  <si>
    <t>Cuyahoga Heights Local</t>
  </si>
  <si>
    <t>4820 E 71st St, Cuyahoga Heights, Ohio, 44125</t>
  </si>
  <si>
    <t>4820 E 71st St</t>
  </si>
  <si>
    <t>Cuyahoga Heights</t>
  </si>
  <si>
    <t>44125</t>
  </si>
  <si>
    <t>ESC of Northeast Ohio</t>
  </si>
  <si>
    <t>Cardinal Local</t>
  </si>
  <si>
    <t>Geauga</t>
  </si>
  <si>
    <t>15982 E High St, Middlefield, Ohio, 44062</t>
  </si>
  <si>
    <t>15982 E High St</t>
  </si>
  <si>
    <t>Middlefield</t>
  </si>
  <si>
    <t>44062</t>
  </si>
  <si>
    <t>Educational Service Center of the Western Reserve</t>
  </si>
  <si>
    <t>Great Oaks Career Campuses</t>
  </si>
  <si>
    <t>110 Great Oaks Drive, Cincinnati, Ohio, 45241</t>
  </si>
  <si>
    <t>110 Great Oaks Drive</t>
  </si>
  <si>
    <t>45241</t>
  </si>
  <si>
    <t>Sylvania Schools</t>
  </si>
  <si>
    <t>Triway Local</t>
  </si>
  <si>
    <t>3205 Shreve Rd, Wooster, Ohio, 44691</t>
  </si>
  <si>
    <t>3205 Shreve Rd</t>
  </si>
  <si>
    <t>Elyria City Schools</t>
  </si>
  <si>
    <t>42101 Griswold Rd, Elyria, Ohio, 44035</t>
  </si>
  <si>
    <t>42101 Griswold Rd</t>
  </si>
  <si>
    <t>Elyria</t>
  </si>
  <si>
    <t>44035</t>
  </si>
  <si>
    <t>Mechanicsburg Exempted Village</t>
  </si>
  <si>
    <t>60 High St, Mechanicsburg, Ohio, 43044</t>
  </si>
  <si>
    <t>60 High St</t>
  </si>
  <si>
    <t>Mechanicsburg</t>
  </si>
  <si>
    <t>43044</t>
  </si>
  <si>
    <t>Beaver Local</t>
  </si>
  <si>
    <t>Columbiana</t>
  </si>
  <si>
    <t>46088 Bell School Rd, East Liverpool, Ohio, 43920</t>
  </si>
  <si>
    <t>46088 Bell School Rd</t>
  </si>
  <si>
    <t>East Liverpool</t>
  </si>
  <si>
    <t>43920</t>
  </si>
  <si>
    <t>Columbiana County ESC</t>
  </si>
  <si>
    <t>Trotwood-Madison City</t>
  </si>
  <si>
    <t>Montgomery</t>
  </si>
  <si>
    <t>3594 N Snyder Rd, Trotwood, Ohio, 45426</t>
  </si>
  <si>
    <t>3594 N Snyder Rd</t>
  </si>
  <si>
    <t>Trotwood</t>
  </si>
  <si>
    <t>45426</t>
  </si>
  <si>
    <t>Granville Exempted Village</t>
  </si>
  <si>
    <t>130 N Granger St, Granville, Ohio, 43023</t>
  </si>
  <si>
    <t>130 N Granger St</t>
  </si>
  <si>
    <t>Granville</t>
  </si>
  <si>
    <t>43023</t>
  </si>
  <si>
    <t>New Knoxville Local</t>
  </si>
  <si>
    <t>Auglaize</t>
  </si>
  <si>
    <t>345 S Main St, New Knoxville, Ohio, 45871</t>
  </si>
  <si>
    <t>345 S Main St</t>
  </si>
  <si>
    <t>New Knoxville</t>
  </si>
  <si>
    <t>45871</t>
  </si>
  <si>
    <t>Auglaize County ESC</t>
  </si>
  <si>
    <t>Western Brown Local</t>
  </si>
  <si>
    <t>524 W Main St, Mount Orab, Ohio, 45154</t>
  </si>
  <si>
    <t>524 W Main St</t>
  </si>
  <si>
    <t>Mount Orab</t>
  </si>
  <si>
    <t>45154</t>
  </si>
  <si>
    <t>Brown ESC</t>
  </si>
  <si>
    <t>Colonel Crawford Local</t>
  </si>
  <si>
    <t>2303 State Route 602, North Robinson, Ohio, 44827</t>
  </si>
  <si>
    <t>2303 State Route 602</t>
  </si>
  <si>
    <t>North Robinson</t>
  </si>
  <si>
    <t>Mid-Ohio ESC</t>
  </si>
  <si>
    <t>Botkins Local</t>
  </si>
  <si>
    <t>Shelby</t>
  </si>
  <si>
    <t>404 E State St, Botkins, Ohio, 45306</t>
  </si>
  <si>
    <t>404 E State St</t>
  </si>
  <si>
    <t>Botkins</t>
  </si>
  <si>
    <t>45306</t>
  </si>
  <si>
    <t>Kings Local</t>
  </si>
  <si>
    <t>1797 King Ave, Kings Mills, Ohio, 45034</t>
  </si>
  <si>
    <t>1797 King Ave</t>
  </si>
  <si>
    <t>Kings Mills</t>
  </si>
  <si>
    <t>45034</t>
  </si>
  <si>
    <t>Warren County ESC</t>
  </si>
  <si>
    <t>Marietta City</t>
  </si>
  <si>
    <t>111 Academy Dr, Marietta, Ohio, 45750</t>
  </si>
  <si>
    <t>111 Academy Dr</t>
  </si>
  <si>
    <t>Marietta</t>
  </si>
  <si>
    <t>45750</t>
  </si>
  <si>
    <t>Triad Local</t>
  </si>
  <si>
    <t>7920 Brush Lake Road, North Lewisburg, Ohio, 43060</t>
  </si>
  <si>
    <t>7920 Brush Lake Road</t>
  </si>
  <si>
    <t>North Lewisburg</t>
  </si>
  <si>
    <t>43060</t>
  </si>
  <si>
    <t>Madison-Champaign ESC</t>
  </si>
  <si>
    <t>Franklin Monroe Local</t>
  </si>
  <si>
    <t>8639 Oakes Rd, Arcanum, Ohio, 45304</t>
  </si>
  <si>
    <t>8639 Oakes Rd</t>
  </si>
  <si>
    <t>Arcanum</t>
  </si>
  <si>
    <t>45304</t>
  </si>
  <si>
    <t>Reynoldsburg City</t>
  </si>
  <si>
    <t>Franklin</t>
  </si>
  <si>
    <t>7244 E Main St, Reynoldsburg, Ohio, 43068</t>
  </si>
  <si>
    <t>7244 E Main St</t>
  </si>
  <si>
    <t>Reynoldsburg</t>
  </si>
  <si>
    <t>43068</t>
  </si>
  <si>
    <t>Cleveland Catholic Diocese</t>
  </si>
  <si>
    <t>Nonpublic District</t>
  </si>
  <si>
    <t>1404 E Ninth Street, Cleveland, Ohio, 44114</t>
  </si>
  <si>
    <t>1404 E Ninth Street</t>
  </si>
  <si>
    <t>44114</t>
  </si>
  <si>
    <t>Catholic Conference Of Ohio</t>
  </si>
  <si>
    <t xml:space="preserve">Northwest Local </t>
  </si>
  <si>
    <t>3240 Banning Rd, Cincinnati, Ohio, 45239</t>
  </si>
  <si>
    <t>3240 Banning Rd</t>
  </si>
  <si>
    <t>45239</t>
  </si>
  <si>
    <t>Northwood Local Schools</t>
  </si>
  <si>
    <t>700 Lemoyne Rd, Northwood, Ohio, 43619</t>
  </si>
  <si>
    <t>700 Lemoyne Rd</t>
  </si>
  <si>
    <t>Northwood</t>
  </si>
  <si>
    <t>43619</t>
  </si>
  <si>
    <t>Adams County Ohio Valley Local</t>
  </si>
  <si>
    <t>Adams</t>
  </si>
  <si>
    <t>141 Lloyd Rd, West Union, Ohio, 45693</t>
  </si>
  <si>
    <t>141 Lloyd Rd</t>
  </si>
  <si>
    <t>West Union</t>
  </si>
  <si>
    <t>45693</t>
  </si>
  <si>
    <t>Lebanon City</t>
  </si>
  <si>
    <t>160 Miller Rd, Lebanon, Ohio, 45036</t>
  </si>
  <si>
    <t>160 Miller Rd</t>
  </si>
  <si>
    <t>Lebanon</t>
  </si>
  <si>
    <t>45036</t>
  </si>
  <si>
    <t>Wynford Local</t>
  </si>
  <si>
    <t>3288 Holmes Center Rd, Bucyrus, Ohio, 44820</t>
  </si>
  <si>
    <t>3288 Holmes Center Rd</t>
  </si>
  <si>
    <t>Bucyrus</t>
  </si>
  <si>
    <t>44820</t>
  </si>
  <si>
    <t>Berkshire Local</t>
  </si>
  <si>
    <t>14155 Claridon Troy Rd, Burton, Ohio, 44021</t>
  </si>
  <si>
    <t>14155 Claridon Troy Rd</t>
  </si>
  <si>
    <t>Burton</t>
  </si>
  <si>
    <t>44021</t>
  </si>
  <si>
    <t>Cedar Cliff Local</t>
  </si>
  <si>
    <t>Greene</t>
  </si>
  <si>
    <t>248 N Main St, Cedarville, Ohio, 45314</t>
  </si>
  <si>
    <t>248 N Main St</t>
  </si>
  <si>
    <t>Cedarville</t>
  </si>
  <si>
    <t>45314</t>
  </si>
  <si>
    <t>Greene County ESC</t>
  </si>
  <si>
    <t>Indian Creek Local</t>
  </si>
  <si>
    <t>100 Park Dr, Wintersville, Ohio, 43953</t>
  </si>
  <si>
    <t>100 Park Dr</t>
  </si>
  <si>
    <t>Wintersville</t>
  </si>
  <si>
    <t>43953</t>
  </si>
  <si>
    <t>Jefferson County ESC</t>
  </si>
  <si>
    <t xml:space="preserve">Madison Local </t>
  </si>
  <si>
    <t>1956 Red Bird Rd, Madison, Ohio, 44057</t>
  </si>
  <si>
    <t>1956 Red Bird Rd</t>
  </si>
  <si>
    <t>Madison</t>
  </si>
  <si>
    <t>44057</t>
  </si>
  <si>
    <t>Huntington Local</t>
  </si>
  <si>
    <t>188 Huntsman Rd, Chillicothe, Ohio, 45601</t>
  </si>
  <si>
    <t>188 Huntsman Rd</t>
  </si>
  <si>
    <t>Mansfield City</t>
  </si>
  <si>
    <t>Richland</t>
  </si>
  <si>
    <t>856 W Cook Rd, Mansfield, Ohio, 44907</t>
  </si>
  <si>
    <t>856 W Cook Rd</t>
  </si>
  <si>
    <t>Mansfield</t>
  </si>
  <si>
    <t>44907</t>
  </si>
  <si>
    <t>Newark City</t>
  </si>
  <si>
    <t>621 Mount Vernon Rd, Newark, Ohio, 43055</t>
  </si>
  <si>
    <t>621 Mount Vernon Rd</t>
  </si>
  <si>
    <t>Newark</t>
  </si>
  <si>
    <t>43055</t>
  </si>
  <si>
    <t>East Muskingum Local</t>
  </si>
  <si>
    <t>Muskingum</t>
  </si>
  <si>
    <t>13505 John Glenn School Rd, New Concord, Ohio, 43762</t>
  </si>
  <si>
    <t>13505 John Glenn School Rd</t>
  </si>
  <si>
    <t>New Concord</t>
  </si>
  <si>
    <t>43762</t>
  </si>
  <si>
    <t>Wayne Local</t>
  </si>
  <si>
    <t>659 Dayton Rd, Waynesville, Ohio, 45068</t>
  </si>
  <si>
    <t>659 Dayton Rd</t>
  </si>
  <si>
    <t>Waynesville</t>
  </si>
  <si>
    <t>45068</t>
  </si>
  <si>
    <t>Mad River Local CTPD</t>
  </si>
  <si>
    <t>801 Old Harshman Rd, Dayton, Ohio, 45431</t>
  </si>
  <si>
    <t>801 Old Harshman Rd</t>
  </si>
  <si>
    <t>Dayton</t>
  </si>
  <si>
    <t>45431</t>
  </si>
  <si>
    <t>Tri-Rivers JVSD CTPD</t>
  </si>
  <si>
    <t>2222 Marion Mount Gilead Rd, Marion, Ohio, 43302</t>
  </si>
  <si>
    <t>2222 Marion Mount Gilead Rd</t>
  </si>
  <si>
    <t>Warren City</t>
  </si>
  <si>
    <t>105 High Street, Warren, Ohio, 44481</t>
  </si>
  <si>
    <t>105 High Street</t>
  </si>
  <si>
    <t>44481</t>
  </si>
  <si>
    <t>Rossford Exempted Village</t>
  </si>
  <si>
    <t>701 Superior St, Rossford, Ohio, 43460</t>
  </si>
  <si>
    <t>701 Superior St</t>
  </si>
  <si>
    <t>Rossford</t>
  </si>
  <si>
    <t>43460</t>
  </si>
  <si>
    <t>Ripley-Union-Lewis-Huntington Local</t>
  </si>
  <si>
    <t>502 S 2nd St, Ripley, Ohio, 45167</t>
  </si>
  <si>
    <t>502 S 2nd St</t>
  </si>
  <si>
    <t>Ripley</t>
  </si>
  <si>
    <t>45167</t>
  </si>
  <si>
    <t>Graham Local</t>
  </si>
  <si>
    <t>7790 US Highway 36, Saint Paris, Ohio, 43072</t>
  </si>
  <si>
    <t>7790 US Highway 36</t>
  </si>
  <si>
    <t>Saint Paris</t>
  </si>
  <si>
    <t>43072</t>
  </si>
  <si>
    <t>West Holmes Local</t>
  </si>
  <si>
    <t>Holmes</t>
  </si>
  <si>
    <t>28 W Jackson St, Millersburg, Ohio, 44654</t>
  </si>
  <si>
    <t>28 W Jackson St</t>
  </si>
  <si>
    <t>Millersburg</t>
  </si>
  <si>
    <t>44654</t>
  </si>
  <si>
    <t>Tri-County Career Center</t>
  </si>
  <si>
    <t>Lynchburg-Clay Local</t>
  </si>
  <si>
    <t>Highland</t>
  </si>
  <si>
    <t>301 E Pearl St, Lynchburg, Ohio, 45142</t>
  </si>
  <si>
    <t>301 E Pearl St</t>
  </si>
  <si>
    <t>Lynchburg</t>
  </si>
  <si>
    <t>45142</t>
  </si>
  <si>
    <t>Lordstown Local</t>
  </si>
  <si>
    <t>1824 Salt Springs Rd, Warren, Ohio, 44481</t>
  </si>
  <si>
    <t>1824 Salt Springs Rd</t>
  </si>
  <si>
    <t>Maplewood Local</t>
  </si>
  <si>
    <t>2414 Greenville Rd, Cortland, Ohio, 44410</t>
  </si>
  <si>
    <t>2414 Greenville Rd</t>
  </si>
  <si>
    <t>Cortland</t>
  </si>
  <si>
    <t>44410</t>
  </si>
  <si>
    <t>St Bernard-Elmwood Place City</t>
  </si>
  <si>
    <t>105 Washington Ave, Saint Bernard, Ohio, 45217</t>
  </si>
  <si>
    <t>105 Washington Ave</t>
  </si>
  <si>
    <t>Saint Bernard</t>
  </si>
  <si>
    <t>45217</t>
  </si>
  <si>
    <t>Pettisville Local</t>
  </si>
  <si>
    <t>232 Summit St, Pettisville, Ohio, 43553</t>
  </si>
  <si>
    <t>232 Summit St</t>
  </si>
  <si>
    <t>Pettisville</t>
  </si>
  <si>
    <t>43553</t>
  </si>
  <si>
    <t xml:space="preserve">Buckeye Local </t>
  </si>
  <si>
    <t>3044 Columbia Rd, Medina, Ohio, 44256</t>
  </si>
  <si>
    <t>3044 Columbia Rd</t>
  </si>
  <si>
    <t>Aurora City</t>
  </si>
  <si>
    <t>102 E Garfield Rd, Aurora, Ohio, 44202</t>
  </si>
  <si>
    <t>102 E Garfield Rd</t>
  </si>
  <si>
    <t>Aurora</t>
  </si>
  <si>
    <t>44202</t>
  </si>
  <si>
    <t>Zane Trace Local</t>
  </si>
  <si>
    <t>946 State Route 180, Chillicothe, Ohio, 45601</t>
  </si>
  <si>
    <t>946 State Route 180</t>
  </si>
  <si>
    <t>Eaton Community City</t>
  </si>
  <si>
    <t>306 Eaton Lewisburg Rd, Eaton, Ohio, 45320</t>
  </si>
  <si>
    <t>306 Eaton Lewisburg Rd</t>
  </si>
  <si>
    <t>Eaton</t>
  </si>
  <si>
    <t>45320</t>
  </si>
  <si>
    <t>Perkins Local</t>
  </si>
  <si>
    <t>Erie</t>
  </si>
  <si>
    <t>3714 Campbell St Ste B, Sandusky, Ohio, 44870</t>
  </si>
  <si>
    <t>3714 Campbell St Ste B</t>
  </si>
  <si>
    <t>44870</t>
  </si>
  <si>
    <t>Cuyahoga Valley JVSD CTPD</t>
  </si>
  <si>
    <t>8001 Brecksville Rd, Brecksville, Ohio, 44141</t>
  </si>
  <si>
    <t>8001 Brecksville Rd</t>
  </si>
  <si>
    <t>Ohio Hi-Point JVSD CTPD</t>
  </si>
  <si>
    <t>2280 State Route 540, Bellefontaine, Ohio, 43311</t>
  </si>
  <si>
    <t>2280 State Route 540</t>
  </si>
  <si>
    <t>Bellefontaine</t>
  </si>
  <si>
    <t>43311</t>
  </si>
  <si>
    <t>Willoughby-Eastlake City</t>
  </si>
  <si>
    <t>35353 Curtis Blvd, Eastlake, Ohio, 44095</t>
  </si>
  <si>
    <t>35353 Curtis Blvd</t>
  </si>
  <si>
    <t>Eastlake</t>
  </si>
  <si>
    <t>44095</t>
  </si>
  <si>
    <t>Northeastern Local</t>
  </si>
  <si>
    <t>Clark</t>
  </si>
  <si>
    <t>1414 Bowman Rd, Springfield, Ohio, 45502</t>
  </si>
  <si>
    <t>1414 Bowman Rd</t>
  </si>
  <si>
    <t>Springfield</t>
  </si>
  <si>
    <t>45502</t>
  </si>
  <si>
    <t>Clark County ESC</t>
  </si>
  <si>
    <t>Dayton City CTPD</t>
  </si>
  <si>
    <t>115 S Ludlow St, Dayton, Ohio, 45402</t>
  </si>
  <si>
    <t>115 S Ludlow St</t>
  </si>
  <si>
    <t>45402</t>
  </si>
  <si>
    <t>Miamisburg City</t>
  </si>
  <si>
    <t>540 E Park Ave, Miamisburg, Ohio, 45342</t>
  </si>
  <si>
    <t>540 E Park Ave</t>
  </si>
  <si>
    <t>Miamisburg</t>
  </si>
  <si>
    <t>45342</t>
  </si>
  <si>
    <t>Independence Local</t>
  </si>
  <si>
    <t>7733 Stone Rd, Independence, Ohio, 44131</t>
  </si>
  <si>
    <t>7733 Stone Rd</t>
  </si>
  <si>
    <t>Independence</t>
  </si>
  <si>
    <t>44131</t>
  </si>
  <si>
    <t>Six District Voc Ed Compact CTPD</t>
  </si>
  <si>
    <t>2400 Hudson Aurora Rd, Hudson, Ohio, 44236</t>
  </si>
  <si>
    <t>2400 Hudson Aurora Rd</t>
  </si>
  <si>
    <t>Hudson</t>
  </si>
  <si>
    <t>44236</t>
  </si>
  <si>
    <t>Russia Local</t>
  </si>
  <si>
    <t>100 School St, Russia, Ohio, 45363</t>
  </si>
  <si>
    <t>100 School St</t>
  </si>
  <si>
    <t>Russia</t>
  </si>
  <si>
    <t>45363</t>
  </si>
  <si>
    <t>Otsego Local</t>
  </si>
  <si>
    <t>18505 Tontogany Creek Rd Ste 1, Bowling Green, Ohio, 43402</t>
  </si>
  <si>
    <t>18505 Tontogany Creek Rd Ste 1</t>
  </si>
  <si>
    <t>Bowling Green</t>
  </si>
  <si>
    <t>43402</t>
  </si>
  <si>
    <t>Medina County JVSD CTPD</t>
  </si>
  <si>
    <t>1101 W Liberty St, Medina, Ohio, 44256</t>
  </si>
  <si>
    <t>1101 W Liberty St</t>
  </si>
  <si>
    <t>Fairport Harbor Exempted Village</t>
  </si>
  <si>
    <t>329 Vine St, Fairport Harbor, Ohio, 44077</t>
  </si>
  <si>
    <t>329 Vine St</t>
  </si>
  <si>
    <t>Fairport Harbor</t>
  </si>
  <si>
    <t>44077</t>
  </si>
  <si>
    <t>McComb Local</t>
  </si>
  <si>
    <t>Hancock</t>
  </si>
  <si>
    <t>328 S Todd St, McComb, Ohio, 45858</t>
  </si>
  <si>
    <t>328 S Todd St</t>
  </si>
  <si>
    <t>McComb</t>
  </si>
  <si>
    <t>45858</t>
  </si>
  <si>
    <t>Hancock County ESC</t>
  </si>
  <si>
    <t>Plymouth-Shiloh Local</t>
  </si>
  <si>
    <t>365 Sandusky St, Plymouth, Ohio, 44865</t>
  </si>
  <si>
    <t>365 Sandusky St</t>
  </si>
  <si>
    <t>Plymouth</t>
  </si>
  <si>
    <t>44865</t>
  </si>
  <si>
    <t>Pioneer Career &amp; Technology</t>
  </si>
  <si>
    <t>27 Ryan Rd, Shelby, Ohio, 44875</t>
  </si>
  <si>
    <t>27 Ryan Rd</t>
  </si>
  <si>
    <t>44875</t>
  </si>
  <si>
    <t>Delaware County JVSD CTPD</t>
  </si>
  <si>
    <t>4565 Columbus Pike, Delaware, Ohio, 43015</t>
  </si>
  <si>
    <t>4565 Columbus Pike</t>
  </si>
  <si>
    <t>Maple Heights City</t>
  </si>
  <si>
    <t>5740 Lawn Ave, Maple Heights, Ohio, 44137</t>
  </si>
  <si>
    <t>5740 Lawn Ave</t>
  </si>
  <si>
    <t>Maple Heights</t>
  </si>
  <si>
    <t>44137</t>
  </si>
  <si>
    <t>Eastern Local School District</t>
  </si>
  <si>
    <t>11479 Us Highway 62, Winchester, Ohio, 45697</t>
  </si>
  <si>
    <t>11479 Us Highway 62</t>
  </si>
  <si>
    <t>Winchester</t>
  </si>
  <si>
    <t>45697</t>
  </si>
  <si>
    <t>Crestwood Local</t>
  </si>
  <si>
    <t>10880 John Edward Dr, Mantua, Ohio, 44255</t>
  </si>
  <si>
    <t>10880 John Edward Dr</t>
  </si>
  <si>
    <t>Mantua</t>
  </si>
  <si>
    <t>44255</t>
  </si>
  <si>
    <t>Loudonville-Perrysville Exempted Village</t>
  </si>
  <si>
    <t>Ashland</t>
  </si>
  <si>
    <t>210 E Main St, Loudonville, Ohio, 44842</t>
  </si>
  <si>
    <t>210 E Main St</t>
  </si>
  <si>
    <t>Loudonville</t>
  </si>
  <si>
    <t>44842</t>
  </si>
  <si>
    <t xml:space="preserve">Gallipolis City </t>
  </si>
  <si>
    <t>Gallia</t>
  </si>
  <si>
    <t>61 State St, Gallipolis, Ohio, 45631</t>
  </si>
  <si>
    <t>61 State St</t>
  </si>
  <si>
    <t>Gallipolis</t>
  </si>
  <si>
    <t>45631</t>
  </si>
  <si>
    <t>Mad River Local</t>
  </si>
  <si>
    <t>Montgomery County ESC</t>
  </si>
  <si>
    <t>Cleveland Lutheran Hs Assoc</t>
  </si>
  <si>
    <t>3870 Linden Rd, Rocky River, Ohio, 44116</t>
  </si>
  <si>
    <t>3870 Linden Rd</t>
  </si>
  <si>
    <t>Rocky River</t>
  </si>
  <si>
    <t>44116</t>
  </si>
  <si>
    <t>Painesville City Local</t>
  </si>
  <si>
    <t>58 Jefferson St, Painesville, Ohio, 44077</t>
  </si>
  <si>
    <t>58 Jefferson St</t>
  </si>
  <si>
    <t>Painesville</t>
  </si>
  <si>
    <t>Ridgemont Local</t>
  </si>
  <si>
    <t>Hardin</t>
  </si>
  <si>
    <t>560 Taylor St W, Mount Victory, Ohio, 43340</t>
  </si>
  <si>
    <t>560 Taylor St W</t>
  </si>
  <si>
    <t>Mount Victory</t>
  </si>
  <si>
    <t>43340</t>
  </si>
  <si>
    <t>Nordonia Hills City</t>
  </si>
  <si>
    <t>9370 Olde Eight Rd, Northfield, Ohio, 44067</t>
  </si>
  <si>
    <t>9370 Olde Eight Rd</t>
  </si>
  <si>
    <t>Northfield</t>
  </si>
  <si>
    <t>44067</t>
  </si>
  <si>
    <t>West Tech Prep Regional Center</t>
  </si>
  <si>
    <t>444 W 3rd St Bldg 6 Rm 130, Dayton, Ohio, 45402</t>
  </si>
  <si>
    <t>444 W 3rd St Bldg 6 Rm 130</t>
  </si>
  <si>
    <t>Springfield-Clark County JVSD CTPD</t>
  </si>
  <si>
    <t>1901 Selma Rd, Springfield, Ohio, 45505</t>
  </si>
  <si>
    <t>1901 Selma Rd</t>
  </si>
  <si>
    <t>45505</t>
  </si>
  <si>
    <t>Northwestern Local</t>
  </si>
  <si>
    <t>7571 N Elyria Rd, West Salem, Ohio, 44287</t>
  </si>
  <si>
    <t>7571 N Elyria Rd</t>
  </si>
  <si>
    <t>West Salem</t>
  </si>
  <si>
    <t>44287</t>
  </si>
  <si>
    <t>Knox County JVSD CTPD</t>
  </si>
  <si>
    <t>Knox</t>
  </si>
  <si>
    <t>306 Martinsburg Rd, Mount Vernon, Ohio, 43050</t>
  </si>
  <si>
    <t>306 Martinsburg Rd</t>
  </si>
  <si>
    <t>Mount Vernon</t>
  </si>
  <si>
    <t>43050</t>
  </si>
  <si>
    <t>Brunswick City</t>
  </si>
  <si>
    <t>3643 Center Rd, Brunswick, Ohio, 44212</t>
  </si>
  <si>
    <t>3643 Center Rd</t>
  </si>
  <si>
    <t>Brunswick</t>
  </si>
  <si>
    <t>44212</t>
  </si>
  <si>
    <t>Finneytown Local</t>
  </si>
  <si>
    <t>8916 Fontainebleau Ter, Cincinnati, Ohio, 45231</t>
  </si>
  <si>
    <t>8916 Fontainebleau Ter</t>
  </si>
  <si>
    <t>45231</t>
  </si>
  <si>
    <t>1170 Tile Mill Rd, Beaver, Ohio, 45613</t>
  </si>
  <si>
    <t>1170 Tile Mill Rd</t>
  </si>
  <si>
    <t>Beaver</t>
  </si>
  <si>
    <t>45613</t>
  </si>
  <si>
    <t>Lucas Local</t>
  </si>
  <si>
    <t>84 Lucas North Rd, Lucas, Ohio, 44843</t>
  </si>
  <si>
    <t>84 Lucas North Rd</t>
  </si>
  <si>
    <t>44843</t>
  </si>
  <si>
    <t>Springfield-Clark County</t>
  </si>
  <si>
    <t>Maysville Local</t>
  </si>
  <si>
    <t>3715 Panther Dr, Zanesville, Ohio, 43701</t>
  </si>
  <si>
    <t>3715 Panther Dr</t>
  </si>
  <si>
    <t>Zanesville</t>
  </si>
  <si>
    <t>43701</t>
  </si>
  <si>
    <t>Clear Fork Valley Local</t>
  </si>
  <si>
    <t>211 School St, Bellville, Ohio, 44813</t>
  </si>
  <si>
    <t>211 School St</t>
  </si>
  <si>
    <t>Bellville</t>
  </si>
  <si>
    <t>44813</t>
  </si>
  <si>
    <t>Knox County ESC</t>
  </si>
  <si>
    <t>Carlisle Local</t>
  </si>
  <si>
    <t>230 Jamaica Rd, Carlisle, Ohio, 45005</t>
  </si>
  <si>
    <t>230 Jamaica Rd</t>
  </si>
  <si>
    <t>Carlisle</t>
  </si>
  <si>
    <t>45005</t>
  </si>
  <si>
    <t>Lorain County JVSD CTPD</t>
  </si>
  <si>
    <t>Penta County JVSD CTPD</t>
  </si>
  <si>
    <t>9301 Buck Rd, Perrysburg, Ohio, 43551</t>
  </si>
  <si>
    <t>9301 Buck Rd</t>
  </si>
  <si>
    <t>Perrysburg</t>
  </si>
  <si>
    <t>43551</t>
  </si>
  <si>
    <t>New Boston Local</t>
  </si>
  <si>
    <t>#1 Glenwood Tiger Trail, New Boston, Ohio, 45662</t>
  </si>
  <si>
    <t>#1 Glenwood Tiger Trail</t>
  </si>
  <si>
    <t>New Boston</t>
  </si>
  <si>
    <t>Reading Community City</t>
  </si>
  <si>
    <t>810 E Columbia Ave, Reading, Ohio, 45215</t>
  </si>
  <si>
    <t>810 E Columbia Ave</t>
  </si>
  <si>
    <t>Reading</t>
  </si>
  <si>
    <t>45215</t>
  </si>
  <si>
    <t>Wellsville Local</t>
  </si>
  <si>
    <t>929 Center St, Wellsville, Ohio, 43968</t>
  </si>
  <si>
    <t>929 Center St</t>
  </si>
  <si>
    <t>Wellsville</t>
  </si>
  <si>
    <t>43968</t>
  </si>
  <si>
    <t>Woodmore Local</t>
  </si>
  <si>
    <t>349 Rice St, Elmore, Ohio, 43416</t>
  </si>
  <si>
    <t>349 Rice St</t>
  </si>
  <si>
    <t>Elmore</t>
  </si>
  <si>
    <t>43416</t>
  </si>
  <si>
    <t>Meigs Local CTPD</t>
  </si>
  <si>
    <t>Meigs</t>
  </si>
  <si>
    <t>41765 Pomeroy Pike, Pomeroy, Ohio, 45769</t>
  </si>
  <si>
    <t>41765 Pomeroy Pike</t>
  </si>
  <si>
    <t>Pomeroy</t>
  </si>
  <si>
    <t>45769</t>
  </si>
  <si>
    <t>Hamilton City</t>
  </si>
  <si>
    <t>533 Dayton St, Hamilton, Ohio, 45011</t>
  </si>
  <si>
    <t>533 Dayton St</t>
  </si>
  <si>
    <t>Massillon City</t>
  </si>
  <si>
    <t>930 17th St NE, Massillon, Ohio, 44646</t>
  </si>
  <si>
    <t>930 17th St NE</t>
  </si>
  <si>
    <t>Massillon</t>
  </si>
  <si>
    <t>44646</t>
  </si>
  <si>
    <t>Bridgeport Exempted Village</t>
  </si>
  <si>
    <t>55781 National Rd, Bridgeport, Ohio, 43912</t>
  </si>
  <si>
    <t>55781 National Rd</t>
  </si>
  <si>
    <t>Bridgeport</t>
  </si>
  <si>
    <t>43912</t>
  </si>
  <si>
    <t>Four City Compact CTPD</t>
  </si>
  <si>
    <t>Dayton City</t>
  </si>
  <si>
    <t>136 S Ludlow St, Dayton, Ohio, 45402</t>
  </si>
  <si>
    <t>136 S Ludlow St</t>
  </si>
  <si>
    <t>Dover City</t>
  </si>
  <si>
    <t>228 W 6th St, Dover, Ohio, 44622</t>
  </si>
  <si>
    <t>228 W 6th St</t>
  </si>
  <si>
    <t>Dover</t>
  </si>
  <si>
    <t>44622</t>
  </si>
  <si>
    <t>Oberlin City Schools</t>
  </si>
  <si>
    <t>153 N Main St, Oberlin, Ohio, 44074</t>
  </si>
  <si>
    <t>153 N Main St</t>
  </si>
  <si>
    <t>Fairless Local</t>
  </si>
  <si>
    <t>800 7th St SE, Brewster, Ohio, 44613</t>
  </si>
  <si>
    <t>800 7th St SE</t>
  </si>
  <si>
    <t>Brewster</t>
  </si>
  <si>
    <t>44613</t>
  </si>
  <si>
    <t>Amherst Exempted Village</t>
  </si>
  <si>
    <t>550 Milan Ave, Amherst, Ohio, 44001</t>
  </si>
  <si>
    <t>550 Milan Ave</t>
  </si>
  <si>
    <t>Amherst</t>
  </si>
  <si>
    <t>44001</t>
  </si>
  <si>
    <t>Warren County Vocational School</t>
  </si>
  <si>
    <t>3525 N State Route 48, Lebanon, Ohio, 45036</t>
  </si>
  <si>
    <t>3525 N State Route 48</t>
  </si>
  <si>
    <t>Kent City</t>
  </si>
  <si>
    <t>321 N Depeyster St, Kent, Ohio, 44240</t>
  </si>
  <si>
    <t>321 N Depeyster St</t>
  </si>
  <si>
    <t>Kent</t>
  </si>
  <si>
    <t>44240</t>
  </si>
  <si>
    <t>Upper Arlington City</t>
  </si>
  <si>
    <t>1619 Zollinger Rd, Upper Arlington, Ohio, 43221</t>
  </si>
  <si>
    <t>1619 Zollinger Rd</t>
  </si>
  <si>
    <t>Upper Arlington</t>
  </si>
  <si>
    <t>43221</t>
  </si>
  <si>
    <t>Van Wert City</t>
  </si>
  <si>
    <t>Van Wert</t>
  </si>
  <si>
    <t>205 W Crawford St, Van Wert, Ohio, 45891</t>
  </si>
  <si>
    <t>205 W Crawford St</t>
  </si>
  <si>
    <t>45891</t>
  </si>
  <si>
    <t>Licking Heights Local</t>
  </si>
  <si>
    <t>6539 Summit Rd SW, Pataskala, Ohio, 43062</t>
  </si>
  <si>
    <t>6539 Summit Rd SW</t>
  </si>
  <si>
    <t>Pataskala</t>
  </si>
  <si>
    <t>43062</t>
  </si>
  <si>
    <t>ESC of Central Ohio</t>
  </si>
  <si>
    <t>Clearview Local</t>
  </si>
  <si>
    <t>4700 Broadway, Lorain, Ohio, 44052</t>
  </si>
  <si>
    <t>4700 Broadway</t>
  </si>
  <si>
    <t>44052</t>
  </si>
  <si>
    <t>Hardin-Houston Local</t>
  </si>
  <si>
    <t>5300 Houston Rd, Houston, Ohio, 45333</t>
  </si>
  <si>
    <t>5300 Houston Rd</t>
  </si>
  <si>
    <t>Houston</t>
  </si>
  <si>
    <t>45333</t>
  </si>
  <si>
    <t xml:space="preserve">Portage Lakes </t>
  </si>
  <si>
    <t>West Clermont Local</t>
  </si>
  <si>
    <t>Clermont</t>
  </si>
  <si>
    <t>4350 Aicholtz Rd, Cincinnati, Ohio, 45245</t>
  </si>
  <si>
    <t>4350 Aicholtz Rd</t>
  </si>
  <si>
    <t>45245</t>
  </si>
  <si>
    <t>Clermont County ESC</t>
  </si>
  <si>
    <t>Kenston Local</t>
  </si>
  <si>
    <t>17419 Snyder Rd, Chagrin Falls, Ohio, 44023</t>
  </si>
  <si>
    <t>17419 Snyder Rd</t>
  </si>
  <si>
    <t>Chagrin Falls</t>
  </si>
  <si>
    <t>44023</t>
  </si>
  <si>
    <t>Four County JVSD CTPD</t>
  </si>
  <si>
    <t>East Clinton Local</t>
  </si>
  <si>
    <t>97 Astro Way, Sabina, Ohio, 45169</t>
  </si>
  <si>
    <t>97 Astro Way</t>
  </si>
  <si>
    <t>Sabina</t>
  </si>
  <si>
    <t>45169</t>
  </si>
  <si>
    <t>6899 State Highway 150, Dillonvale, Ohio, 43917</t>
  </si>
  <si>
    <t>6899 State Highway 150</t>
  </si>
  <si>
    <t>Dillonvale</t>
  </si>
  <si>
    <t>43917</t>
  </si>
  <si>
    <t>Poland Local</t>
  </si>
  <si>
    <t>3030 Dobbins Rd, Poland, Ohio, 44514</t>
  </si>
  <si>
    <t>3030 Dobbins Rd</t>
  </si>
  <si>
    <t>Poland</t>
  </si>
  <si>
    <t>44514</t>
  </si>
  <si>
    <t>South Range Local</t>
  </si>
  <si>
    <t>11300 Columbiana Canfield Rd Ste B, Canfield, Ohio, 44406</t>
  </si>
  <si>
    <t>11300 Columbiana Canfield Rd Ste B</t>
  </si>
  <si>
    <t>Canfield</t>
  </si>
  <si>
    <t>44406</t>
  </si>
  <si>
    <t>Upper Valley Career Center</t>
  </si>
  <si>
    <t>Columbiana County JVSD CTPD</t>
  </si>
  <si>
    <t>9364 State Route 45, Lisbon, Ohio, 44432</t>
  </si>
  <si>
    <t>9364 State Route 45</t>
  </si>
  <si>
    <t>Lisbon</t>
  </si>
  <si>
    <t>44432</t>
  </si>
  <si>
    <t>Trumbull County JVSD CTPD</t>
  </si>
  <si>
    <t>Eastland-Fairfield Career &amp; Technical Schools</t>
  </si>
  <si>
    <t>4300 Amalgamated Pl, Groveport, Ohio, 43125</t>
  </si>
  <si>
    <t>4300 Amalgamated Pl</t>
  </si>
  <si>
    <t>Groveport</t>
  </si>
  <si>
    <t>43125</t>
  </si>
  <si>
    <t>Lockland Local</t>
  </si>
  <si>
    <t>210 N Cooper Ave, Cincinnati, Ohio, 45215</t>
  </si>
  <si>
    <t>210 N Cooper Ave</t>
  </si>
  <si>
    <t>Felicity-Franklin Local</t>
  </si>
  <si>
    <t>105 Market St, Felicity, Ohio, 45120</t>
  </si>
  <si>
    <t>105 Market St</t>
  </si>
  <si>
    <t>Felicity</t>
  </si>
  <si>
    <t>45120</t>
  </si>
  <si>
    <t>Mathews Local</t>
  </si>
  <si>
    <t>4096 Cadwallader Sonk Rd, Cortland, Ohio, 44410</t>
  </si>
  <si>
    <t>4096 Cadwallader Sonk Rd</t>
  </si>
  <si>
    <t>Howland Local</t>
  </si>
  <si>
    <t>8200 South St SE, Warren, Ohio, 44484</t>
  </si>
  <si>
    <t>8200 South St SE</t>
  </si>
  <si>
    <t>44484</t>
  </si>
  <si>
    <t>Morgan Local CTPD</t>
  </si>
  <si>
    <t>Morgan</t>
  </si>
  <si>
    <t>65 W Union Ave, Mc Connelsville, Ohio, 43756</t>
  </si>
  <si>
    <t>65 W Union Ave</t>
  </si>
  <si>
    <t>Mc Connelsville</t>
  </si>
  <si>
    <t>43756</t>
  </si>
  <si>
    <t>Athens City</t>
  </si>
  <si>
    <t>21 Birge Dr, Chauncey, Ohio, 45719</t>
  </si>
  <si>
    <t>21 Birge Dr</t>
  </si>
  <si>
    <t>Chauncey</t>
  </si>
  <si>
    <t>45719</t>
  </si>
  <si>
    <t>East Liverpool City CTPD</t>
  </si>
  <si>
    <t>810 W 8th St, East Liverpool, Ohio, 43920</t>
  </si>
  <si>
    <t>810 W 8th St</t>
  </si>
  <si>
    <t>Milford Exempted Village</t>
  </si>
  <si>
    <t>1099 State Route 131, Milford, Ohio, 45150</t>
  </si>
  <si>
    <t>1099 State Route 131</t>
  </si>
  <si>
    <t>Milford</t>
  </si>
  <si>
    <t>45150</t>
  </si>
  <si>
    <t>Montpelier Exempted Village</t>
  </si>
  <si>
    <t>Williams</t>
  </si>
  <si>
    <t>1015 E Brown Rd, Montpelier, Ohio, 43543</t>
  </si>
  <si>
    <t>1015 E Brown Rd</t>
  </si>
  <si>
    <t>Montpelier</t>
  </si>
  <si>
    <t>43543</t>
  </si>
  <si>
    <t>Fairfield Local</t>
  </si>
  <si>
    <t>11611 State Route 771, Leesburg, Ohio, 45135</t>
  </si>
  <si>
    <t>11611 State Route 771</t>
  </si>
  <si>
    <t>Leesburg</t>
  </si>
  <si>
    <t>45135</t>
  </si>
  <si>
    <t xml:space="preserve">Danville Local </t>
  </si>
  <si>
    <t>405 Market St, Danville, Ohio, 43014</t>
  </si>
  <si>
    <t>405 Market St</t>
  </si>
  <si>
    <t>Danville</t>
  </si>
  <si>
    <t>43014</t>
  </si>
  <si>
    <t>South-Western City</t>
  </si>
  <si>
    <t>3805 Marlane Dr, Grove City, Ohio, 43123</t>
  </si>
  <si>
    <t>3805 Marlane Dr</t>
  </si>
  <si>
    <t>Grove City</t>
  </si>
  <si>
    <t>43123</t>
  </si>
  <si>
    <t>Canfield Local</t>
  </si>
  <si>
    <t>100 Wadsworth St, Canfield, Ohio, 44406</t>
  </si>
  <si>
    <t>100 Wadsworth St</t>
  </si>
  <si>
    <t>Ashtabula Area City</t>
  </si>
  <si>
    <t>6610 Sanborn Rd, Ashtabula, Ohio, 44004</t>
  </si>
  <si>
    <t>6610 Sanborn Rd</t>
  </si>
  <si>
    <t>Waterloo Local</t>
  </si>
  <si>
    <t>1464 Industry Rd, Atwater, Ohio, 44201</t>
  </si>
  <si>
    <t>1464 Industry Rd</t>
  </si>
  <si>
    <t>Atwater</t>
  </si>
  <si>
    <t>44201</t>
  </si>
  <si>
    <t>Avon Lake City</t>
  </si>
  <si>
    <t>175 Avon Belden Rd, Avon Lake, Ohio, 44012</t>
  </si>
  <si>
    <t>175 Avon Belden Rd</t>
  </si>
  <si>
    <t>Avon Lake</t>
  </si>
  <si>
    <t>44012</t>
  </si>
  <si>
    <t>Southeast Tech Prep Regional Center</t>
  </si>
  <si>
    <t>7077 Glenn Hwy, Cambridge, Ohio, 43725</t>
  </si>
  <si>
    <t>7077 Glenn Hwy</t>
  </si>
  <si>
    <t>Cambridge</t>
  </si>
  <si>
    <t>43725</t>
  </si>
  <si>
    <t>Mid-East Ohio JVSD CTPD</t>
  </si>
  <si>
    <t>400 Richards Rd, Zanesville, Ohio, 43701</t>
  </si>
  <si>
    <t>400 Richards Rd</t>
  </si>
  <si>
    <t>Warren County JVSD CTPD</t>
  </si>
  <si>
    <t>North College Hill City</t>
  </si>
  <si>
    <t>1731 Goodman Ave, Cincinnati, Ohio, 45239</t>
  </si>
  <si>
    <t>1731 Goodman Ave</t>
  </si>
  <si>
    <t>Union Local</t>
  </si>
  <si>
    <t>66779 Belmont Morristown Rd, Belmont, Ohio, 43718</t>
  </si>
  <si>
    <t>66779 Belmont Morristown Rd</t>
  </si>
  <si>
    <t>43718</t>
  </si>
  <si>
    <t>East Central Ohio ESC</t>
  </si>
  <si>
    <t>Vanlue Local</t>
  </si>
  <si>
    <t>301 S East St, Vanlue, Ohio, 45890</t>
  </si>
  <si>
    <t>301 S East St</t>
  </si>
  <si>
    <t>Vanlue</t>
  </si>
  <si>
    <t>45890</t>
  </si>
  <si>
    <t>Middletown City</t>
  </si>
  <si>
    <t>1 Donham Plz 4th Fl, Middletown, Ohio, 45042</t>
  </si>
  <si>
    <t>1 Donham Plz 4th Fl</t>
  </si>
  <si>
    <t>Middletown</t>
  </si>
  <si>
    <t>45042</t>
  </si>
  <si>
    <t>Wapakoneta City</t>
  </si>
  <si>
    <t>1102 Gardenia Dr, Wapakoneta, Ohio, 45895</t>
  </si>
  <si>
    <t>1102 Gardenia Dr</t>
  </si>
  <si>
    <t>Wapakoneta</t>
  </si>
  <si>
    <t>45895</t>
  </si>
  <si>
    <t>Harrison Hills City</t>
  </si>
  <si>
    <t>Harrison</t>
  </si>
  <si>
    <t>100 Huskies Way, Cadiz, Ohio, 43907</t>
  </si>
  <si>
    <t>100 Huskies Way</t>
  </si>
  <si>
    <t>Cadiz</t>
  </si>
  <si>
    <t>43907</t>
  </si>
  <si>
    <t>Bath Local</t>
  </si>
  <si>
    <t>Allen</t>
  </si>
  <si>
    <t>2650 Bible Rd, Lima, Ohio, 45801</t>
  </si>
  <si>
    <t>2650 Bible Rd</t>
  </si>
  <si>
    <t>Lima</t>
  </si>
  <si>
    <t>45801</t>
  </si>
  <si>
    <t>Allen County ESC</t>
  </si>
  <si>
    <t xml:space="preserve">Franklin Local </t>
  </si>
  <si>
    <t>360 Cedar St, Duncan Falls, Ohio, 43734</t>
  </si>
  <si>
    <t>360 Cedar St</t>
  </si>
  <si>
    <t>Duncan Falls</t>
  </si>
  <si>
    <t>43734</t>
  </si>
  <si>
    <t>Nelsonville-York City</t>
  </si>
  <si>
    <t>2 Buckeye Dr, Nelsonville, Ohio, 45764</t>
  </si>
  <si>
    <t>2 Buckeye Dr</t>
  </si>
  <si>
    <t>Stow-Munroe Falls City School District</t>
  </si>
  <si>
    <t>4350 Allen Rd, Stow, Ohio, 44224</t>
  </si>
  <si>
    <t>4350 Allen Rd</t>
  </si>
  <si>
    <t>Stow</t>
  </si>
  <si>
    <t>44224</t>
  </si>
  <si>
    <t>Youngstown City</t>
  </si>
  <si>
    <t>20 W Wood St, Youngstown, Ohio, 44503</t>
  </si>
  <si>
    <t>20 W Wood St</t>
  </si>
  <si>
    <t>Youngstown</t>
  </si>
  <si>
    <t>44503</t>
  </si>
  <si>
    <t>Southeastern Local</t>
  </si>
  <si>
    <t>226 Clifton Rd, South Charleston, Ohio, 45368</t>
  </si>
  <si>
    <t>226 Clifton Rd</t>
  </si>
  <si>
    <t>South Charleston</t>
  </si>
  <si>
    <t>45368</t>
  </si>
  <si>
    <t>Waverly City</t>
  </si>
  <si>
    <t>1 Tiger Dr, Waverly, Ohio, 45690</t>
  </si>
  <si>
    <t>1 Tiger Dr</t>
  </si>
  <si>
    <t>Waverly</t>
  </si>
  <si>
    <t>45690</t>
  </si>
  <si>
    <t>Delaware Area Career Center</t>
  </si>
  <si>
    <t>Crestview Local</t>
  </si>
  <si>
    <t>531 E Tully St, Convoy, Ohio, 45832</t>
  </si>
  <si>
    <t>531 E Tully St</t>
  </si>
  <si>
    <t>Convoy</t>
  </si>
  <si>
    <t>45832</t>
  </si>
  <si>
    <t>East Cleveland City CTPD</t>
  </si>
  <si>
    <t>1843 Stanwood Rd, East Cleveland, Ohio, 44112</t>
  </si>
  <si>
    <t>1843 Stanwood Rd</t>
  </si>
  <si>
    <t>East Cleveland</t>
  </si>
  <si>
    <t>44112</t>
  </si>
  <si>
    <t>Switzerland of Ohio Local CTPD</t>
  </si>
  <si>
    <t>Monroe</t>
  </si>
  <si>
    <t>304 Mill St, Woodsfield, Ohio, 43793</t>
  </si>
  <si>
    <t>304 Mill St</t>
  </si>
  <si>
    <t>Woodsfield</t>
  </si>
  <si>
    <t>43793</t>
  </si>
  <si>
    <t>Belpre City</t>
  </si>
  <si>
    <t>2014 Rockland Ave, Belpre, Ohio, 45714</t>
  </si>
  <si>
    <t>2014 Rockland Ave</t>
  </si>
  <si>
    <t>Belpre</t>
  </si>
  <si>
    <t>45714</t>
  </si>
  <si>
    <t>Huber Heights City</t>
  </si>
  <si>
    <t>5954 Longford Rd, Huber Heights, Ohio, 45424</t>
  </si>
  <si>
    <t>5954 Longford Rd</t>
  </si>
  <si>
    <t>Huber Heights</t>
  </si>
  <si>
    <t>45424</t>
  </si>
  <si>
    <t>Eastwood Local</t>
  </si>
  <si>
    <t>120 E College Ave, Pemberville, Ohio, 43450</t>
  </si>
  <si>
    <t>120 E College Ave</t>
  </si>
  <si>
    <t>Pemberville</t>
  </si>
  <si>
    <t>43450</t>
  </si>
  <si>
    <t>East Knox Local</t>
  </si>
  <si>
    <t>23201 Coshocton Rd, Howard, Ohio, 43028</t>
  </si>
  <si>
    <t>23201 Coshocton Rd</t>
  </si>
  <si>
    <t>Howard</t>
  </si>
  <si>
    <t>43028</t>
  </si>
  <si>
    <t>Meigs Local</t>
  </si>
  <si>
    <t>Washington County Career Center District</t>
  </si>
  <si>
    <t>21740 State Route 676, Marietta, Ohio, 45750</t>
  </si>
  <si>
    <t>21740 State Route 676</t>
  </si>
  <si>
    <t>Lakewood City</t>
  </si>
  <si>
    <t>13701 Lake Ave, Lakewood, Ohio, 44107</t>
  </si>
  <si>
    <t>13701 Lake Ave</t>
  </si>
  <si>
    <t>Lakewood</t>
  </si>
  <si>
    <t>44107</t>
  </si>
  <si>
    <t xml:space="preserve">Arcanum-Butler Local </t>
  </si>
  <si>
    <t>2011 Trojan Ave, Arcanum, Ohio, 45304</t>
  </si>
  <si>
    <t>2011 Trojan Ave</t>
  </si>
  <si>
    <t>Dalton Local</t>
  </si>
  <si>
    <t>177 Mill St N, Dalton, Ohio, 44618</t>
  </si>
  <si>
    <t>177 Mill St N</t>
  </si>
  <si>
    <t>Dalton</t>
  </si>
  <si>
    <t>44618</t>
  </si>
  <si>
    <t>Dayton Christian School System</t>
  </si>
  <si>
    <t>9391 Washington Church Rd, Miamisburg, Ohio, 45342</t>
  </si>
  <si>
    <t>9391 Washington Church Rd</t>
  </si>
  <si>
    <t>Association of Christian Schools International</t>
  </si>
  <si>
    <t>Versailles Exempted Village</t>
  </si>
  <si>
    <t>459 S Center St, Versailles, Ohio, 45380</t>
  </si>
  <si>
    <t>459 S Center St</t>
  </si>
  <si>
    <t>Versailles</t>
  </si>
  <si>
    <t>45380</t>
  </si>
  <si>
    <t>Chardon Local</t>
  </si>
  <si>
    <t>428 North St, Chardon, Ohio, 44024</t>
  </si>
  <si>
    <t>428 North St</t>
  </si>
  <si>
    <t>Chardon</t>
  </si>
  <si>
    <t>44024</t>
  </si>
  <si>
    <t>Old Fort Local</t>
  </si>
  <si>
    <t>Seneca</t>
  </si>
  <si>
    <t>7635 N County Rd 51, Tiffin, Ohio, 44883</t>
  </si>
  <si>
    <t>7635 N County Rd 51</t>
  </si>
  <si>
    <t>Tiffin</t>
  </si>
  <si>
    <t>44883</t>
  </si>
  <si>
    <t>Alliance City CTPD</t>
  </si>
  <si>
    <t>200 Glamorgan St, Alliance, Ohio, 44601</t>
  </si>
  <si>
    <t>200 Glamorgan St</t>
  </si>
  <si>
    <t>Spencerville Local</t>
  </si>
  <si>
    <t>600 School St, Spencerville, Ohio, 45887</t>
  </si>
  <si>
    <t>600 School St</t>
  </si>
  <si>
    <t>Spencerville</t>
  </si>
  <si>
    <t>45887</t>
  </si>
  <si>
    <t>North Fork Local</t>
  </si>
  <si>
    <t>312 Maple Ave, Utica, Ohio, 43080</t>
  </si>
  <si>
    <t>312 Maple Ave</t>
  </si>
  <si>
    <t>Utica</t>
  </si>
  <si>
    <t>43080</t>
  </si>
  <si>
    <t>Coventry Local</t>
  </si>
  <si>
    <t>3257 Cormany Rd, Coventry Township, Ohio, 44319</t>
  </si>
  <si>
    <t>3257 Cormany Rd</t>
  </si>
  <si>
    <t>Coventry Township</t>
  </si>
  <si>
    <t>44319</t>
  </si>
  <si>
    <t>Buckeye Valley Local</t>
  </si>
  <si>
    <t>679 Coover Rd, Delaware, Ohio, 43015</t>
  </si>
  <si>
    <t>679 Coover Rd</t>
  </si>
  <si>
    <t>Archbold-Area Local</t>
  </si>
  <si>
    <t>600 Lafayette St, Archbold, Ohio, 43502</t>
  </si>
  <si>
    <t>600 Lafayette St</t>
  </si>
  <si>
    <t>Parkway Local</t>
  </si>
  <si>
    <t>400 Buckeye St, Rockford, Ohio, 45882</t>
  </si>
  <si>
    <t>400 Buckeye St</t>
  </si>
  <si>
    <t>Rockford</t>
  </si>
  <si>
    <t>45882</t>
  </si>
  <si>
    <t>Mercer County Educational Service Center</t>
  </si>
  <si>
    <t>Parma City</t>
  </si>
  <si>
    <t>5311 Longwood Avenue, Parma, Ohio, 44134</t>
  </si>
  <si>
    <t>5311 Longwood Avenue</t>
  </si>
  <si>
    <t>Lawrence County</t>
  </si>
  <si>
    <t>Lawrence</t>
  </si>
  <si>
    <t>11627 State Route 243, Chesapeake, Ohio, 45619</t>
  </si>
  <si>
    <t>11627 State Route 243</t>
  </si>
  <si>
    <t>Chesapeake</t>
  </si>
  <si>
    <t>45619</t>
  </si>
  <si>
    <t>Cleveland Municipal</t>
  </si>
  <si>
    <t>1111 Superior Ave E, Cleveland, Ohio, 44114</t>
  </si>
  <si>
    <t>1111 Superior Ave E</t>
  </si>
  <si>
    <t>5610 Troy Rd, Springfield, Ohio, 45502</t>
  </si>
  <si>
    <t>5610 Troy Rd</t>
  </si>
  <si>
    <t>Hilliard City</t>
  </si>
  <si>
    <t>2140 Atlas St, Columbus, Ohio, 43228</t>
  </si>
  <si>
    <t>2140 Atlas St</t>
  </si>
  <si>
    <t>Columbus</t>
  </si>
  <si>
    <t>43228</t>
  </si>
  <si>
    <t>Bay Village City</t>
  </si>
  <si>
    <t>377 Dover Center Rd, Bay Village, Ohio, 44140</t>
  </si>
  <si>
    <t>377 Dover Center Rd</t>
  </si>
  <si>
    <t>Bay Village</t>
  </si>
  <si>
    <t>44140</t>
  </si>
  <si>
    <t>Benjamin Logan Local</t>
  </si>
  <si>
    <t>4740 County Road 26, Bellefontaine, Ohio, 43311</t>
  </si>
  <si>
    <t>4740 County Road 26</t>
  </si>
  <si>
    <t>Cardington-Lincoln Local</t>
  </si>
  <si>
    <t>Morrow</t>
  </si>
  <si>
    <t>121 Nichols St, Cardington, Ohio, 43315</t>
  </si>
  <si>
    <t>121 Nichols St</t>
  </si>
  <si>
    <t>Cardington</t>
  </si>
  <si>
    <t>43315</t>
  </si>
  <si>
    <t>Lorain City</t>
  </si>
  <si>
    <t>2601 Pole Ave, Lorain, Ohio, 44052</t>
  </si>
  <si>
    <t>2601 Pole Ave</t>
  </si>
  <si>
    <t>Oakwood City</t>
  </si>
  <si>
    <t>20 Rubicon Rd, Dayton, Ohio, 45409</t>
  </si>
  <si>
    <t>20 Rubicon Rd</t>
  </si>
  <si>
    <t>45409</t>
  </si>
  <si>
    <t>Mount Gilead Exempted Village</t>
  </si>
  <si>
    <t>145 N Cherry St, Mount Gilead, Ohio, 43338</t>
  </si>
  <si>
    <t>145 N Cherry St</t>
  </si>
  <si>
    <t>Mount Gilead</t>
  </si>
  <si>
    <t>43338</t>
  </si>
  <si>
    <t>Arlington Local</t>
  </si>
  <si>
    <t>336 S Main St, Arlington, Ohio, 45814</t>
  </si>
  <si>
    <t>336 S Main St</t>
  </si>
  <si>
    <t>Arlington</t>
  </si>
  <si>
    <t>45814</t>
  </si>
  <si>
    <t xml:space="preserve">Ridgedale Local </t>
  </si>
  <si>
    <t>3103 Hillman Ford Rd, Morral, Ohio, 43337</t>
  </si>
  <si>
    <t>3103 Hillman Ford Rd</t>
  </si>
  <si>
    <t>Morral</t>
  </si>
  <si>
    <t>43337</t>
  </si>
  <si>
    <t>Fort Loramie Local</t>
  </si>
  <si>
    <t>575 Greenback Rd, Fort Loramie, Ohio, 45845</t>
  </si>
  <si>
    <t>575 Greenback Rd</t>
  </si>
  <si>
    <t>Fort Loramie</t>
  </si>
  <si>
    <t>45845</t>
  </si>
  <si>
    <t>Auburn JVSD CTPD</t>
  </si>
  <si>
    <t>8140 Auburn Rd, Painesville, Ohio, 44077</t>
  </si>
  <si>
    <t>8140 Auburn Rd</t>
  </si>
  <si>
    <t>Ada Exempted Village</t>
  </si>
  <si>
    <t>725 W North Ave, Ada, Ohio, 45810</t>
  </si>
  <si>
    <t>725 W North Ave</t>
  </si>
  <si>
    <t>Ada</t>
  </si>
  <si>
    <t>45810</t>
  </si>
  <si>
    <t>Youngstown Diocese</t>
  </si>
  <si>
    <t>144 W Wood St, Youngstown, Ohio, 44503</t>
  </si>
  <si>
    <t>144 W Wood St</t>
  </si>
  <si>
    <t>Deer Park Community City</t>
  </si>
  <si>
    <t>8688 Donna Ln, Cincinnati, Ohio, 45236</t>
  </si>
  <si>
    <t>8688 Donna Ln</t>
  </si>
  <si>
    <t>45236</t>
  </si>
  <si>
    <t>Plain Local</t>
  </si>
  <si>
    <t>901 44th St NW, Canton, Ohio, 44709</t>
  </si>
  <si>
    <t>901 44th St NW</t>
  </si>
  <si>
    <t>Canton</t>
  </si>
  <si>
    <t>44709</t>
  </si>
  <si>
    <t>Hudson City</t>
  </si>
  <si>
    <t>76 N Hayden Pkwy, Hudson, Ohio, 44236</t>
  </si>
  <si>
    <t>76 N Hayden Pkwy</t>
  </si>
  <si>
    <t>Jefferson Local</t>
  </si>
  <si>
    <t>906 W Main St, West Jefferson, Ohio, 43162</t>
  </si>
  <si>
    <t>906 W Main St</t>
  </si>
  <si>
    <t>West Jefferson</t>
  </si>
  <si>
    <t>43162</t>
  </si>
  <si>
    <t>Northwest Local</t>
  </si>
  <si>
    <t>800 Mohawk Dr, Mc Dermott, Ohio, 45652</t>
  </si>
  <si>
    <t>800 Mohawk Dr</t>
  </si>
  <si>
    <t>Mc Dermott</t>
  </si>
  <si>
    <t>45652</t>
  </si>
  <si>
    <t>Findlay City</t>
  </si>
  <si>
    <t>1100 Broad Ave, Findlay, Ohio, 45840</t>
  </si>
  <si>
    <t>1100 Broad Ave</t>
  </si>
  <si>
    <t>Findlay</t>
  </si>
  <si>
    <t>45840</t>
  </si>
  <si>
    <t>London City</t>
  </si>
  <si>
    <t>380 Elm St 2nd Fl, London, Ohio, 43140</t>
  </si>
  <si>
    <t>380 Elm St 2nd Fl</t>
  </si>
  <si>
    <t>London</t>
  </si>
  <si>
    <t>43140</t>
  </si>
  <si>
    <t>St Henry Consolidated Local</t>
  </si>
  <si>
    <t>391 E Columbus St, Saint Henry, Ohio, 45883</t>
  </si>
  <si>
    <t>391 E Columbus St</t>
  </si>
  <si>
    <t>Saint Henry</t>
  </si>
  <si>
    <t>45883</t>
  </si>
  <si>
    <t>Wayne Trace Local</t>
  </si>
  <si>
    <t>4915 US Route 127, Haviland, Ohio, 45851</t>
  </si>
  <si>
    <t>4915 US Route 127</t>
  </si>
  <si>
    <t>Haviland</t>
  </si>
  <si>
    <t>45851</t>
  </si>
  <si>
    <t>Miami Valley Career Tech</t>
  </si>
  <si>
    <t>6800 Hoke Rd, Englewood, Ohio, 45315</t>
  </si>
  <si>
    <t>6800 Hoke Rd</t>
  </si>
  <si>
    <t>Englewood</t>
  </si>
  <si>
    <t>45315</t>
  </si>
  <si>
    <t xml:space="preserve">Fairland Local </t>
  </si>
  <si>
    <t>228 Private Drive 10010, Proctorville, Ohio, 45669</t>
  </si>
  <si>
    <t>228 Private Drive 10010</t>
  </si>
  <si>
    <t>Proctorville</t>
  </si>
  <si>
    <t>45669</t>
  </si>
  <si>
    <t>Lawrence County ESC</t>
  </si>
  <si>
    <t>1575 State Route 96, Ashland, Ohio, 44805</t>
  </si>
  <si>
    <t>1575 State Route 96</t>
  </si>
  <si>
    <t>44805</t>
  </si>
  <si>
    <t xml:space="preserve">Fairborn City </t>
  </si>
  <si>
    <t>306 E Whittier Ave, Fairborn, Ohio, 45324</t>
  </si>
  <si>
    <t>306 E Whittier Ave</t>
  </si>
  <si>
    <t>Fairborn</t>
  </si>
  <si>
    <t>45324</t>
  </si>
  <si>
    <t>Shelby City</t>
  </si>
  <si>
    <t>109 W Smiley Ave, Shelby, Ohio, 44875</t>
  </si>
  <si>
    <t>109 W Smiley Ave</t>
  </si>
  <si>
    <t>Greene County Vocational School District</t>
  </si>
  <si>
    <t>532 Innovation Dr, Xenia, Ohio, 45385</t>
  </si>
  <si>
    <t>532 Innovation Dr</t>
  </si>
  <si>
    <t>Xenia</t>
  </si>
  <si>
    <t>45385</t>
  </si>
  <si>
    <t>Ashland County-West Holmes Joint Vocational School</t>
  </si>
  <si>
    <t>1783 State Route 60, Ashland, Ohio, 44805</t>
  </si>
  <si>
    <t>1783 State Route 60</t>
  </si>
  <si>
    <t>Ashland Co/West Holmes JVSD CTPD</t>
  </si>
  <si>
    <t>Osnaburg Local</t>
  </si>
  <si>
    <t>310 Browning Ct N, East Canton, Ohio, 44730</t>
  </si>
  <si>
    <t>310 Browning Ct N</t>
  </si>
  <si>
    <t>East Canton</t>
  </si>
  <si>
    <t>44730</t>
  </si>
  <si>
    <t>Bright Local</t>
  </si>
  <si>
    <t>44 N High St, Mowrystown, Ohio, 45155</t>
  </si>
  <si>
    <t>44 N High St</t>
  </si>
  <si>
    <t>Mowrystown</t>
  </si>
  <si>
    <t>45155</t>
  </si>
  <si>
    <t>Celina City</t>
  </si>
  <si>
    <t>Jackson Center Local</t>
  </si>
  <si>
    <t>204 S Linden St, Jackson Center, Ohio, 45334</t>
  </si>
  <si>
    <t>204 S Linden St</t>
  </si>
  <si>
    <t>Jackson Center</t>
  </si>
  <si>
    <t>45334</t>
  </si>
  <si>
    <t>Tuscarawas Valley Local</t>
  </si>
  <si>
    <t>2637 Tuscarawas Valley Rd NE, Zoarville, Ohio, 44656</t>
  </si>
  <si>
    <t>2637 Tuscarawas Valley Rd NE</t>
  </si>
  <si>
    <t>Zoarville</t>
  </si>
  <si>
    <t>44656</t>
  </si>
  <si>
    <t>Penta Career Center - District</t>
  </si>
  <si>
    <t>Worthington City</t>
  </si>
  <si>
    <t>200 E Wilson Bridge Rd, Worthington, Ohio, 43085</t>
  </si>
  <si>
    <t>200 E Wilson Bridge Rd</t>
  </si>
  <si>
    <t>Worthington</t>
  </si>
  <si>
    <t>43085</t>
  </si>
  <si>
    <t>Greene County JVSD CTPD</t>
  </si>
  <si>
    <t>Yellow Springs Exempted Village</t>
  </si>
  <si>
    <t>888 Dayton St Unit 106, Yellow Springs, Ohio, 45387</t>
  </si>
  <si>
    <t>888 Dayton St Unit 106</t>
  </si>
  <si>
    <t>Yellow Springs</t>
  </si>
  <si>
    <t>45387</t>
  </si>
  <si>
    <t>Medina County Joint Vocational School District</t>
  </si>
  <si>
    <t xml:space="preserve">Oak Hills Local </t>
  </si>
  <si>
    <t>6325 Rapid Run Rd, Cincinnati, Ohio, 45233</t>
  </si>
  <si>
    <t>6325 Rapid Run Rd</t>
  </si>
  <si>
    <t>45233</t>
  </si>
  <si>
    <t>Career Technical Planning District 600</t>
  </si>
  <si>
    <t>25 S Front St, Columbus, Ohio, 43215</t>
  </si>
  <si>
    <t>25 S Front St</t>
  </si>
  <si>
    <t>43215</t>
  </si>
  <si>
    <t>Stryker Local</t>
  </si>
  <si>
    <t>400 S Defiance St, Stryker, Ohio, 43557</t>
  </si>
  <si>
    <t>400 S Defiance St</t>
  </si>
  <si>
    <t>Stryker</t>
  </si>
  <si>
    <t>43557</t>
  </si>
  <si>
    <t>Vantage JVSD CTPD</t>
  </si>
  <si>
    <t>818 N Franklin St, Van Wert, Ohio, 45891</t>
  </si>
  <si>
    <t>818 N Franklin St</t>
  </si>
  <si>
    <t>Akron City CTPD</t>
  </si>
  <si>
    <t>10 N Main St, Akron, Ohio, 44308</t>
  </si>
  <si>
    <t>10 N Main St</t>
  </si>
  <si>
    <t>44308</t>
  </si>
  <si>
    <t>Liberty Union-Thurston Local</t>
  </si>
  <si>
    <t>1108 S Main St, Baltimore, Ohio, 43105</t>
  </si>
  <si>
    <t>1108 S Main St</t>
  </si>
  <si>
    <t>Baltimore</t>
  </si>
  <si>
    <t>43105</t>
  </si>
  <si>
    <t>Licking County JVSD CTPD</t>
  </si>
  <si>
    <t>150 Price Rd, Newark, Ohio, 43055</t>
  </si>
  <si>
    <t>150 Price Rd</t>
  </si>
  <si>
    <t>Joseph Badger Local</t>
  </si>
  <si>
    <t>7119 State Route 7, Kinsman, Ohio, 44428</t>
  </si>
  <si>
    <t>7119 State Route 7</t>
  </si>
  <si>
    <t>Kinsman</t>
  </si>
  <si>
    <t>44428</t>
  </si>
  <si>
    <t>Logan-Hocking Local</t>
  </si>
  <si>
    <t>Hocking</t>
  </si>
  <si>
    <t>2019 E Front St, Logan, Ohio, 43138</t>
  </si>
  <si>
    <t>2019 E Front St</t>
  </si>
  <si>
    <t>43138</t>
  </si>
  <si>
    <t>Perry-Hocking ESC</t>
  </si>
  <si>
    <t>Perry Local</t>
  </si>
  <si>
    <t>4325 Manchester Ave, Perry, Ohio, 44081</t>
  </si>
  <si>
    <t>4325 Manchester Ave</t>
  </si>
  <si>
    <t>Perry</t>
  </si>
  <si>
    <t>44081</t>
  </si>
  <si>
    <t xml:space="preserve">Washington Local </t>
  </si>
  <si>
    <t>3505 W Lincolnshire Blvd, Toledo, Ohio, 43606</t>
  </si>
  <si>
    <t>3505 W Lincolnshire Blvd</t>
  </si>
  <si>
    <t>Miller City-New Cleveland Local</t>
  </si>
  <si>
    <t>200 N. Main Street, Miller City, Ohio, 45864</t>
  </si>
  <si>
    <t>200 N. Main Street</t>
  </si>
  <si>
    <t>Miller City</t>
  </si>
  <si>
    <t>45864</t>
  </si>
  <si>
    <t>Bloom-Carroll Local</t>
  </si>
  <si>
    <t>5240 Plum Rd, Carroll, Ohio, 43112</t>
  </si>
  <si>
    <t>5240 Plum Rd</t>
  </si>
  <si>
    <t>43112</t>
  </si>
  <si>
    <t>Washington County JVSD CTPD</t>
  </si>
  <si>
    <t>Logan Elm Local</t>
  </si>
  <si>
    <t>Pickaway</t>
  </si>
  <si>
    <t>9579 Tarlton Rd, Circleville, Ohio, 43113</t>
  </si>
  <si>
    <t>9579 Tarlton Rd</t>
  </si>
  <si>
    <t>Circleville</t>
  </si>
  <si>
    <t>43113</t>
  </si>
  <si>
    <t>Pickaway County ESC</t>
  </si>
  <si>
    <t>Copley-Fairlawn City</t>
  </si>
  <si>
    <t>3797 Ridgewood Rd, Copley, Ohio, 44321</t>
  </si>
  <si>
    <t>3797 Ridgewood Rd</t>
  </si>
  <si>
    <t>Copley</t>
  </si>
  <si>
    <t>44321</t>
  </si>
  <si>
    <t>East Liverpool City</t>
  </si>
  <si>
    <t>Franklin City</t>
  </si>
  <si>
    <t>150 E 6th St, Franklin, Ohio, 45005</t>
  </si>
  <si>
    <t>150 E 6th St</t>
  </si>
  <si>
    <t>Clinton-Massie Local</t>
  </si>
  <si>
    <t>2556 Lebanon Rd, Clarksville, Ohio, 45113</t>
  </si>
  <si>
    <t>2556 Lebanon Rd</t>
  </si>
  <si>
    <t>Clarksville</t>
  </si>
  <si>
    <t>45113</t>
  </si>
  <si>
    <t>Groveport Madison Local</t>
  </si>
  <si>
    <t>4400 Marketing Pl Ste B, Groveport, Ohio, 43125</t>
  </si>
  <si>
    <t>4400 Marketing Pl Ste B</t>
  </si>
  <si>
    <t>Northern Local</t>
  </si>
  <si>
    <t>8700 Sheridan Dr, Thornville, Ohio, 43076</t>
  </si>
  <si>
    <t>8700 Sheridan Dr</t>
  </si>
  <si>
    <t>Thornville</t>
  </si>
  <si>
    <t>43076</t>
  </si>
  <si>
    <t>Rootstown Local</t>
  </si>
  <si>
    <t>4140 State Route 44, Rootstown, Ohio, 44272</t>
  </si>
  <si>
    <t>4140 State Route 44</t>
  </si>
  <si>
    <t>Rootstown</t>
  </si>
  <si>
    <t>44272</t>
  </si>
  <si>
    <t>Stark County Career Compact</t>
  </si>
  <si>
    <t>Ontario Local</t>
  </si>
  <si>
    <t>457 Shelby Ontario Rd, Ontario, Ohio, 44906</t>
  </si>
  <si>
    <t>457 Shelby Ontario Rd</t>
  </si>
  <si>
    <t>Ontario</t>
  </si>
  <si>
    <t>44906</t>
  </si>
  <si>
    <t>Edon Northwest Local</t>
  </si>
  <si>
    <t>802 W Indiana St, Edon, Ohio, 43518</t>
  </si>
  <si>
    <t>802 W Indiana St</t>
  </si>
  <si>
    <t>Edon</t>
  </si>
  <si>
    <t>43518</t>
  </si>
  <si>
    <t>Vantage Career Center</t>
  </si>
  <si>
    <t>Coshocton County JVSD CTPD</t>
  </si>
  <si>
    <t>Coshocton</t>
  </si>
  <si>
    <t>23640 County Road 202, Coshocton, Ohio, 43812</t>
  </si>
  <si>
    <t>23640 County Road 202</t>
  </si>
  <si>
    <t>43812</t>
  </si>
  <si>
    <t>Brooklyn City</t>
  </si>
  <si>
    <t>9200 Biddulph Rd, Brooklyn, Ohio, 44144</t>
  </si>
  <si>
    <t>9200 Biddulph Rd</t>
  </si>
  <si>
    <t>Brooklyn</t>
  </si>
  <si>
    <t>44144</t>
  </si>
  <si>
    <t>Bryan City</t>
  </si>
  <si>
    <t>1350 Fountain Grove Dr, Bryan, Ohio, 43506</t>
  </si>
  <si>
    <t>1350 Fountain Grove Dr</t>
  </si>
  <si>
    <t>Bryan</t>
  </si>
  <si>
    <t>43506</t>
  </si>
  <si>
    <t>Mt Healthy City</t>
  </si>
  <si>
    <t>7615 Harrison Ave, Cincinnati, Ohio, 45231</t>
  </si>
  <si>
    <t>7615 Harrison Ave</t>
  </si>
  <si>
    <t>Career and Technology Educational Centers</t>
  </si>
  <si>
    <t>Pioneer CTC JVSD CTPD</t>
  </si>
  <si>
    <t>Tri-Heights Career Prep Consortium CTPD</t>
  </si>
  <si>
    <t>2155 Miramar Blvd, University Heights, Ohio, 44118</t>
  </si>
  <si>
    <t>2155 Miramar Blvd</t>
  </si>
  <si>
    <t>University Heights</t>
  </si>
  <si>
    <t>44118</t>
  </si>
  <si>
    <t>Ironton City School District</t>
  </si>
  <si>
    <t>105 S 5th St, Ironton, Ohio, 45638</t>
  </si>
  <si>
    <t>105 S 5th St</t>
  </si>
  <si>
    <t>Ironton</t>
  </si>
  <si>
    <t>45638</t>
  </si>
  <si>
    <t>Mapleton Local</t>
  </si>
  <si>
    <t>635 County Road 801, Ashland, Ohio, 44805</t>
  </si>
  <si>
    <t>635 County Road 801</t>
  </si>
  <si>
    <t>Apollo JVSD CTPD</t>
  </si>
  <si>
    <t>3325 Shawnee Rd, Lima, Ohio, 45806</t>
  </si>
  <si>
    <t>3325 Shawnee Rd</t>
  </si>
  <si>
    <t>45806</t>
  </si>
  <si>
    <t>Hillsboro City</t>
  </si>
  <si>
    <t>39 Willetsville Pike, Hillsboro, Ohio, 45133</t>
  </si>
  <si>
    <t>39 Willetsville Pike</t>
  </si>
  <si>
    <t>Hillsboro</t>
  </si>
  <si>
    <t>45133</t>
  </si>
  <si>
    <t>Marion Local</t>
  </si>
  <si>
    <t>7956 State Route 119, Maria Stein, Ohio, 45860</t>
  </si>
  <si>
    <t>7956 State Route 119</t>
  </si>
  <si>
    <t>Maria Stein</t>
  </si>
  <si>
    <t>45860</t>
  </si>
  <si>
    <t>Columbus City CTPD</t>
  </si>
  <si>
    <t>270 E State St, Columbus, Ohio, 43215</t>
  </si>
  <si>
    <t>270 E State St</t>
  </si>
  <si>
    <t>Eastland JVSD CTPD</t>
  </si>
  <si>
    <t>4300 Amalgamated Pl Ste 150, Groveport, Ohio, 43125</t>
  </si>
  <si>
    <t>4300 Amalgamated Pl Ste 150</t>
  </si>
  <si>
    <t>13850 W Akron Canfield Rd, Berlin Center, Ohio, 44401</t>
  </si>
  <si>
    <t>13850 W Akron Canfield Rd</t>
  </si>
  <si>
    <t>Berlin Center</t>
  </si>
  <si>
    <t>44401</t>
  </si>
  <si>
    <t>2003 Lancaster Rd, Chillicothe, Ohio, 45601</t>
  </si>
  <si>
    <t>2003 Lancaster Rd</t>
  </si>
  <si>
    <t>386 E Mohawk Dr, Malvern, Ohio, 44644</t>
  </si>
  <si>
    <t>386 E Mohawk Dr</t>
  </si>
  <si>
    <t>Malvern</t>
  </si>
  <si>
    <t>44644</t>
  </si>
  <si>
    <t>Millstream Career Cooperative CTPD</t>
  </si>
  <si>
    <t>1150 Broad Ave, Findlay, Ohio, 45840</t>
  </si>
  <si>
    <t>1150 Broad Ave</t>
  </si>
  <si>
    <t>Rolling Hills Local</t>
  </si>
  <si>
    <t>Guernsey</t>
  </si>
  <si>
    <t>60851 Southgate Rd, Cambridge, Ohio, 43725</t>
  </si>
  <si>
    <t>60851 Southgate Rd</t>
  </si>
  <si>
    <t>Columbus Grove Local</t>
  </si>
  <si>
    <t>201 W Cross St, Columbus Grove, Ohio, 45830</t>
  </si>
  <si>
    <t>201 W Cross St</t>
  </si>
  <si>
    <t>Columbus Grove</t>
  </si>
  <si>
    <t>45830</t>
  </si>
  <si>
    <t>Manchester Local</t>
  </si>
  <si>
    <t>6075 Manchester Rd, Akron, Ohio, 44319</t>
  </si>
  <si>
    <t>6075 Manchester Rd</t>
  </si>
  <si>
    <t>Mariemont City</t>
  </si>
  <si>
    <t>2 Warrior Way, Cincinnati, Ohio, 45227</t>
  </si>
  <si>
    <t>2 Warrior Way</t>
  </si>
  <si>
    <t>45227</t>
  </si>
  <si>
    <t>Wyoming City</t>
  </si>
  <si>
    <t>420 Springfield Pike, Wyoming, Ohio, 45215</t>
  </si>
  <si>
    <t>420 Springfield Pike</t>
  </si>
  <si>
    <t>Wyoming</t>
  </si>
  <si>
    <t>West Muskingum Local</t>
  </si>
  <si>
    <t>4880 West Pike, Zanesville, Ohio, 43701</t>
  </si>
  <si>
    <t>4880 West Pike</t>
  </si>
  <si>
    <t>Mohawk Local</t>
  </si>
  <si>
    <t>Wyandot</t>
  </si>
  <si>
    <t>295 State Highway 231, Sycamore, Ohio, 44882</t>
  </si>
  <si>
    <t>295 State Highway 231</t>
  </si>
  <si>
    <t>Sycamore</t>
  </si>
  <si>
    <t>44882</t>
  </si>
  <si>
    <t>Warrensville Heights City</t>
  </si>
  <si>
    <t>4743 Richmond Rd, Warrensville Heights, Ohio, 44128</t>
  </si>
  <si>
    <t>4743 Richmond Rd</t>
  </si>
  <si>
    <t>Warrensville Heights</t>
  </si>
  <si>
    <t>44128</t>
  </si>
  <si>
    <t>Patrick Henry Local</t>
  </si>
  <si>
    <t>6900 State Route 18, Hamler, Ohio, 43524</t>
  </si>
  <si>
    <t>6900 State Route 18</t>
  </si>
  <si>
    <t>Hamler</t>
  </si>
  <si>
    <t>43524</t>
  </si>
  <si>
    <t>South Central Local</t>
  </si>
  <si>
    <t>3305 Greenwich Angling Rd, Greenwich, Ohio, 44837</t>
  </si>
  <si>
    <t>3305 Greenwich Angling Rd</t>
  </si>
  <si>
    <t>Greenwich</t>
  </si>
  <si>
    <t>44837</t>
  </si>
  <si>
    <t>Port Clinton City</t>
  </si>
  <si>
    <t>811 Jefferson St, Port Clinton, Ohio, 43452</t>
  </si>
  <si>
    <t>811 Jefferson St</t>
  </si>
  <si>
    <t>Port Clinton</t>
  </si>
  <si>
    <t>43452</t>
  </si>
  <si>
    <t>Madison-Plains Local</t>
  </si>
  <si>
    <t>55 Linson Rd, London, Ohio, 43140</t>
  </si>
  <si>
    <t>55 Linson Rd</t>
  </si>
  <si>
    <t>Northmor Local</t>
  </si>
  <si>
    <t>5247 County Road 29, Galion, Ohio, 44833</t>
  </si>
  <si>
    <t>5247 County Road 29</t>
  </si>
  <si>
    <t>Galion</t>
  </si>
  <si>
    <t>44833</t>
  </si>
  <si>
    <t>Liberty Local</t>
  </si>
  <si>
    <t>4115 Shady Rd, Youngstown, Ohio, 44505</t>
  </si>
  <si>
    <t>4115 Shady Rd</t>
  </si>
  <si>
    <t>44505</t>
  </si>
  <si>
    <t>Ohio Hi-Point Career Center</t>
  </si>
  <si>
    <t>Gallia-Jackson-Vinton JVSD CTPD</t>
  </si>
  <si>
    <t>351 Buckeye Hills Road, Rio Grande, Ohio, 45674</t>
  </si>
  <si>
    <t>351 Buckeye Hills Road</t>
  </si>
  <si>
    <t>Rio Grande</t>
  </si>
  <si>
    <t>45674</t>
  </si>
  <si>
    <t>Talawanda City</t>
  </si>
  <si>
    <t>131 W Chestnut St, Oxford, Ohio, 45056</t>
  </si>
  <si>
    <t>131 W Chestnut St</t>
  </si>
  <si>
    <t>Oxford</t>
  </si>
  <si>
    <t>45056</t>
  </si>
  <si>
    <t>Tolles Career &amp; Technical Center</t>
  </si>
  <si>
    <t>7877 Us Highway 42 S, Plain City, Ohio, 43064</t>
  </si>
  <si>
    <t>7877 Us Highway 42 S</t>
  </si>
  <si>
    <t>Plain City</t>
  </si>
  <si>
    <t>43064</t>
  </si>
  <si>
    <t>Gallia County Local</t>
  </si>
  <si>
    <t>4836 State Route 325, Patriot, Ohio, 45658</t>
  </si>
  <si>
    <t>4836 State Route 325</t>
  </si>
  <si>
    <t>Patriot</t>
  </si>
  <si>
    <t>45658</t>
  </si>
  <si>
    <t>Gallia-Vinton ESC</t>
  </si>
  <si>
    <t>Maplewood Area JVSD CTPD</t>
  </si>
  <si>
    <t>7075 State Route 88, Ravenna, Ohio, 44266</t>
  </si>
  <si>
    <t>7075 State Route 88</t>
  </si>
  <si>
    <t>Ravenna</t>
  </si>
  <si>
    <t>44266</t>
  </si>
  <si>
    <t>Morgan Local</t>
  </si>
  <si>
    <t>Paulding Exempted Village</t>
  </si>
  <si>
    <t>405 N Water St, Paulding, Ohio, 45879</t>
  </si>
  <si>
    <t>405 N Water St</t>
  </si>
  <si>
    <t>45879</t>
  </si>
  <si>
    <t>United Local</t>
  </si>
  <si>
    <t>8143 State Route 9, Hanoverton, Ohio, 44423</t>
  </si>
  <si>
    <t>8143 State Route 9</t>
  </si>
  <si>
    <t>Hanoverton</t>
  </si>
  <si>
    <t>44423</t>
  </si>
  <si>
    <t>Tuslaw Local</t>
  </si>
  <si>
    <t>1835 Manchester Ave NW, Massillon, Ohio, 44647</t>
  </si>
  <si>
    <t>1835 Manchester Ave NW</t>
  </si>
  <si>
    <t>44647</t>
  </si>
  <si>
    <t>Grandview Heights Schools</t>
  </si>
  <si>
    <t>1587 W 3rd Ave, Columbus, Ohio, 43212</t>
  </si>
  <si>
    <t>1587 W 3rd Ave</t>
  </si>
  <si>
    <t>43212</t>
  </si>
  <si>
    <t>Jackson-Milton Local</t>
  </si>
  <si>
    <t>13910 Mahoning Ave, North Jackson, Ohio, 44451</t>
  </si>
  <si>
    <t>13910 Mahoning Ave</t>
  </si>
  <si>
    <t>North Jackson</t>
  </si>
  <si>
    <t>44451</t>
  </si>
  <si>
    <t>Wolf Creek Local</t>
  </si>
  <si>
    <t>330 Main St, Waterford, Ohio, 45786</t>
  </si>
  <si>
    <t>330 Main St</t>
  </si>
  <si>
    <t>Waterford</t>
  </si>
  <si>
    <t>45786</t>
  </si>
  <si>
    <t>Southern Hills</t>
  </si>
  <si>
    <t>9231 Hamer Rd, Georgetown, Ohio, 45121</t>
  </si>
  <si>
    <t>9231 Hamer Rd</t>
  </si>
  <si>
    <t>Georgetown</t>
  </si>
  <si>
    <t>45121</t>
  </si>
  <si>
    <t>Norwalk City</t>
  </si>
  <si>
    <t>134 Benedict Ave, Norwalk, Ohio, 44857</t>
  </si>
  <si>
    <t>134 Benedict Ave</t>
  </si>
  <si>
    <t>Norwalk</t>
  </si>
  <si>
    <t>44857</t>
  </si>
  <si>
    <t>2309 Locust St S, Canal Fulton, Ohio, 44614</t>
  </si>
  <si>
    <t>2309 Locust St S</t>
  </si>
  <si>
    <t>Canal Fulton</t>
  </si>
  <si>
    <t>44614</t>
  </si>
  <si>
    <t>Newton Falls Exempted Village</t>
  </si>
  <si>
    <t>909 1/2 Milton Blvd, Newton Falls, Ohio, 44444</t>
  </si>
  <si>
    <t>909 1/2 Milton Blvd</t>
  </si>
  <si>
    <t>Newton Falls</t>
  </si>
  <si>
    <t>44444</t>
  </si>
  <si>
    <t>Hillsdale Local</t>
  </si>
  <si>
    <t>479 Township Road 1902, Jeromesville, Ohio, 44840</t>
  </si>
  <si>
    <t>479 Township Road 1902</t>
  </si>
  <si>
    <t>Jeromesville</t>
  </si>
  <si>
    <t>44840</t>
  </si>
  <si>
    <t>Kirtland Local</t>
  </si>
  <si>
    <t>9252 Chillicothe Rd, Kirtland, Ohio, 44094</t>
  </si>
  <si>
    <t>9252 Chillicothe Rd</t>
  </si>
  <si>
    <t>Kirtland</t>
  </si>
  <si>
    <t>44094</t>
  </si>
  <si>
    <t>Apollo</t>
  </si>
  <si>
    <t>Cambridge City</t>
  </si>
  <si>
    <t>518 S 8th St, Cambridge, Ohio, 43725</t>
  </si>
  <si>
    <t>518 S 8th St</t>
  </si>
  <si>
    <t>Lima City</t>
  </si>
  <si>
    <t>755 Saint Johns Ave, Lima, Ohio, 45804</t>
  </si>
  <si>
    <t>755 Saint Johns Ave</t>
  </si>
  <si>
    <t>45804</t>
  </si>
  <si>
    <t>Strongsville City</t>
  </si>
  <si>
    <t>18199 Cook Ave, Strongsville, Ohio, 44136</t>
  </si>
  <si>
    <t>18199 Cook Ave</t>
  </si>
  <si>
    <t>Strongsville</t>
  </si>
  <si>
    <t>44136</t>
  </si>
  <si>
    <t xml:space="preserve">Wellston City </t>
  </si>
  <si>
    <t>1 E Broadway St, Wellston, Ohio, 45692</t>
  </si>
  <si>
    <t>1 E Broadway St</t>
  </si>
  <si>
    <t>Wellston</t>
  </si>
  <si>
    <t>45692</t>
  </si>
  <si>
    <t>Jewish Education Center of Cleveland</t>
  </si>
  <si>
    <t>2030 S Taylor Rd, Cleveland Heights, Ohio, 44118</t>
  </si>
  <si>
    <t>2030 S Taylor Rd</t>
  </si>
  <si>
    <t>Cleveland Heights</t>
  </si>
  <si>
    <t>Wheelersburg Local</t>
  </si>
  <si>
    <t>620 Center St, Wheelersburg, Ohio, 45694</t>
  </si>
  <si>
    <t>620 Center St</t>
  </si>
  <si>
    <t>Wheelersburg</t>
  </si>
  <si>
    <t>45694</t>
  </si>
  <si>
    <t>Little Miami Local</t>
  </si>
  <si>
    <t>95 E Us Highway 22 And 3, Maineville, Ohio, 45039</t>
  </si>
  <si>
    <t>95 E Us Highway 22 And 3</t>
  </si>
  <si>
    <t>Maineville</t>
  </si>
  <si>
    <t>45039</t>
  </si>
  <si>
    <t>Centerville City</t>
  </si>
  <si>
    <t>111 Virginia Ave, Centerville, Ohio, 45458</t>
  </si>
  <si>
    <t>111 Virginia Ave</t>
  </si>
  <si>
    <t>Centerville</t>
  </si>
  <si>
    <t>45458</t>
  </si>
  <si>
    <t>Solon City</t>
  </si>
  <si>
    <t>33800 Inwood Dr, Solon, Ohio, 44139</t>
  </si>
  <si>
    <t>33800 Inwood Dr</t>
  </si>
  <si>
    <t>Solon</t>
  </si>
  <si>
    <t>44139</t>
  </si>
  <si>
    <t>Washington-Nile Local</t>
  </si>
  <si>
    <t>15332 Us Highway 52, West Portsmouth, Ohio, 45663</t>
  </si>
  <si>
    <t>15332 Us Highway 52</t>
  </si>
  <si>
    <t>West Portsmouth</t>
  </si>
  <si>
    <t>45663</t>
  </si>
  <si>
    <t>Springboro Community City</t>
  </si>
  <si>
    <t>1685 S Main St, Springboro, Ohio, 45066</t>
  </si>
  <si>
    <t>1685 S Main St</t>
  </si>
  <si>
    <t>Springboro</t>
  </si>
  <si>
    <t>45066</t>
  </si>
  <si>
    <t>Sandusky City CTPD</t>
  </si>
  <si>
    <t>407 Decatur St, Sandusky, Ohio, 44870</t>
  </si>
  <si>
    <t>407 Decatur St</t>
  </si>
  <si>
    <t>Jefferson County JVSD CTPD</t>
  </si>
  <si>
    <t>1509 County Road 22a, Bloomingdale, Ohio, 43910</t>
  </si>
  <si>
    <t>1509 County Road 22a</t>
  </si>
  <si>
    <t>Bloomingdale</t>
  </si>
  <si>
    <t>43910</t>
  </si>
  <si>
    <t>Rocky River City</t>
  </si>
  <si>
    <t>1101 Morewood Pkwy, Rocky River, Ohio, 44116</t>
  </si>
  <si>
    <t>1101 Morewood Pkwy</t>
  </si>
  <si>
    <t>Whitehall City</t>
  </si>
  <si>
    <t>625 S Yearling Rd, Whitehall, Ohio, 43213</t>
  </si>
  <si>
    <t>625 S Yearling Rd</t>
  </si>
  <si>
    <t>Whitehall</t>
  </si>
  <si>
    <t>43213</t>
  </si>
  <si>
    <t>Stark County Area JVSD CTPD</t>
  </si>
  <si>
    <t>2800 Richville Dr SE, Massillon, Ohio, 44646</t>
  </si>
  <si>
    <t>2800 Richville Dr SE</t>
  </si>
  <si>
    <t>Scioto County JVSD CTPD</t>
  </si>
  <si>
    <t>951 Vern Riffe Dr, Lucasville, Ohio, 45648</t>
  </si>
  <si>
    <t>951 Vern Riffe Dr</t>
  </si>
  <si>
    <t>Lucasville</t>
  </si>
  <si>
    <t>45648</t>
  </si>
  <si>
    <t>Perrysburg Exempted Village</t>
  </si>
  <si>
    <t>140 E Indiana Ave, Perrysburg, Ohio, 43551</t>
  </si>
  <si>
    <t>140 E Indiana Ave</t>
  </si>
  <si>
    <t>Tecumseh Local</t>
  </si>
  <si>
    <t>9760 W National Rd, New Carlisle, Ohio, 45344</t>
  </si>
  <si>
    <t>9760 W National Rd</t>
  </si>
  <si>
    <t>New Carlisle</t>
  </si>
  <si>
    <t>45344</t>
  </si>
  <si>
    <t>Seneca East Local</t>
  </si>
  <si>
    <t>13343 E US Highway 224, Attica, Ohio, 44807</t>
  </si>
  <si>
    <t>13343 E US Highway 224</t>
  </si>
  <si>
    <t>Attica</t>
  </si>
  <si>
    <t>44807</t>
  </si>
  <si>
    <t>Cleveland Heights-University Heights City</t>
  </si>
  <si>
    <t>Symmes Valley Local</t>
  </si>
  <si>
    <t>14778 State Route 141, Willow Wood, Ohio, 45696</t>
  </si>
  <si>
    <t>14778 State Route 141</t>
  </si>
  <si>
    <t>Willow Wood</t>
  </si>
  <si>
    <t>45696</t>
  </si>
  <si>
    <t>Elgin Local</t>
  </si>
  <si>
    <t>1239 Keener Rd S, Marion, Ohio, 43302</t>
  </si>
  <si>
    <t>1239 Keener Rd S</t>
  </si>
  <si>
    <t>Mogadore Local</t>
  </si>
  <si>
    <t>1 S Cleveland Ave, Mogadore, Ohio, 44260</t>
  </si>
  <si>
    <t>1 S Cleveland Ave</t>
  </si>
  <si>
    <t>Gallia-Jackson-Vinton</t>
  </si>
  <si>
    <t>351 Buckeye Hills Rd, Rio Grande, Ohio, 45674</t>
  </si>
  <si>
    <t>351 Buckeye Hills Rd</t>
  </si>
  <si>
    <t>Bradford Exempted Village</t>
  </si>
  <si>
    <t>760 Railroad Ave, Bradford, Ohio, 45308</t>
  </si>
  <si>
    <t>760 Railroad Ave</t>
  </si>
  <si>
    <t>Bradford</t>
  </si>
  <si>
    <t>45308</t>
  </si>
  <si>
    <t>2770 E Breese Rd, Lima, Ohio, 45806</t>
  </si>
  <si>
    <t>2770 E Breese Rd</t>
  </si>
  <si>
    <t>Madison Local</t>
  </si>
  <si>
    <t>1324 Middletown Eaton Rd, Middletown, Ohio, 45042</t>
  </si>
  <si>
    <t>1324 Middletown Eaton Rd</t>
  </si>
  <si>
    <t>Fairfield Union Local</t>
  </si>
  <si>
    <t>6417 Cincinnati Zanesville Rd NE, Lancaster, Ohio, 43130</t>
  </si>
  <si>
    <t>6417 Cincinnati Zanesville Rd NE</t>
  </si>
  <si>
    <t>Lancaster</t>
  </si>
  <si>
    <t>43130</t>
  </si>
  <si>
    <t>Heath City</t>
  </si>
  <si>
    <t>107 Lancaster Dr, Heath, Ohio, 43056</t>
  </si>
  <si>
    <t>107 Lancaster Dr</t>
  </si>
  <si>
    <t>Heath</t>
  </si>
  <si>
    <t>43056</t>
  </si>
  <si>
    <t>Marysville Exempted Village</t>
  </si>
  <si>
    <t>Union</t>
  </si>
  <si>
    <t>212 Chestnut St, Marysville, Ohio, 43040</t>
  </si>
  <si>
    <t>212 Chestnut St</t>
  </si>
  <si>
    <t>Marysville</t>
  </si>
  <si>
    <t>43040</t>
  </si>
  <si>
    <t>Dublin City</t>
  </si>
  <si>
    <t>5175 Emerald Pkwy, Dublin, Ohio, 43017</t>
  </si>
  <si>
    <t>5175 Emerald Pkwy</t>
  </si>
  <si>
    <t>Dublin</t>
  </si>
  <si>
    <t>43017</t>
  </si>
  <si>
    <t>Centerville-Kettering-Oakwood CTPD</t>
  </si>
  <si>
    <t>580 Lincoln Park Blvd Ste 105, Kettering, Ohio, 45429</t>
  </si>
  <si>
    <t>580 Lincoln Park Blvd Ste 105</t>
  </si>
  <si>
    <t>Kettering</t>
  </si>
  <si>
    <t>45429</t>
  </si>
  <si>
    <t>Kettering City School District</t>
  </si>
  <si>
    <t>500 Lincoln Park Blvd, Kettering, Ohio, 45429</t>
  </si>
  <si>
    <t>500 Lincoln Park Blvd</t>
  </si>
  <si>
    <t>Wellington Exempted Village</t>
  </si>
  <si>
    <t>305 Union St, Wellington, Ohio, 44090</t>
  </si>
  <si>
    <t>305 Union St</t>
  </si>
  <si>
    <t>Wellington</t>
  </si>
  <si>
    <t>44090</t>
  </si>
  <si>
    <t>Ashtabula County Technical and Career Center</t>
  </si>
  <si>
    <t>College Corner Local</t>
  </si>
  <si>
    <t>230 Ramsey St, College Corner, Ohio, 45003</t>
  </si>
  <si>
    <t>230 Ramsey St</t>
  </si>
  <si>
    <t>College Corner</t>
  </si>
  <si>
    <t>45003</t>
  </si>
  <si>
    <t>Other</t>
  </si>
  <si>
    <t>West Branch Local</t>
  </si>
  <si>
    <t>14277 S Main St, Beloit, Ohio, 44609</t>
  </si>
  <si>
    <t>14277 S Main St</t>
  </si>
  <si>
    <t>Beloit</t>
  </si>
  <si>
    <t>44609</t>
  </si>
  <si>
    <t>Canton Local</t>
  </si>
  <si>
    <t>600 Faircrest St SE, Canton, Ohio, 44707</t>
  </si>
  <si>
    <t>600 Faircrest St SE</t>
  </si>
  <si>
    <t>44707</t>
  </si>
  <si>
    <t>Jefferson Township Local</t>
  </si>
  <si>
    <t>2625 S Union Rd, Dayton, Ohio, 45417</t>
  </si>
  <si>
    <t>2625 S Union Rd</t>
  </si>
  <si>
    <t>45417</t>
  </si>
  <si>
    <t>Madison Local CTPD</t>
  </si>
  <si>
    <t>1379 Grace St, Mansfield, Ohio, 44905</t>
  </si>
  <si>
    <t>1379 Grace St</t>
  </si>
  <si>
    <t>44905</t>
  </si>
  <si>
    <t>Covington Exempted Village</t>
  </si>
  <si>
    <t>807 Chestnut St, Covington, Ohio, 45318</t>
  </si>
  <si>
    <t>807 Chestnut St</t>
  </si>
  <si>
    <t>Covington</t>
  </si>
  <si>
    <t>45318</t>
  </si>
  <si>
    <t>Tallmadge City</t>
  </si>
  <si>
    <t>486 East Ave, Tallmadge, Ohio, 44278</t>
  </si>
  <si>
    <t>486 East Ave</t>
  </si>
  <si>
    <t>Tallmadge</t>
  </si>
  <si>
    <t>44278</t>
  </si>
  <si>
    <t>Lakota Local</t>
  </si>
  <si>
    <t>5572 Princeton Rd, Liberty Township, Ohio, 45011</t>
  </si>
  <si>
    <t>5572 Princeton Rd</t>
  </si>
  <si>
    <t>Liberty Township</t>
  </si>
  <si>
    <t>Columbus Diocese</t>
  </si>
  <si>
    <t>197 E Gay St, Columbus, Ohio, 43215</t>
  </si>
  <si>
    <t>197 E Gay St</t>
  </si>
  <si>
    <t>Bluffton Exempted Village</t>
  </si>
  <si>
    <t>102 S Jackson St, Bluffton, Ohio, 45817</t>
  </si>
  <si>
    <t>102 S Jackson St</t>
  </si>
  <si>
    <t>Bluffton</t>
  </si>
  <si>
    <t>45817</t>
  </si>
  <si>
    <t>Rittman Exempted Village</t>
  </si>
  <si>
    <t>100 Saurer St, Rittman, Ohio, 44270</t>
  </si>
  <si>
    <t>100 Saurer St</t>
  </si>
  <si>
    <t>Rittman</t>
  </si>
  <si>
    <t>44270</t>
  </si>
  <si>
    <t>Clermont Northeastern Local</t>
  </si>
  <si>
    <t>2792 Us Highway 50, Batavia, Ohio, 45103</t>
  </si>
  <si>
    <t>2792 Us Highway 50</t>
  </si>
  <si>
    <t>Batavia</t>
  </si>
  <si>
    <t>45103</t>
  </si>
  <si>
    <t>Lexington Local</t>
  </si>
  <si>
    <t>103 Clever Ln, Lexington, Ohio, 44904</t>
  </si>
  <si>
    <t>103 Clever Ln</t>
  </si>
  <si>
    <t>Lexington</t>
  </si>
  <si>
    <t>44904</t>
  </si>
  <si>
    <t>Toledo City CTPD</t>
  </si>
  <si>
    <t xml:space="preserve">1609 N Summit St, Toledo, Ohio, </t>
  </si>
  <si>
    <t>1609 N Summit St</t>
  </si>
  <si>
    <t/>
  </si>
  <si>
    <t>Orrville City</t>
  </si>
  <si>
    <t>815 N Ella St, Orrville, Ohio, 44667</t>
  </si>
  <si>
    <t>815 N Ella St</t>
  </si>
  <si>
    <t>Orrville</t>
  </si>
  <si>
    <t>44667</t>
  </si>
  <si>
    <t>West Geauga Local</t>
  </si>
  <si>
    <t>8615 Cedar Rd, Chesterland, Ohio, 44026</t>
  </si>
  <si>
    <t>8615 Cedar Rd</t>
  </si>
  <si>
    <t>Chesterland</t>
  </si>
  <si>
    <t>44026</t>
  </si>
  <si>
    <t>Riverdale Local</t>
  </si>
  <si>
    <t>20613 State Route 37, Mt Blanchard, Ohio, 45867</t>
  </si>
  <si>
    <t>20613 State Route 37</t>
  </si>
  <si>
    <t>Mt Blanchard</t>
  </si>
  <si>
    <t>45867</t>
  </si>
  <si>
    <t>Lorain City CTPD</t>
  </si>
  <si>
    <t>2350 Pole Ave, Lorain, Ohio, 44052</t>
  </si>
  <si>
    <t>2350 Pole Ave</t>
  </si>
  <si>
    <t xml:space="preserve">Bellefontaine City </t>
  </si>
  <si>
    <t>820 Ludlow Rd, Bellefontaine, Ohio, 43311</t>
  </si>
  <si>
    <t>820 Ludlow Rd</t>
  </si>
  <si>
    <t>Anna Local</t>
  </si>
  <si>
    <t>1 McRill Way, Anna, Ohio, 45302</t>
  </si>
  <si>
    <t>1 McRill Way</t>
  </si>
  <si>
    <t>Anna</t>
  </si>
  <si>
    <t>45302</t>
  </si>
  <si>
    <t>Weathersfield Local</t>
  </si>
  <si>
    <t>1334 Seaborn St, Mineral Ridge, Ohio, 44440</t>
  </si>
  <si>
    <t>1334 Seaborn St</t>
  </si>
  <si>
    <t>Mineral Ridge</t>
  </si>
  <si>
    <t>44440</t>
  </si>
  <si>
    <t>New Lexington School District</t>
  </si>
  <si>
    <t>2549 Panther Drive, New Lexington, Ohio, 43764</t>
  </si>
  <si>
    <t>2549 Panther Drive</t>
  </si>
  <si>
    <t>New Lexington</t>
  </si>
  <si>
    <t>43764</t>
  </si>
  <si>
    <t>585 Riverside Dr, Painesville, Ohio, 44077</t>
  </si>
  <si>
    <t>585 Riverside Dr</t>
  </si>
  <si>
    <t>Mahoning Co Career &amp; Tech Ctr</t>
  </si>
  <si>
    <t>7300 N Palmyra Rd, Canfield, Ohio, 44406</t>
  </si>
  <si>
    <t>7300 N Palmyra Rd</t>
  </si>
  <si>
    <t>Bedford City</t>
  </si>
  <si>
    <t>475 Northfield Rd, Bedford, Ohio, 44146</t>
  </si>
  <si>
    <t>475 Northfield Rd</t>
  </si>
  <si>
    <t>Bedford</t>
  </si>
  <si>
    <t>44146</t>
  </si>
  <si>
    <t>Continental Local</t>
  </si>
  <si>
    <t>5211 State Route 634, Continental, Ohio, 45831</t>
  </si>
  <si>
    <t>5211 State Route 634</t>
  </si>
  <si>
    <t>Continental</t>
  </si>
  <si>
    <t>45831</t>
  </si>
  <si>
    <t>Career Technical Planning District 602</t>
  </si>
  <si>
    <t>4545 Fisher Rd, Columbus, Ohio, 43228</t>
  </si>
  <si>
    <t>4545 Fisher Rd</t>
  </si>
  <si>
    <t>Arcadia Local</t>
  </si>
  <si>
    <t>19033 State Route 12, Arcadia, Ohio, 44804</t>
  </si>
  <si>
    <t>19033 State Route 12</t>
  </si>
  <si>
    <t>Arcadia</t>
  </si>
  <si>
    <t>44804</t>
  </si>
  <si>
    <t>Bloom-Vernon Local</t>
  </si>
  <si>
    <t>10529 Main Street, South Webster, Ohio, 45682</t>
  </si>
  <si>
    <t>10529 Main Street</t>
  </si>
  <si>
    <t>South Webster</t>
  </si>
  <si>
    <t>45682</t>
  </si>
  <si>
    <t>Minford Local</t>
  </si>
  <si>
    <t>491 Bond Rd, Minford, Ohio, 45653</t>
  </si>
  <si>
    <t>491 Bond Rd</t>
  </si>
  <si>
    <t>Minford</t>
  </si>
  <si>
    <t>45653</t>
  </si>
  <si>
    <t>Southeast Local</t>
  </si>
  <si>
    <t>9048 Dover Rd, Apple Creek, Ohio, 44606</t>
  </si>
  <si>
    <t>9048 Dover Rd</t>
  </si>
  <si>
    <t>Apple Creek</t>
  </si>
  <si>
    <t>44606</t>
  </si>
  <si>
    <t>North Baltimore Local</t>
  </si>
  <si>
    <t>201 S Main St, North Baltimore, Ohio, 45872</t>
  </si>
  <si>
    <t>201 S Main St</t>
  </si>
  <si>
    <t>North Baltimore</t>
  </si>
  <si>
    <t>45872</t>
  </si>
  <si>
    <t>Cincinnati City CTPD</t>
  </si>
  <si>
    <t>Coldwater Exempted Village</t>
  </si>
  <si>
    <t>310 N 2nd St, Coldwater, Ohio, 45828</t>
  </si>
  <si>
    <t>310 N 2nd St</t>
  </si>
  <si>
    <t>Coldwater</t>
  </si>
  <si>
    <t>45828</t>
  </si>
  <si>
    <t>Gibsonburg Exempted Village</t>
  </si>
  <si>
    <t>301 S Sunset Ave, Gibsonburg, Ohio, 43431</t>
  </si>
  <si>
    <t>301 S Sunset Ave</t>
  </si>
  <si>
    <t>Gibsonburg</t>
  </si>
  <si>
    <t>43431</t>
  </si>
  <si>
    <t>Crooksville Exempted Village</t>
  </si>
  <si>
    <t>4065 Ceramic Way, Crooksville, Ohio, 43731</t>
  </si>
  <si>
    <t>4065 Ceramic Way</t>
  </si>
  <si>
    <t>Crooksville</t>
  </si>
  <si>
    <t>43731</t>
  </si>
  <si>
    <t>Southwest Local</t>
  </si>
  <si>
    <t>10800 Campbell Rd, Harrison, Ohio, 45030</t>
  </si>
  <si>
    <t>10800 Campbell Rd</t>
  </si>
  <si>
    <t>45030</t>
  </si>
  <si>
    <t>Lakewood Local</t>
  </si>
  <si>
    <t>525 E Main St, Hebron, Ohio, 43025</t>
  </si>
  <si>
    <t>525 E Main St</t>
  </si>
  <si>
    <t>Hebron</t>
  </si>
  <si>
    <t>43025</t>
  </si>
  <si>
    <t>Firelands Local</t>
  </si>
  <si>
    <t>112 N Lake St, South Amherst, Ohio, 44001</t>
  </si>
  <si>
    <t>112 N Lake St</t>
  </si>
  <si>
    <t>South Amherst</t>
  </si>
  <si>
    <t>Twin Valley Community Local</t>
  </si>
  <si>
    <t>100 Education Dr, West Alexandria, Ohio, 45381</t>
  </si>
  <si>
    <t>100 Education Dr</t>
  </si>
  <si>
    <t>West Alexandria</t>
  </si>
  <si>
    <t>45381</t>
  </si>
  <si>
    <t>Millcreek-West Unity Local</t>
  </si>
  <si>
    <t>1401 W Jackson St, West Unity, Ohio, 43570</t>
  </si>
  <si>
    <t>1401 W Jackson St</t>
  </si>
  <si>
    <t>West Unity</t>
  </si>
  <si>
    <t>43570</t>
  </si>
  <si>
    <t>U S Grant JVSD CTPD</t>
  </si>
  <si>
    <t>718 W Plane St, Bethel, Ohio, 45106</t>
  </si>
  <si>
    <t>718 W Plane St</t>
  </si>
  <si>
    <t>Bethel</t>
  </si>
  <si>
    <t>45106</t>
  </si>
  <si>
    <t>New Bremen Local</t>
  </si>
  <si>
    <t>901 E Monroe St, New Bremen, Ohio, 45869</t>
  </si>
  <si>
    <t>901 E Monroe St</t>
  </si>
  <si>
    <t>New Bremen</t>
  </si>
  <si>
    <t>45869</t>
  </si>
  <si>
    <t>Cloverleaf Local</t>
  </si>
  <si>
    <t>8525 Friendsville Rd, Lodi, Ohio, 44254</t>
  </si>
  <si>
    <t>8525 Friendsville Rd</t>
  </si>
  <si>
    <t>Lodi</t>
  </si>
  <si>
    <t>44254</t>
  </si>
  <si>
    <t>Bethel Local</t>
  </si>
  <si>
    <t>7490 State Route 201, Tipp City, Ohio, 45371</t>
  </si>
  <si>
    <t>7490 State Route 201</t>
  </si>
  <si>
    <t>Tipp City</t>
  </si>
  <si>
    <t>45371</t>
  </si>
  <si>
    <t>Miami County ESC</t>
  </si>
  <si>
    <t>130 Wayne Frye Dr, Manchester, Ohio, 45144</t>
  </si>
  <si>
    <t>130 Wayne Frye Dr</t>
  </si>
  <si>
    <t>Manchester</t>
  </si>
  <si>
    <t>45144</t>
  </si>
  <si>
    <t>Euclid City</t>
  </si>
  <si>
    <t>651 E 222nd St, Euclid, Ohio, 44123</t>
  </si>
  <si>
    <t>651 E 222nd St</t>
  </si>
  <si>
    <t>Euclid</t>
  </si>
  <si>
    <t>44123</t>
  </si>
  <si>
    <t>Galion City</t>
  </si>
  <si>
    <t>470 Portland Way N, Galion, Ohio, 44833</t>
  </si>
  <si>
    <t>470 Portland Way N</t>
  </si>
  <si>
    <t>Huron City Schools</t>
  </si>
  <si>
    <t>Prekindergarten Associate Certification Institution</t>
  </si>
  <si>
    <t>710 Cleveland Rd W, Huron, Ohio, 44839</t>
  </si>
  <si>
    <t>710 Cleveland Rd W</t>
  </si>
  <si>
    <t>44839</t>
  </si>
  <si>
    <t>Holgate Local</t>
  </si>
  <si>
    <t>801 Joe E Brown Ave, Holgate, Ohio, 43527</t>
  </si>
  <si>
    <t>801 Joe E Brown Ave</t>
  </si>
  <si>
    <t>Holgate</t>
  </si>
  <si>
    <t>43527</t>
  </si>
  <si>
    <t>Circleville City</t>
  </si>
  <si>
    <t>388 Clark Dr, Circleville, Ohio, 43113</t>
  </si>
  <si>
    <t>388 Clark Dr</t>
  </si>
  <si>
    <t>Wilmington City</t>
  </si>
  <si>
    <t>341 S Nelson Ave, Wilmington, Ohio, 45177</t>
  </si>
  <si>
    <t>341 S Nelson Ave</t>
  </si>
  <si>
    <t>Wilmington</t>
  </si>
  <si>
    <t>45177</t>
  </si>
  <si>
    <t>Tipp City Exempted Village</t>
  </si>
  <si>
    <t>90 S Tippecanoe Dr, Tipp City, Ohio, 45371</t>
  </si>
  <si>
    <t>90 S Tippecanoe Dr</t>
  </si>
  <si>
    <t xml:space="preserve">East Holmes Local </t>
  </si>
  <si>
    <t>6108 County Road 77, Millersburg, Ohio, 44654</t>
  </si>
  <si>
    <t>6108 County Road 77</t>
  </si>
  <si>
    <t>Noble Local</t>
  </si>
  <si>
    <t>Noble</t>
  </si>
  <si>
    <t>20977 Zep Rd E, Sarahsville, Ohio, 43779</t>
  </si>
  <si>
    <t>20977 Zep Rd E</t>
  </si>
  <si>
    <t>Sarahsville</t>
  </si>
  <si>
    <t>43779</t>
  </si>
  <si>
    <t>Steubenville Diocese</t>
  </si>
  <si>
    <t>422 Washington St, Steubenville, Ohio, 43952</t>
  </si>
  <si>
    <t>422 Washington St</t>
  </si>
  <si>
    <t>St Marys City</t>
  </si>
  <si>
    <t>2250 State Route 66, Saint Marys, Ohio, 45885</t>
  </si>
  <si>
    <t>2250 State Route 66</t>
  </si>
  <si>
    <t>Saint Marys</t>
  </si>
  <si>
    <t>45885</t>
  </si>
  <si>
    <t>44100 Crestview Rd Ste A, Columbiana, Ohio, 44408</t>
  </si>
  <si>
    <t>44100 Crestview Rd Ste A</t>
  </si>
  <si>
    <t>44408</t>
  </si>
  <si>
    <t>Polaris JVSD CTPD</t>
  </si>
  <si>
    <t>7285 Old Oak Blvd, Middleburg Heights, Ohio, 44130</t>
  </si>
  <si>
    <t>7285 Old Oak Blvd</t>
  </si>
  <si>
    <t>Middleburg Heights</t>
  </si>
  <si>
    <t>44130</t>
  </si>
  <si>
    <t>Caldwell Exempted Village</t>
  </si>
  <si>
    <t>516 Fairground St, Caldwell, Ohio, 43724</t>
  </si>
  <si>
    <t>516 Fairground St</t>
  </si>
  <si>
    <t>Caldwell</t>
  </si>
  <si>
    <t>43724</t>
  </si>
  <si>
    <t>Southern Local</t>
  </si>
  <si>
    <t>10397 State Route 155 SE # 1, Corning, Ohio, 43730</t>
  </si>
  <si>
    <t>10397 State Route 155 SE # 1</t>
  </si>
  <si>
    <t>Corning</t>
  </si>
  <si>
    <t>43730</t>
  </si>
  <si>
    <t>Edison Local</t>
  </si>
  <si>
    <t>14890 State Route 213, Hammondsville, Ohio, 43930</t>
  </si>
  <si>
    <t>14890 State Route 213</t>
  </si>
  <si>
    <t>Hammondsville</t>
  </si>
  <si>
    <t>43930</t>
  </si>
  <si>
    <t>Butler Technology &amp; Career Development Schools</t>
  </si>
  <si>
    <t>3603 Hamilton Middletown Rd, Hamilton, Ohio, 45011</t>
  </si>
  <si>
    <t>3603 Hamilton Middletown Rd</t>
  </si>
  <si>
    <t>Tri-Rivers</t>
  </si>
  <si>
    <t>Cleveland Municipal CTPD</t>
  </si>
  <si>
    <t>Midview Local</t>
  </si>
  <si>
    <t>13050 Durkee Rd, Grafton, Ohio, 44044</t>
  </si>
  <si>
    <t>13050 Durkee Rd</t>
  </si>
  <si>
    <t>Grafton</t>
  </si>
  <si>
    <t>44044</t>
  </si>
  <si>
    <t>Bellaire Local</t>
  </si>
  <si>
    <t>340 34th St, Bellaire, Ohio, 43906</t>
  </si>
  <si>
    <t>340 34th St</t>
  </si>
  <si>
    <t>Bellaire</t>
  </si>
  <si>
    <t>43906</t>
  </si>
  <si>
    <t>Hubbard Exempted Village</t>
  </si>
  <si>
    <t>108 Orchard Ave, Hubbard, Ohio, 44425</t>
  </si>
  <si>
    <t>108 Orchard Ave</t>
  </si>
  <si>
    <t>Hubbard</t>
  </si>
  <si>
    <t>44425</t>
  </si>
  <si>
    <t>Buckeye Central Local</t>
  </si>
  <si>
    <t>938 S Kibler St, New Washington, Ohio, 44854</t>
  </si>
  <si>
    <t>938 S Kibler St</t>
  </si>
  <si>
    <t>New Washington</t>
  </si>
  <si>
    <t>44854</t>
  </si>
  <si>
    <t>Scioto Valley Local</t>
  </si>
  <si>
    <t>1414 Piketon Rd, Piketon, Ohio, 45661</t>
  </si>
  <si>
    <t>1414 Piketon Rd</t>
  </si>
  <si>
    <t>Revere Local</t>
  </si>
  <si>
    <t>3496 Everett Rd, Richfield, Ohio, 44286</t>
  </si>
  <si>
    <t>3496 Everett Rd</t>
  </si>
  <si>
    <t>Richfield</t>
  </si>
  <si>
    <t>44286</t>
  </si>
  <si>
    <t>Scioto County Joint Vocational School</t>
  </si>
  <si>
    <t>Tri-County North Local</t>
  </si>
  <si>
    <t>436 N Commerce St, Lewisburg, Ohio, 45338</t>
  </si>
  <si>
    <t>436 N Commerce St</t>
  </si>
  <si>
    <t>Lewisburg</t>
  </si>
  <si>
    <t>45338</t>
  </si>
  <si>
    <t>Richmond Heights Local</t>
  </si>
  <si>
    <t>447 Richmond Rd, Richmond Heights, Ohio, 44143</t>
  </si>
  <si>
    <t>447 Richmond Rd</t>
  </si>
  <si>
    <t>Richmond Heights</t>
  </si>
  <si>
    <t>44143</t>
  </si>
  <si>
    <t>Pickerington Local</t>
  </si>
  <si>
    <t>90 East St., Pickerington, Ohio, 43147</t>
  </si>
  <si>
    <t>90 East St.</t>
  </si>
  <si>
    <t>Pickerington</t>
  </si>
  <si>
    <t>43147</t>
  </si>
  <si>
    <t>Miami Trace Local</t>
  </si>
  <si>
    <t>Fayette</t>
  </si>
  <si>
    <t>3818 State Route 41 NW, Washington Court House, Ohio, 43160</t>
  </si>
  <si>
    <t>3818 State Route 41 NW</t>
  </si>
  <si>
    <t>Washington Court House</t>
  </si>
  <si>
    <t>43160</t>
  </si>
  <si>
    <t>Hicksville Exempted Village School District</t>
  </si>
  <si>
    <t>Defiance</t>
  </si>
  <si>
    <t>958 E High St, Hicksville, Ohio, 43526</t>
  </si>
  <si>
    <t>958 E High St</t>
  </si>
  <si>
    <t>Hicksville</t>
  </si>
  <si>
    <t>43526</t>
  </si>
  <si>
    <t>Ross Local</t>
  </si>
  <si>
    <t>3371 Hamilton Cleves Rd, Hamilton, Ohio, 45013</t>
  </si>
  <si>
    <t>3371 Hamilton Cleves Rd</t>
  </si>
  <si>
    <t>45013</t>
  </si>
  <si>
    <t>Olmsted Falls City</t>
  </si>
  <si>
    <t>26937 Bagley Rd, Olmsted Falls, Ohio, 44138</t>
  </si>
  <si>
    <t>26937 Bagley Rd</t>
  </si>
  <si>
    <t>Olmsted Falls</t>
  </si>
  <si>
    <t>44138</t>
  </si>
  <si>
    <t>Winton Woods City</t>
  </si>
  <si>
    <t>825 Waycross Rd Ste A, Cincinnati, Ohio, 45240</t>
  </si>
  <si>
    <t>825 Waycross Rd Ste A</t>
  </si>
  <si>
    <t>45240</t>
  </si>
  <si>
    <t xml:space="preserve">Norwood City </t>
  </si>
  <si>
    <t>2132 Williams Ave, Norwood, Ohio, 45212</t>
  </si>
  <si>
    <t>2132 Williams Ave</t>
  </si>
  <si>
    <t>Norwood</t>
  </si>
  <si>
    <t>45212</t>
  </si>
  <si>
    <t>Chagrin Falls Exempted Village</t>
  </si>
  <si>
    <t>400 E Washington St, Chagrin Falls, Ohio, 44022</t>
  </si>
  <si>
    <t>400 E Washington St</t>
  </si>
  <si>
    <t>44022</t>
  </si>
  <si>
    <t>South Euclid-Lyndhurst City</t>
  </si>
  <si>
    <t>5044 Mayfield Rd, Lyndhurst, Ohio, 44124</t>
  </si>
  <si>
    <t>5044 Mayfield Rd</t>
  </si>
  <si>
    <t>Lyndhurst</t>
  </si>
  <si>
    <t>Stark County Area</t>
  </si>
  <si>
    <t>New Albany-Plain Local</t>
  </si>
  <si>
    <t>55 N High St, New Albany, Ohio, 43054</t>
  </si>
  <si>
    <t>55 N High St</t>
  </si>
  <si>
    <t>New Albany</t>
  </si>
  <si>
    <t>43054</t>
  </si>
  <si>
    <t>6506 State Route 229, Marengo, Ohio, 43334</t>
  </si>
  <si>
    <t>6506 State Route 229</t>
  </si>
  <si>
    <t>Marengo</t>
  </si>
  <si>
    <t>43334</t>
  </si>
  <si>
    <t>Mount Vernon City</t>
  </si>
  <si>
    <t>300 Newark Rd, Mount Vernon, Ohio, 43050</t>
  </si>
  <si>
    <t>300 Newark Rd</t>
  </si>
  <si>
    <t>Salem City</t>
  </si>
  <si>
    <t>1226 E State St, Salem, Ohio, 44460</t>
  </si>
  <si>
    <t>1226 E State St</t>
  </si>
  <si>
    <t>Salem</t>
  </si>
  <si>
    <t>44460</t>
  </si>
  <si>
    <t>Waynesfield-Goshen Local</t>
  </si>
  <si>
    <t>500 N Westminster St, Waynesfield, Ohio, 45896</t>
  </si>
  <si>
    <t>500 N Westminster St</t>
  </si>
  <si>
    <t>Waynesfield</t>
  </si>
  <si>
    <t>45896</t>
  </si>
  <si>
    <t>38095 State Route 39, Salineville, Ohio, 43945</t>
  </si>
  <si>
    <t>38095 State Route 39</t>
  </si>
  <si>
    <t>Salineville</t>
  </si>
  <si>
    <t>43945</t>
  </si>
  <si>
    <t xml:space="preserve">Central Local </t>
  </si>
  <si>
    <t>6289 Us Highway 127, Sherwood, Ohio, 43556</t>
  </si>
  <si>
    <t>6289 Us Highway 127</t>
  </si>
  <si>
    <t>Sherwood</t>
  </si>
  <si>
    <t>43556</t>
  </si>
  <si>
    <t>5855 Domersville Rd, Defiance, Ohio, 43512</t>
  </si>
  <si>
    <t>5855 Domersville Rd</t>
  </si>
  <si>
    <t>43512</t>
  </si>
  <si>
    <t>Conotton Valley Union Local</t>
  </si>
  <si>
    <t>7205 Cumberland Rd SW, Bowerston, Ohio, 44695</t>
  </si>
  <si>
    <t>7205 Cumberland Rd SW</t>
  </si>
  <si>
    <t>Bowerston</t>
  </si>
  <si>
    <t>44695</t>
  </si>
  <si>
    <t>Ridgewood Local</t>
  </si>
  <si>
    <t>301 S Oak St, West Lafayette, Ohio, 43845</t>
  </si>
  <si>
    <t>301 S Oak St</t>
  </si>
  <si>
    <t>West Lafayette</t>
  </si>
  <si>
    <t>43845</t>
  </si>
  <si>
    <t>Zanesville City</t>
  </si>
  <si>
    <t>956 Moxahala Ave, Zanesville, Ohio, 43701</t>
  </si>
  <si>
    <t>956 Moxahala Ave</t>
  </si>
  <si>
    <t>Bethel-Tate Local</t>
  </si>
  <si>
    <t>675 West Plane Street, Bethel, Ohio, 45106</t>
  </si>
  <si>
    <t>675 West Plane Street</t>
  </si>
  <si>
    <t>Lancaster City CTPD</t>
  </si>
  <si>
    <t>345 E Mulberry St, Lancaster, Ohio, 43130</t>
  </si>
  <si>
    <t>345 E Mulberry St</t>
  </si>
  <si>
    <t>Fayetteville-Perry Local</t>
  </si>
  <si>
    <t>551 S Apple St, Fayetteville, Ohio, 45118</t>
  </si>
  <si>
    <t>551 S Apple St</t>
  </si>
  <si>
    <t>Fayetteville</t>
  </si>
  <si>
    <t>45118</t>
  </si>
  <si>
    <t>Batavia Local</t>
  </si>
  <si>
    <t>800 Bauer Ave, Batavia, Ohio, 45103</t>
  </si>
  <si>
    <t>800 Bauer Ave</t>
  </si>
  <si>
    <t>National Trail Local</t>
  </si>
  <si>
    <t>6940 Oxford Gettysburg Rd, New Paris, Ohio, 45347</t>
  </si>
  <si>
    <t>6940 Oxford Gettysburg Rd</t>
  </si>
  <si>
    <t>New Paris</t>
  </si>
  <si>
    <t>45347</t>
  </si>
  <si>
    <t>Pickaway-Ross County JVSD CTPD</t>
  </si>
  <si>
    <t>895 Crouse Chapel Rd, Chillicothe, Ohio, 45601</t>
  </si>
  <si>
    <t>895 Crouse Chapel Rd</t>
  </si>
  <si>
    <t>Mahoning County JVSD CTPD</t>
  </si>
  <si>
    <t>Licking Valley Local</t>
  </si>
  <si>
    <t>1379 Licking Valley Rd, Newark, Ohio, 43055</t>
  </si>
  <si>
    <t>1379 Licking Valley Rd</t>
  </si>
  <si>
    <t>North Central Local</t>
  </si>
  <si>
    <t>400 E Baubice St, Pioneer, Ohio, 43554</t>
  </si>
  <si>
    <t>400 E Baubice St</t>
  </si>
  <si>
    <t>Pioneer</t>
  </si>
  <si>
    <t>43554</t>
  </si>
  <si>
    <t>Washington Local CTPD</t>
  </si>
  <si>
    <t>Sycamore Community City</t>
  </si>
  <si>
    <t>5959 Hagewa Dr, Blue Ash, Ohio, 45242</t>
  </si>
  <si>
    <t>5959 Hagewa Dr</t>
  </si>
  <si>
    <t>Blue Ash</t>
  </si>
  <si>
    <t>45242</t>
  </si>
  <si>
    <t>Fairfield City</t>
  </si>
  <si>
    <t>4641 Bach Ln, Fairfield, Ohio, 45014</t>
  </si>
  <si>
    <t>4641 Bach Ln</t>
  </si>
  <si>
    <t>45014</t>
  </si>
  <si>
    <t>Southwest Licking Local</t>
  </si>
  <si>
    <t>927-A South Street, Pataskala, Ohio, 43062</t>
  </si>
  <si>
    <t>927-A South Street</t>
  </si>
  <si>
    <t>Knox County JVSD</t>
  </si>
  <si>
    <t>Belmont-Harrison Area JVSD CTPD</t>
  </si>
  <si>
    <t>68090 Hammond Rd, Saint Clairsville, Ohio, 43950</t>
  </si>
  <si>
    <t>68090 Hammond Rd</t>
  </si>
  <si>
    <t>Toronto City</t>
  </si>
  <si>
    <t>1307 Dennis Way, Toronto, Ohio, 43964</t>
  </si>
  <si>
    <t>1307 Dennis Way</t>
  </si>
  <si>
    <t>Toronto</t>
  </si>
  <si>
    <t>43964</t>
  </si>
  <si>
    <t>Westfall Local</t>
  </si>
  <si>
    <t>19463 Pherson Pike, Williamsport, Ohio, 43164</t>
  </si>
  <si>
    <t>19463 Pherson Pike</t>
  </si>
  <si>
    <t>Williamsport</t>
  </si>
  <si>
    <t>43164</t>
  </si>
  <si>
    <t>Madeira City</t>
  </si>
  <si>
    <t>7465 Loannes Dr, Cincinnati, Ohio, 45243</t>
  </si>
  <si>
    <t>7465 Loannes Dr</t>
  </si>
  <si>
    <t>Beavercreek City</t>
  </si>
  <si>
    <t>3040 Kemp Rd, Beavercreek, Ohio, 45431</t>
  </si>
  <si>
    <t>3040 Kemp Rd</t>
  </si>
  <si>
    <t>Beavercreek</t>
  </si>
  <si>
    <t>Boardman Local</t>
  </si>
  <si>
    <t>7777 Glenwood Ave, Youngstown, Ohio, 44512</t>
  </si>
  <si>
    <t>7777 Glenwood Ave</t>
  </si>
  <si>
    <t>44512</t>
  </si>
  <si>
    <t>Cuyahoga Valley Career Center</t>
  </si>
  <si>
    <t>Marion City</t>
  </si>
  <si>
    <t>100 Executive Dr, Marion, Ohio, 43302</t>
  </si>
  <si>
    <t>100 Executive Dr</t>
  </si>
  <si>
    <t>Mayfield City</t>
  </si>
  <si>
    <t>1101 S.O.M. Center Road, Mayfield Heights, Ohio, 44124</t>
  </si>
  <si>
    <t>1101 S.O.M. Center Road</t>
  </si>
  <si>
    <t>Mayfield Heights</t>
  </si>
  <si>
    <t>Sandy Valley Local</t>
  </si>
  <si>
    <t>5362 State Route 183 NE, Magnolia, Ohio, 44643</t>
  </si>
  <si>
    <t>5362 State Route 183 NE</t>
  </si>
  <si>
    <t>Magnolia</t>
  </si>
  <si>
    <t>44643</t>
  </si>
  <si>
    <t>Cincinnati Archdiocese</t>
  </si>
  <si>
    <t>100 E 8th St, Cincinnati, Ohio, 45202</t>
  </si>
  <si>
    <t>100 E 8th St</t>
  </si>
  <si>
    <t>45202</t>
  </si>
  <si>
    <t>Canton Local CTPD</t>
  </si>
  <si>
    <t>4526 Ridge Ave SE, Canton, Ohio, 44707</t>
  </si>
  <si>
    <t>4526 Ridge Ave SE</t>
  </si>
  <si>
    <t>Youngstown City CTPD</t>
  </si>
  <si>
    <t>474 Bennington Ave, Youngstown, Ohio, 44505</t>
  </si>
  <si>
    <t>474 Bennington Ave</t>
  </si>
  <si>
    <t>Edgerton Local</t>
  </si>
  <si>
    <t>111 E River St, Edgerton, Ohio, 43517</t>
  </si>
  <si>
    <t>111 E River St</t>
  </si>
  <si>
    <t>Edgerton</t>
  </si>
  <si>
    <t>43517</t>
  </si>
  <si>
    <t>West Liberty-Salem Local</t>
  </si>
  <si>
    <t>7208 US Highway 68 N, West Liberty, Ohio, 43357</t>
  </si>
  <si>
    <t>7208 US Highway 68 N</t>
  </si>
  <si>
    <t>West Liberty</t>
  </si>
  <si>
    <t>43357</t>
  </si>
  <si>
    <t>Swanton Local</t>
  </si>
  <si>
    <t>108 N Main St, Swanton, Ohio, 43558</t>
  </si>
  <si>
    <t>108 N Main St</t>
  </si>
  <si>
    <t>Swanton</t>
  </si>
  <si>
    <t>43558</t>
  </si>
  <si>
    <t>Jackson Local</t>
  </si>
  <si>
    <t>7602 Fulton Dr NW, Massillon, Ohio, 44646</t>
  </si>
  <si>
    <t>7602 Fulton Dr NW</t>
  </si>
  <si>
    <t>Maplewood Career Center District</t>
  </si>
  <si>
    <t>Cuyahoga Falls City</t>
  </si>
  <si>
    <t>431 Stow Ave, Cuyahoga Falls, Ohio, 44221</t>
  </si>
  <si>
    <t>431 Stow Ave</t>
  </si>
  <si>
    <t>Cuyahoga Falls</t>
  </si>
  <si>
    <t>44221</t>
  </si>
  <si>
    <t>Princeton City</t>
  </si>
  <si>
    <t>3900 Cottingham Dr, Cincinnati, Ohio, 45241</t>
  </si>
  <si>
    <t>3900 Cottingham Dr</t>
  </si>
  <si>
    <t>Georgetown Exempted Village</t>
  </si>
  <si>
    <t>1043 Mount Orab Pike, Georgetown, Ohio, 45121</t>
  </si>
  <si>
    <t>1043 Mount Orab Pike</t>
  </si>
  <si>
    <t>Hamilton-Clermont Cooperative Association</t>
  </si>
  <si>
    <t>Centerburg Local</t>
  </si>
  <si>
    <t>119 S Preston St, Centerburg, Ohio, 43011</t>
  </si>
  <si>
    <t>119 S Preston St</t>
  </si>
  <si>
    <t>Centerburg</t>
  </si>
  <si>
    <t>43011</t>
  </si>
  <si>
    <t>Forest Hills Local</t>
  </si>
  <si>
    <t>7946 Beechmont Ave, Cincinnati, Ohio, 45255</t>
  </si>
  <si>
    <t>7946 Beechmont Ave</t>
  </si>
  <si>
    <t>45255</t>
  </si>
  <si>
    <t>Chillicothe City</t>
  </si>
  <si>
    <t>425 Yoctangee Pkwy, Chillicothe, Ohio, 45601</t>
  </si>
  <si>
    <t>425 Yoctangee Pkwy</t>
  </si>
  <si>
    <t>Kenton City</t>
  </si>
  <si>
    <t>222 W Carrol St, Kenton, Ohio, 43326</t>
  </si>
  <si>
    <t>222 W Carrol St</t>
  </si>
  <si>
    <t>Kenton</t>
  </si>
  <si>
    <t>43326</t>
  </si>
  <si>
    <t>Federal Hocking Local</t>
  </si>
  <si>
    <t>8461 State Route 144, Stewart, Ohio, 45778</t>
  </si>
  <si>
    <t>8461 State Route 144</t>
  </si>
  <si>
    <t>Stewart</t>
  </si>
  <si>
    <t>45778</t>
  </si>
  <si>
    <t>Benton Carroll Salem Local</t>
  </si>
  <si>
    <t>11685 W State Route 163, Oak Harbor, Ohio, 43449</t>
  </si>
  <si>
    <t>11685 W State Route 163</t>
  </si>
  <si>
    <t>Oak Harbor</t>
  </si>
  <si>
    <t>43449</t>
  </si>
  <si>
    <t>Gahanna-Jefferson City</t>
  </si>
  <si>
    <t>160 S Hamilton Rd, Gahanna, Ohio, 43230</t>
  </si>
  <si>
    <t>160 S Hamilton Rd</t>
  </si>
  <si>
    <t>Gahanna</t>
  </si>
  <si>
    <t>43230</t>
  </si>
  <si>
    <t>Liberty Center Local</t>
  </si>
  <si>
    <t>100 Tiger Trail, Liberty Center, Ohio, 43532</t>
  </si>
  <si>
    <t>100 Tiger Trail</t>
  </si>
  <si>
    <t>Liberty Center</t>
  </si>
  <si>
    <t>43532</t>
  </si>
  <si>
    <t>New Lebanon Local School District</t>
  </si>
  <si>
    <t>320 S Fuls Rd, New Lebanon, Ohio, 45345</t>
  </si>
  <si>
    <t>320 S Fuls Rd</t>
  </si>
  <si>
    <t>New Lebanon</t>
  </si>
  <si>
    <t>45345</t>
  </si>
  <si>
    <t>8245 Tallmadge Rd, Ravenna, Ohio, 44266</t>
  </si>
  <si>
    <t>8245 Tallmadge Rd</t>
  </si>
  <si>
    <t>Milton-Union Exempted Village</t>
  </si>
  <si>
    <t>7610 Milton Potsdam Rd, West Milton, Ohio, 45383</t>
  </si>
  <si>
    <t>7610 Milton Potsdam Rd</t>
  </si>
  <si>
    <t>West Milton</t>
  </si>
  <si>
    <t>45383</t>
  </si>
  <si>
    <t>Barberton City</t>
  </si>
  <si>
    <t>633 Brady Ave, Barberton, Ohio, 44203</t>
  </si>
  <si>
    <t>633 Brady Ave</t>
  </si>
  <si>
    <t>Barberton</t>
  </si>
  <si>
    <t>44203</t>
  </si>
  <si>
    <t>Greenfield Exempted Village</t>
  </si>
  <si>
    <t>200 N 5th St, Greenfield, Ohio, 45123</t>
  </si>
  <si>
    <t>200 N 5th St</t>
  </si>
  <si>
    <t>Greenfield</t>
  </si>
  <si>
    <t>45123</t>
  </si>
  <si>
    <t>Lutheran Schools Of Ohio</t>
  </si>
  <si>
    <t>6451 Columbia Rd, Olmsted Falls, Ohio, 44138</t>
  </si>
  <si>
    <t>6451 Columbia Rd</t>
  </si>
  <si>
    <t>Monroe Local</t>
  </si>
  <si>
    <t>500 Yankee Rd, Monroe, Ohio, 45050</t>
  </si>
  <si>
    <t>500 Yankee Rd</t>
  </si>
  <si>
    <t>45050</t>
  </si>
  <si>
    <t>Northeast Tech Prep Regional  Center</t>
  </si>
  <si>
    <t>800 E Summit St, Kent, Ohio, 44242</t>
  </si>
  <si>
    <t>800 E Summit St</t>
  </si>
  <si>
    <t>44242</t>
  </si>
  <si>
    <t>2008 Timber Ln, Dayton, Ohio, 45414</t>
  </si>
  <si>
    <t>2008 Timber Ln</t>
  </si>
  <si>
    <t>45414</t>
  </si>
  <si>
    <t>Green Local</t>
  </si>
  <si>
    <t>4070 Gallia Pike, Franklin Furnace, Ohio, 45629</t>
  </si>
  <si>
    <t>4070 Gallia Pike</t>
  </si>
  <si>
    <t>Franklin Furnace</t>
  </si>
  <si>
    <t>45629</t>
  </si>
  <si>
    <t>Fort Recovery Local</t>
  </si>
  <si>
    <t>400 E Butler St, Fort Recovery, Ohio, 45846</t>
  </si>
  <si>
    <t>400 E Butler St</t>
  </si>
  <si>
    <t>Fort Recovery</t>
  </si>
  <si>
    <t>45846</t>
  </si>
  <si>
    <t>Indian Valley Local</t>
  </si>
  <si>
    <t>100 N Walnut St, Gnadenhutten, Ohio, 44629</t>
  </si>
  <si>
    <t>100 N Walnut St</t>
  </si>
  <si>
    <t>Gnadenhutten</t>
  </si>
  <si>
    <t>44629</t>
  </si>
  <si>
    <t>Bowling Green City School District</t>
  </si>
  <si>
    <t>137 Clough St, Bowling Green, Ohio, 43402</t>
  </si>
  <si>
    <t>137 Clough St</t>
  </si>
  <si>
    <t>5200 County Road 13, Kansas, Ohio, 44841</t>
  </si>
  <si>
    <t>5200 County Road 13</t>
  </si>
  <si>
    <t>Kansas</t>
  </si>
  <si>
    <t>44841</t>
  </si>
  <si>
    <t>Mason City</t>
  </si>
  <si>
    <t>211 N East St, Mason, Ohio, 45040</t>
  </si>
  <si>
    <t>211 N East St</t>
  </si>
  <si>
    <t>Mason</t>
  </si>
  <si>
    <t>45040</t>
  </si>
  <si>
    <t>Danbury Local</t>
  </si>
  <si>
    <t>9451 E Harbor Rd, Lakeside Marblehead, Ohio, 43440</t>
  </si>
  <si>
    <t>9451 E Harbor Rd</t>
  </si>
  <si>
    <t>Lakeside Marblehead</t>
  </si>
  <si>
    <t>43440</t>
  </si>
  <si>
    <t>Jefferson County</t>
  </si>
  <si>
    <t>1509 County Highway 22A, Bloomingdale, Ohio, 43910</t>
  </si>
  <si>
    <t>1509 County Highway 22A</t>
  </si>
  <si>
    <t>North Ridgeville City</t>
  </si>
  <si>
    <t>34620 Bainbridge Rd, North Ridgeville, Ohio, 44039</t>
  </si>
  <si>
    <t>34620 Bainbridge Rd</t>
  </si>
  <si>
    <t>North Ridgeville</t>
  </si>
  <si>
    <t>44039</t>
  </si>
  <si>
    <t>Shadyside Local</t>
  </si>
  <si>
    <t>3890 Lincoln Ave, Shadyside, Ohio, 43947</t>
  </si>
  <si>
    <t>3890 Lincoln Ave</t>
  </si>
  <si>
    <t>Shadyside</t>
  </si>
  <si>
    <t>43947</t>
  </si>
  <si>
    <t>Newton Local</t>
  </si>
  <si>
    <t>201 N Long St, Pleasant Hill, Ohio, 45359</t>
  </si>
  <si>
    <t>201 N Long St</t>
  </si>
  <si>
    <t>Pleasant Hill</t>
  </si>
  <si>
    <t>45359</t>
  </si>
  <si>
    <t>McDonald Local</t>
  </si>
  <si>
    <t>600 Iowa Ave, Mc Donald, Ohio, 44437</t>
  </si>
  <si>
    <t>600 Iowa Ave</t>
  </si>
  <si>
    <t>Mc Donald</t>
  </si>
  <si>
    <t>44437</t>
  </si>
  <si>
    <t>Butler County JVSD CTPD</t>
  </si>
  <si>
    <t>Goshen Local</t>
  </si>
  <si>
    <t>6694 Goshen Rd, Goshen, Ohio, 45122</t>
  </si>
  <si>
    <t>6694 Goshen Rd</t>
  </si>
  <si>
    <t>Goshen</t>
  </si>
  <si>
    <t>45122</t>
  </si>
  <si>
    <t>Canal Winchester Local</t>
  </si>
  <si>
    <t>100 Washington St, Canal Winchester, Ohio, 43110</t>
  </si>
  <si>
    <t>100 Washington St</t>
  </si>
  <si>
    <t>Canal Winchester</t>
  </si>
  <si>
    <t>43110</t>
  </si>
  <si>
    <t>Liberty-Benton Local</t>
  </si>
  <si>
    <t>9190 County Road 9, Findlay, Ohio, 45840</t>
  </si>
  <si>
    <t>9190 County Road 9</t>
  </si>
  <si>
    <t>Upper Sandusky Exempted Village</t>
  </si>
  <si>
    <t>800 N Sandusky Ave, Upper Sandusky, Ohio, 43351</t>
  </si>
  <si>
    <t>800 N Sandusky Ave</t>
  </si>
  <si>
    <t>Upper Sandusky</t>
  </si>
  <si>
    <t>43351</t>
  </si>
  <si>
    <t>Pike-Delta-York Local</t>
  </si>
  <si>
    <t>504 Fernwood St., Delta, Ohio, 43515</t>
  </si>
  <si>
    <t>504 Fernwood St.</t>
  </si>
  <si>
    <t>Delta</t>
  </si>
  <si>
    <t>43515</t>
  </si>
  <si>
    <t>Massillon City CTPD</t>
  </si>
  <si>
    <t>Canton City CTPD</t>
  </si>
  <si>
    <t>521 Tuscarawas St W, Canton, Ohio, 44702</t>
  </si>
  <si>
    <t>521 Tuscarawas St W</t>
  </si>
  <si>
    <t>44702</t>
  </si>
  <si>
    <t>Sandusky City</t>
  </si>
  <si>
    <t>Clark-Shawnee Local</t>
  </si>
  <si>
    <t>3680 Selma Rd, Springfield, Ohio, 45502</t>
  </si>
  <si>
    <t>3680 Selma Rd</t>
  </si>
  <si>
    <t>Olentangy Local</t>
  </si>
  <si>
    <t>7840 Graphics Way, Lewis Center, Ohio, 43035</t>
  </si>
  <si>
    <t>7840 Graphics Way</t>
  </si>
  <si>
    <t>Lewis Center</t>
  </si>
  <si>
    <t>43035</t>
  </si>
  <si>
    <t>Bellbrook-Sugarcreek Local</t>
  </si>
  <si>
    <t>3757 Upper Bellbrook Rd, Bellbrook, Ohio, 45305</t>
  </si>
  <si>
    <t>3757 Upper Bellbrook Rd</t>
  </si>
  <si>
    <t>Bellbrook</t>
  </si>
  <si>
    <t>45305</t>
  </si>
  <si>
    <t>Anthony Wayne Local</t>
  </si>
  <si>
    <t>9565 Bucher Rd, Whitehouse, Ohio, 43571</t>
  </si>
  <si>
    <t>9565 Bucher Rd</t>
  </si>
  <si>
    <t>Whitehouse</t>
  </si>
  <si>
    <t>43571</t>
  </si>
  <si>
    <t>Oregon City</t>
  </si>
  <si>
    <t>5721 Seaman St, Oregon, Ohio, 43616</t>
  </si>
  <si>
    <t>5721 Seaman St</t>
  </si>
  <si>
    <t>Oregon</t>
  </si>
  <si>
    <t>43616</t>
  </si>
  <si>
    <t>Westerville City</t>
  </si>
  <si>
    <t>936 Eastwind Dr Ste 200, Westerville, Ohio, 43081</t>
  </si>
  <si>
    <t>936 Eastwind Dr Ste 200</t>
  </si>
  <si>
    <t>Westerville</t>
  </si>
  <si>
    <t>43081</t>
  </si>
  <si>
    <t>Brown Local</t>
  </si>
  <si>
    <t>3242 Coral Rd NW, Malvern, Ohio, 44644</t>
  </si>
  <si>
    <t>3242 Coral Rd NW</t>
  </si>
  <si>
    <t>East Palestine City</t>
  </si>
  <si>
    <t>200 West North Avenue, East Palestine, Ohio, 44413</t>
  </si>
  <si>
    <t>200 West North Avenue</t>
  </si>
  <si>
    <t>East Palestine</t>
  </si>
  <si>
    <t>44413</t>
  </si>
  <si>
    <t>Washington Court House City</t>
  </si>
  <si>
    <t>306 Highland Ave, Washington Court Hou, Ohio, 43160</t>
  </si>
  <si>
    <t>306 Highland Ave</t>
  </si>
  <si>
    <t>Washington Court Hou</t>
  </si>
  <si>
    <t>Monroeville Local</t>
  </si>
  <si>
    <t>101 West St, Monroeville, Ohio, 44847</t>
  </si>
  <si>
    <t>101 West St</t>
  </si>
  <si>
    <t>Monroeville</t>
  </si>
  <si>
    <t>44847</t>
  </si>
  <si>
    <t>Ohio Valley Local CTPD</t>
  </si>
  <si>
    <t>Barnesville Exempted Village</t>
  </si>
  <si>
    <t>210 W Church St, Barnesville, Ohio, 43713</t>
  </si>
  <si>
    <t>210 W Church St</t>
  </si>
  <si>
    <t>Barnesville</t>
  </si>
  <si>
    <t>43713</t>
  </si>
  <si>
    <t>Carey Exempted Village Schools</t>
  </si>
  <si>
    <t>2016 Blue Devil Drive, Carey, Ohio, 43316</t>
  </si>
  <si>
    <t>2016 Blue Devil Drive</t>
  </si>
  <si>
    <t>Carey</t>
  </si>
  <si>
    <t>43316</t>
  </si>
  <si>
    <t>Garaway Local</t>
  </si>
  <si>
    <t>146 Dover Rd NW, Sugarcreek, Ohio, 44681</t>
  </si>
  <si>
    <t>146 Dover Rd NW</t>
  </si>
  <si>
    <t>Sugarcreek</t>
  </si>
  <si>
    <t>44681</t>
  </si>
  <si>
    <t>Elida Local</t>
  </si>
  <si>
    <t>4380 Sunnydale St, Elida, Ohio, 45807</t>
  </si>
  <si>
    <t>4380 Sunnydale St</t>
  </si>
  <si>
    <t>Elida</t>
  </si>
  <si>
    <t>45807</t>
  </si>
  <si>
    <t>Hamilton Local</t>
  </si>
  <si>
    <t>775 Rathmell Rd, Columbus, Ohio, 43207</t>
  </si>
  <si>
    <t>775 Rathmell Rd</t>
  </si>
  <si>
    <t>43207</t>
  </si>
  <si>
    <t>Defiance City</t>
  </si>
  <si>
    <t>801 S Clinton St, Defiance, Ohio, 43512</t>
  </si>
  <si>
    <t>801 S Clinton St</t>
  </si>
  <si>
    <t>Put-In-Bay Local</t>
  </si>
  <si>
    <t>548 Catawba Ave., Put-in-Bay, Ohio, 43456</t>
  </si>
  <si>
    <t>548 Catawba Ave.</t>
  </si>
  <si>
    <t>Put-in-Bay</t>
  </si>
  <si>
    <t>43456</t>
  </si>
  <si>
    <t>NC</t>
  </si>
  <si>
    <t>Coshocton County</t>
  </si>
  <si>
    <t>23640 Airport Rd, Coshocton, Ohio, 43812</t>
  </si>
  <si>
    <t>23640 Airport Rd</t>
  </si>
  <si>
    <t>Vanguard-Sentinel JVSD CTPD</t>
  </si>
  <si>
    <t>1306 Cedar St, Fremont, Ohio, 43420</t>
  </si>
  <si>
    <t>1306 Cedar St</t>
  </si>
  <si>
    <t>Fremont</t>
  </si>
  <si>
    <t>43420</t>
  </si>
  <si>
    <t>Ravenna City</t>
  </si>
  <si>
    <t>534 Summit St, Ravenna, Ohio, 44266</t>
  </si>
  <si>
    <t>534 Summit St</t>
  </si>
  <si>
    <t>Xenia Community City</t>
  </si>
  <si>
    <t>819 Colorado Dr, Xenia, Ohio, 45385</t>
  </si>
  <si>
    <t>819 Colorado Dr</t>
  </si>
  <si>
    <t>Switzerland of Ohio Local</t>
  </si>
  <si>
    <t>Allen East Local</t>
  </si>
  <si>
    <t>9105 Harding Hwy, Harrod, Ohio, 45850</t>
  </si>
  <si>
    <t>9105 Harding Hwy</t>
  </si>
  <si>
    <t>Harrod</t>
  </si>
  <si>
    <t>45850</t>
  </si>
  <si>
    <t>Edison Local (formerly Berlin-Milan)</t>
  </si>
  <si>
    <t>140 Main St S, Milan, Ohio, 44846</t>
  </si>
  <si>
    <t>140 Main St S</t>
  </si>
  <si>
    <t>Milan</t>
  </si>
  <si>
    <t>44846</t>
  </si>
  <si>
    <t>Jackson City</t>
  </si>
  <si>
    <t>450 Vaughn St, Jackson, Ohio, 45640</t>
  </si>
  <si>
    <t>450 Vaughn St</t>
  </si>
  <si>
    <t>45640</t>
  </si>
  <si>
    <t>North Olmsted City</t>
  </si>
  <si>
    <t>26669 Butternut Ridge Rd, North Olmsted, Ohio, 44070</t>
  </si>
  <si>
    <t>26669 Butternut Ridge Rd</t>
  </si>
  <si>
    <t>North Olmsted</t>
  </si>
  <si>
    <t>44070</t>
  </si>
  <si>
    <t>Vermilion Local</t>
  </si>
  <si>
    <t>1250 Sanford St, Vermilion, Ohio, 44089</t>
  </si>
  <si>
    <t>1250 Sanford St</t>
  </si>
  <si>
    <t>Vermilion</t>
  </si>
  <si>
    <t>44089</t>
  </si>
  <si>
    <t>Dawson-Bryant Local</t>
  </si>
  <si>
    <t>701 High St, Coal Grove, Ohio, 45638</t>
  </si>
  <si>
    <t>701 High St</t>
  </si>
  <si>
    <t>Coal Grove</t>
  </si>
  <si>
    <t>Valley View Local</t>
  </si>
  <si>
    <t>59 Peffley St, Germantown, Ohio, 45327</t>
  </si>
  <si>
    <t>59 Peffley St</t>
  </si>
  <si>
    <t>Germantown</t>
  </si>
  <si>
    <t>45327</t>
  </si>
  <si>
    <t>Auburn</t>
  </si>
  <si>
    <t>Southwest Tech Prep Regional  Center</t>
  </si>
  <si>
    <t>3520 Central Pkwy, Cincinnati, Ohio, 45223</t>
  </si>
  <si>
    <t>3520 Central Pkwy</t>
  </si>
  <si>
    <t>45223</t>
  </si>
  <si>
    <t>New London Local</t>
  </si>
  <si>
    <t>2 Wildcat Dr, New London, Ohio, 44851</t>
  </si>
  <si>
    <t>2 Wildcat Dr</t>
  </si>
  <si>
    <t>New London</t>
  </si>
  <si>
    <t>44851</t>
  </si>
  <si>
    <t>Ottoville Local</t>
  </si>
  <si>
    <t>650 W 3rd St, Ottoville, Ohio, 45876</t>
  </si>
  <si>
    <t>650 W 3rd St</t>
  </si>
  <si>
    <t>Ottoville</t>
  </si>
  <si>
    <t>45876</t>
  </si>
  <si>
    <t>Strasburg-Franklin Local</t>
  </si>
  <si>
    <t>140 N Bodmer Ave, Strasburg, Ohio, 44680</t>
  </si>
  <si>
    <t>140 N Bodmer Ave</t>
  </si>
  <si>
    <t>Strasburg</t>
  </si>
  <si>
    <t>44680</t>
  </si>
  <si>
    <t>Oregon City CTPD</t>
  </si>
  <si>
    <t>Springfield City School District</t>
  </si>
  <si>
    <t>1500 W Jefferson St, Springfield, Ohio, 45506</t>
  </si>
  <si>
    <t>1500 W Jefferson St</t>
  </si>
  <si>
    <t>45506</t>
  </si>
  <si>
    <t>Troy City</t>
  </si>
  <si>
    <t>500 N Market St, Troy, Ohio, 45373</t>
  </si>
  <si>
    <t>500 N Market St</t>
  </si>
  <si>
    <t>Troy</t>
  </si>
  <si>
    <t>45373</t>
  </si>
  <si>
    <t>Tri-Village Local</t>
  </si>
  <si>
    <t>315 S Main St, New Madison, Ohio, 45346</t>
  </si>
  <si>
    <t>315 S Main St</t>
  </si>
  <si>
    <t>New Madison</t>
  </si>
  <si>
    <t>45346</t>
  </si>
  <si>
    <t>Warren Local</t>
  </si>
  <si>
    <t>220 Sweetapple Rd, Vincent, Ohio, 45784</t>
  </si>
  <si>
    <t>220 Sweetapple Rd</t>
  </si>
  <si>
    <t>Vincent</t>
  </si>
  <si>
    <t>45784</t>
  </si>
  <si>
    <t>Garfield Heights City Schools</t>
  </si>
  <si>
    <t>5640 Briarcliff Dr, Garfield Heights, Ohio, 44125</t>
  </si>
  <si>
    <t>5640 Briarcliff Dr</t>
  </si>
  <si>
    <t>Garfield Heights</t>
  </si>
  <si>
    <t>Shawnee Local</t>
  </si>
  <si>
    <t>3255 Zurmehly Rd, Lima, Ohio, 45806</t>
  </si>
  <si>
    <t>3255 Zurmehly Rd</t>
  </si>
  <si>
    <t>Greeneview Local</t>
  </si>
  <si>
    <t>4 S Charleston Rd, Jamestown, Ohio, 45335</t>
  </si>
  <si>
    <t>4 S Charleston Rd</t>
  </si>
  <si>
    <t>Jamestown</t>
  </si>
  <si>
    <t>45335</t>
  </si>
  <si>
    <t>Seventh-Day Adventist Oh Conf</t>
  </si>
  <si>
    <t>1251 E Dorothy Ln, Dayton, Ohio, 45419</t>
  </si>
  <si>
    <t>1251 E Dorothy Ln</t>
  </si>
  <si>
    <t>45419</t>
  </si>
  <si>
    <t>Lakewood City CTPD</t>
  </si>
  <si>
    <t>Bellevue City</t>
  </si>
  <si>
    <t>125 North St, Bellevue, Ohio, 44811</t>
  </si>
  <si>
    <t>125 North St</t>
  </si>
  <si>
    <t>Bellevue</t>
  </si>
  <si>
    <t>44811</t>
  </si>
  <si>
    <t>Ohio Association of Independent Schools</t>
  </si>
  <si>
    <t>49 Joy Ln, Granville, Ohio, 43023</t>
  </si>
  <si>
    <t>49 Joy Ln</t>
  </si>
  <si>
    <t>South Point Local</t>
  </si>
  <si>
    <t>302 High St, South Point, Ohio, 45680</t>
  </si>
  <si>
    <t>302 High St</t>
  </si>
  <si>
    <t>South Point</t>
  </si>
  <si>
    <t>45680</t>
  </si>
  <si>
    <t>North Union Local School District</t>
  </si>
  <si>
    <t>12920 State Route 739, Richwood, Ohio, 43344</t>
  </si>
  <si>
    <t>12920 State Route 739</t>
  </si>
  <si>
    <t>Richwood</t>
  </si>
  <si>
    <t>43344</t>
  </si>
  <si>
    <t>Fairview Park City</t>
  </si>
  <si>
    <t>21620 Mastick Rd, Fairview Park, Ohio, 44126</t>
  </si>
  <si>
    <t>21620 Mastick Rd</t>
  </si>
  <si>
    <t>Fairview Park</t>
  </si>
  <si>
    <t>44126</t>
  </si>
  <si>
    <t>Big Walnut Local</t>
  </si>
  <si>
    <t>110 Tippett Ct, Sunbury, Ohio, 43074</t>
  </si>
  <si>
    <t>110 Tippett Ct</t>
  </si>
  <si>
    <t>Sunbury</t>
  </si>
  <si>
    <t>43074</t>
  </si>
  <si>
    <t>Northmont City</t>
  </si>
  <si>
    <t>4001 Old Salem Rd, Englewood, Ohio, 45322</t>
  </si>
  <si>
    <t>4001 Old Salem Rd</t>
  </si>
  <si>
    <t>45322</t>
  </si>
  <si>
    <t>Miami Valley Career Technology JVSD CTPD</t>
  </si>
  <si>
    <t>Leipsic Local</t>
  </si>
  <si>
    <t>232 Oak St, Leipsic, Ohio, 45856</t>
  </si>
  <si>
    <t>232 Oak St</t>
  </si>
  <si>
    <t>Leipsic</t>
  </si>
  <si>
    <t>45856</t>
  </si>
  <si>
    <t>4201 13th St SW, Massillon, Ohio, 44646</t>
  </si>
  <si>
    <t>4201 13th St SW</t>
  </si>
  <si>
    <t>Wayne County JVSD</t>
  </si>
  <si>
    <t>Alliance City</t>
  </si>
  <si>
    <t>Fostoria City</t>
  </si>
  <si>
    <t>1001 Park Ave, Fostoria, Ohio, 44830</t>
  </si>
  <si>
    <t>1001 Park Ave</t>
  </si>
  <si>
    <t>Fostoria</t>
  </si>
  <si>
    <t>44830</t>
  </si>
  <si>
    <t>LaBrae Local</t>
  </si>
  <si>
    <t>1001 N Leavitt Rd, Leavittsburg, Ohio, 44430</t>
  </si>
  <si>
    <t>1001 N Leavitt Rd</t>
  </si>
  <si>
    <t>Leavittsburg</t>
  </si>
  <si>
    <t>44430</t>
  </si>
  <si>
    <t>Pickaway-Ross County JVSD</t>
  </si>
  <si>
    <t>Tolles Career &amp; Technical Center CTPD</t>
  </si>
  <si>
    <t>New Riegel Local</t>
  </si>
  <si>
    <t>44 N Perry St, New Riegel, Ohio, 44853</t>
  </si>
  <si>
    <t>44 N Perry St</t>
  </si>
  <si>
    <t>New Riegel</t>
  </si>
  <si>
    <t>44853</t>
  </si>
  <si>
    <t>11335 Youngstown Pittsburgh Rd, New Middletown, Ohio, 44442</t>
  </si>
  <si>
    <t>11335 Youngstown Pittsburgh Rd</t>
  </si>
  <si>
    <t>New Middletown</t>
  </si>
  <si>
    <t>44442</t>
  </si>
  <si>
    <t>Fort Frye Local</t>
  </si>
  <si>
    <t>510 5th St, Beverly, Ohio, 45715</t>
  </si>
  <si>
    <t>510 5th St</t>
  </si>
  <si>
    <t>Beverly</t>
  </si>
  <si>
    <t>45715</t>
  </si>
  <si>
    <t>Minster Local</t>
  </si>
  <si>
    <t>50 E 7th St, Minster, Ohio, 45865</t>
  </si>
  <si>
    <t>50 E 7th St</t>
  </si>
  <si>
    <t>Minster</t>
  </si>
  <si>
    <t>45865</t>
  </si>
  <si>
    <t>Greenon Local</t>
  </si>
  <si>
    <t>120 S Xenia Dr, Enon, Ohio, 45323</t>
  </si>
  <si>
    <t>120 S Xenia Dr</t>
  </si>
  <si>
    <t>Enon</t>
  </si>
  <si>
    <t>45323</t>
  </si>
  <si>
    <t>EHOVE JVSD CTPD</t>
  </si>
  <si>
    <t>316 Mason Rd W, Milan, Ohio, 44846</t>
  </si>
  <si>
    <t>316 Mason Rd W</t>
  </si>
  <si>
    <t>Lawrence County JVSD CTPD</t>
  </si>
  <si>
    <t>Girard City School District</t>
  </si>
  <si>
    <t>100 W Main St Ste 2, Girard, Ohio, 44420</t>
  </si>
  <si>
    <t>100 W Main St Ste 2</t>
  </si>
  <si>
    <t>Girard</t>
  </si>
  <si>
    <t>44420</t>
  </si>
  <si>
    <t>106 N Broadway St, Racine, Ohio, 45771</t>
  </si>
  <si>
    <t>106 N Broadway St</t>
  </si>
  <si>
    <t>Racine</t>
  </si>
  <si>
    <t>45771</t>
  </si>
  <si>
    <t>James A Garfield Local</t>
  </si>
  <si>
    <t>10235 State Route 88, Garrettsville, Ohio, 44231</t>
  </si>
  <si>
    <t>10235 State Route 88</t>
  </si>
  <si>
    <t>Garrettsville</t>
  </si>
  <si>
    <t>44231</t>
  </si>
  <si>
    <t>Mayfield Excel T.E.C.C. CTPD</t>
  </si>
  <si>
    <t>59 Alpha Park, Highland Heights, Ohio, 44143</t>
  </si>
  <si>
    <t>59 Alpha Park</t>
  </si>
  <si>
    <t>Highland Heights</t>
  </si>
  <si>
    <t>Bucyrus City</t>
  </si>
  <si>
    <t>170 Plymouth St, Bucyrus, Ohio, 44820</t>
  </si>
  <si>
    <t>170 Plymouth St</t>
  </si>
  <si>
    <t>Sidney City</t>
  </si>
  <si>
    <t>750 S 4th Ave, Sidney, Ohio, 45365</t>
  </si>
  <si>
    <t>750 S 4th Ave</t>
  </si>
  <si>
    <t>Sidney</t>
  </si>
  <si>
    <t>45365</t>
  </si>
  <si>
    <t>Southington Local</t>
  </si>
  <si>
    <t>2482 State Route 534, Southington, Ohio, 44470</t>
  </si>
  <si>
    <t>2482 State Route 534</t>
  </si>
  <si>
    <t>Southington</t>
  </si>
  <si>
    <t>44470</t>
  </si>
  <si>
    <t>Columbiana County</t>
  </si>
  <si>
    <t xml:space="preserve">Ayersville Local </t>
  </si>
  <si>
    <t>28046 Watson Rd, Defiance, Ohio, 43512</t>
  </si>
  <si>
    <t>28046 Watson Rd</t>
  </si>
  <si>
    <t>East Guernsey Local</t>
  </si>
  <si>
    <t>65591 Wintergreen Rd, Lore City, Ohio, 43755</t>
  </si>
  <si>
    <t>65591 Wintergreen Rd</t>
  </si>
  <si>
    <t>Lore City</t>
  </si>
  <si>
    <t>43755</t>
  </si>
  <si>
    <t>Niles City</t>
  </si>
  <si>
    <t>309 N Rhodes Ave, Niles, Ohio, 44446</t>
  </si>
  <si>
    <t>309 N Rhodes Ave</t>
  </si>
  <si>
    <t>Niles</t>
  </si>
  <si>
    <t>44446</t>
  </si>
  <si>
    <t>Cory-Rawson Local</t>
  </si>
  <si>
    <t>3930 County Road 26, Rawson, Ohio, 45881</t>
  </si>
  <si>
    <t>3930 County Road 26</t>
  </si>
  <si>
    <t>Rawson</t>
  </si>
  <si>
    <t>45881</t>
  </si>
  <si>
    <t>Lancaster City</t>
  </si>
  <si>
    <t>2780 Coonpath Rd NE, Lancaster, Ohio, 43130</t>
  </si>
  <si>
    <t>2780 Coonpath Rd NE</t>
  </si>
  <si>
    <t>Avon Local</t>
  </si>
  <si>
    <t>36600 Detroit Rd, Avon, Ohio, 44011</t>
  </si>
  <si>
    <t>36600 Detroit Rd</t>
  </si>
  <si>
    <t>Avon</t>
  </si>
  <si>
    <t>44011</t>
  </si>
  <si>
    <t>Buckeye</t>
  </si>
  <si>
    <t>545 University Dr NE, New Philadelphia, Ohio, 44663</t>
  </si>
  <si>
    <t>545 University Dr NE</t>
  </si>
  <si>
    <t>Vinton County Local</t>
  </si>
  <si>
    <t>Vinton</t>
  </si>
  <si>
    <t>307 W High St, Mc Arthur, Ohio, 45651</t>
  </si>
  <si>
    <t>307 W High St</t>
  </si>
  <si>
    <t>Mc Arthur</t>
  </si>
  <si>
    <t>45651</t>
  </si>
  <si>
    <t>Southern Hills JVSD CTPD</t>
  </si>
  <si>
    <t>9193 Hamer Rd, Georgetown, Ohio, 45121</t>
  </si>
  <si>
    <t>9193 Hamer Rd</t>
  </si>
  <si>
    <t>Canton City</t>
  </si>
  <si>
    <t>1312 5th St SW, Canton, Ohio, 44707</t>
  </si>
  <si>
    <t>1312 5th St SW</t>
  </si>
  <si>
    <t>Mentor Exempted Village</t>
  </si>
  <si>
    <t>Windham Exempted Village</t>
  </si>
  <si>
    <t>9530 Bauer Ave, Windham, Ohio, 44288</t>
  </si>
  <si>
    <t>9530 Bauer Ave</t>
  </si>
  <si>
    <t>Windham</t>
  </si>
  <si>
    <t>44288</t>
  </si>
  <si>
    <t>Lima City CTPD</t>
  </si>
  <si>
    <t>Fayette Local</t>
  </si>
  <si>
    <t>400 E Gamble Rd, Fayette, Ohio, 43521</t>
  </si>
  <si>
    <t>400 E Gamble Rd</t>
  </si>
  <si>
    <t>43521</t>
  </si>
  <si>
    <t>Jonathan Alder Local</t>
  </si>
  <si>
    <t>9200 Us Highway 42 S, Plain City, Ohio, 43064</t>
  </si>
  <si>
    <t>9200 Us Highway 42 S</t>
  </si>
  <si>
    <t>Western Local</t>
  </si>
  <si>
    <t>7959 State Route 124, Latham, Ohio, 45646</t>
  </si>
  <si>
    <t>7959 State Route 124</t>
  </si>
  <si>
    <t>Latham</t>
  </si>
  <si>
    <t>45646</t>
  </si>
  <si>
    <t>Johnstown-Monroe Local</t>
  </si>
  <si>
    <t>441 S Main St, Johnstown, Ohio, 43031</t>
  </si>
  <si>
    <t>441 S Main St</t>
  </si>
  <si>
    <t>College Corner Local CTPD</t>
  </si>
  <si>
    <t>230 Ramsey Street, College Corner, Ohio, 45003</t>
  </si>
  <si>
    <t>230 Ramsey Street</t>
  </si>
  <si>
    <t>Beachwood City</t>
  </si>
  <si>
    <t>24601 Fairmount Blvd, Beachwood, Ohio, 44122</t>
  </si>
  <si>
    <t>24601 Fairmount Blvd</t>
  </si>
  <si>
    <t>Beachwood</t>
  </si>
  <si>
    <t>44122</t>
  </si>
  <si>
    <t>Maumee City</t>
  </si>
  <si>
    <t>716 Askin St, Maumee, Ohio, 43537</t>
  </si>
  <si>
    <t>716 Askin St</t>
  </si>
  <si>
    <t>Maumee</t>
  </si>
  <si>
    <t>43537</t>
  </si>
  <si>
    <t>Genoa Area Local</t>
  </si>
  <si>
    <t>2810 N Genoa Clay Center Rd, Genoa, Ohio, 43430</t>
  </si>
  <si>
    <t>2810 N Genoa Clay Center Rd</t>
  </si>
  <si>
    <t>Genoa</t>
  </si>
  <si>
    <t>43430</t>
  </si>
  <si>
    <t>Hopewell-Loudon Local</t>
  </si>
  <si>
    <t>181 N. CR 7, BASCOM, Ohio, 44809</t>
  </si>
  <si>
    <t>181 N. CR 7</t>
  </si>
  <si>
    <t>BASCOM</t>
  </si>
  <si>
    <t>44809</t>
  </si>
  <si>
    <t>Westlake City</t>
  </si>
  <si>
    <t>24365 Hilliard Blvd, Westlake, Ohio, 44145</t>
  </si>
  <si>
    <t>24365 Hilliard Blvd</t>
  </si>
  <si>
    <t>Westlake</t>
  </si>
  <si>
    <t>44145</t>
  </si>
  <si>
    <t>Teays Valley Local</t>
  </si>
  <si>
    <t>385 Viking Way, Ashville, Ohio, 43103</t>
  </si>
  <si>
    <t>385 Viking Way</t>
  </si>
  <si>
    <t>Ashville</t>
  </si>
  <si>
    <t>43103</t>
  </si>
  <si>
    <t>Vandalia-Butler City</t>
  </si>
  <si>
    <t>500 S Dixie Dr, Vandalia, Ohio, 45377</t>
  </si>
  <si>
    <t>500 S Dixie Dr</t>
  </si>
  <si>
    <t>Vandalia</t>
  </si>
  <si>
    <t>45377</t>
  </si>
  <si>
    <t>1755 Town Park Blvd, Uniontown, Ohio, 44685</t>
  </si>
  <si>
    <t>1755 Town Park Blvd</t>
  </si>
  <si>
    <t>Champion Local</t>
  </si>
  <si>
    <t>5976 Mahoning Ave NW, Warren, Ohio, 44483</t>
  </si>
  <si>
    <t>5976 Mahoning Ave NW</t>
  </si>
  <si>
    <t>Berea City</t>
  </si>
  <si>
    <t>390 Fair St, Berea, Ohio, 44017</t>
  </si>
  <si>
    <t>390 Fair St</t>
  </si>
  <si>
    <t>Berea</t>
  </si>
  <si>
    <t>44017</t>
  </si>
  <si>
    <t>Sheffield-Sheffield Lake City</t>
  </si>
  <si>
    <t>1824 Harris Rd, Sheffield Village, Ohio, 44054</t>
  </si>
  <si>
    <t>1824 Harris Rd</t>
  </si>
  <si>
    <t>Sheffield Village</t>
  </si>
  <si>
    <t>44054</t>
  </si>
  <si>
    <t>Van Buren Local</t>
  </si>
  <si>
    <t>217 S Main St, Van Buren, Ohio, 45889</t>
  </si>
  <si>
    <t>217 S Main St</t>
  </si>
  <si>
    <t>Van Buren</t>
  </si>
  <si>
    <t>45889</t>
  </si>
  <si>
    <t>Campbell City</t>
  </si>
  <si>
    <t>280 6th St, Campbell, Ohio, 44405</t>
  </si>
  <si>
    <t>280 6th St</t>
  </si>
  <si>
    <t>Campbell</t>
  </si>
  <si>
    <t>44405</t>
  </si>
  <si>
    <t>Wickliffe City</t>
  </si>
  <si>
    <t>2221 Rockefeller Rd, Wickliffe, Ohio, 44092</t>
  </si>
  <si>
    <t>2221 Rockefeller Rd</t>
  </si>
  <si>
    <t>Wickliffe</t>
  </si>
  <si>
    <t>44092</t>
  </si>
  <si>
    <t>Rock Hill Local</t>
  </si>
  <si>
    <t>2325A Co. Rd. 26, Ironton, Ohio, 45638</t>
  </si>
  <si>
    <t>2325A Co. Rd. 26</t>
  </si>
  <si>
    <t>Middle Bass Local</t>
  </si>
  <si>
    <t>985 Fox Rd, Middle Bass, Ohio, 43446</t>
  </si>
  <si>
    <t>985 Fox Rd</t>
  </si>
  <si>
    <t>Middle Bass</t>
  </si>
  <si>
    <t>43446</t>
  </si>
  <si>
    <t>Mid-East Career and Technology Centers</t>
  </si>
  <si>
    <t>Coshocton City</t>
  </si>
  <si>
    <t>1207 Cambridge Rd, Coshocton, Ohio, 43812</t>
  </si>
  <si>
    <t>1207 Cambridge Rd</t>
  </si>
  <si>
    <t>New Richmond Exempted Village</t>
  </si>
  <si>
    <t>1135 Bethel New Richmond Rd, New Richmond, Ohio, 45157</t>
  </si>
  <si>
    <t>1135 Bethel New Richmond Rd</t>
  </si>
  <si>
    <t>New Richmond</t>
  </si>
  <si>
    <t>45157</t>
  </si>
  <si>
    <t>Alexander Local</t>
  </si>
  <si>
    <t>6091 Ayers Rd, Albany, Ohio, 45710</t>
  </si>
  <si>
    <t>6091 Ayers Rd</t>
  </si>
  <si>
    <t>Albany</t>
  </si>
  <si>
    <t>45710</t>
  </si>
  <si>
    <t>Kelleys Island Local</t>
  </si>
  <si>
    <t>528 Division St, Kelleys Island, Ohio, 43438</t>
  </si>
  <si>
    <t>528 Division St</t>
  </si>
  <si>
    <t>Kelleys Island</t>
  </si>
  <si>
    <t>43438</t>
  </si>
  <si>
    <t>Hardin Northern Local</t>
  </si>
  <si>
    <t>11589 State Route 81, Dola, Ohio, 45835</t>
  </si>
  <si>
    <t>11589 State Route 81</t>
  </si>
  <si>
    <t>Dola</t>
  </si>
  <si>
    <t>45835</t>
  </si>
  <si>
    <t>Hardin County ESC</t>
  </si>
  <si>
    <t>Mississinawa Valley Local</t>
  </si>
  <si>
    <t>1469 State Road 47 E, Union City, Ohio, 45390</t>
  </si>
  <si>
    <t>1469 State Road 47 E</t>
  </si>
  <si>
    <t>Union City</t>
  </si>
  <si>
    <t>45390</t>
  </si>
  <si>
    <t>Berne Union Local</t>
  </si>
  <si>
    <t>506 N Main St, Sugar Grove, Ohio, 43155</t>
  </si>
  <si>
    <t>506 N Main St</t>
  </si>
  <si>
    <t>Sugar Grove</t>
  </si>
  <si>
    <t>43155</t>
  </si>
  <si>
    <t>Valley Local</t>
  </si>
  <si>
    <t>1821 State Route 728, Lucasville, Ohio, 45648</t>
  </si>
  <si>
    <t>1821 State Route 728</t>
  </si>
  <si>
    <t>Ashland City</t>
  </si>
  <si>
    <t>1407 Claremont Ave, Ashland, Ohio, 44805</t>
  </si>
  <si>
    <t>1407 Claremont Ave</t>
  </si>
  <si>
    <t>Louisville City</t>
  </si>
  <si>
    <t>407 E Main St, Louisville, Ohio, 44641</t>
  </si>
  <si>
    <t>407 E Main St</t>
  </si>
  <si>
    <t>Louisville</t>
  </si>
  <si>
    <t>44641</t>
  </si>
  <si>
    <t>Bristol Local</t>
  </si>
  <si>
    <t>1845 State Route 88, Bristolville, Ohio, 44402</t>
  </si>
  <si>
    <t>1845 State Route 88</t>
  </si>
  <si>
    <t>Bristolville</t>
  </si>
  <si>
    <t>44402</t>
  </si>
  <si>
    <t>Brookville Local</t>
  </si>
  <si>
    <t>75 June Pl, Brookville, Ohio, 45309</t>
  </si>
  <si>
    <t>75 June Pl</t>
  </si>
  <si>
    <t>Brookville</t>
  </si>
  <si>
    <t>45309</t>
  </si>
  <si>
    <t>Bexley City</t>
  </si>
  <si>
    <t>348 S Cassingham Rd, Bexley, Ohio, 43209</t>
  </si>
  <si>
    <t>348 S Cassingham Rd</t>
  </si>
  <si>
    <t>Bexley</t>
  </si>
  <si>
    <t>43209</t>
  </si>
  <si>
    <t xml:space="preserve">Tri-Valley Local </t>
  </si>
  <si>
    <t>36 E Muskingum Ave, Dresden, Ohio, 43821</t>
  </si>
  <si>
    <t>36 E Muskingum Ave</t>
  </si>
  <si>
    <t>Dresden</t>
  </si>
  <si>
    <t>43821</t>
  </si>
  <si>
    <t>Toledo Diocese</t>
  </si>
  <si>
    <t>1933 Spielbusch Ave, Toledo, Ohio, 43604</t>
  </si>
  <si>
    <t>1933 Spielbusch Ave</t>
  </si>
  <si>
    <t>43604</t>
  </si>
  <si>
    <t>Columbus City Schools District</t>
  </si>
  <si>
    <t>28090 Lemoyne Rd, Millbury, Ohio, 43447</t>
  </si>
  <si>
    <t>28090 Lemoyne Rd</t>
  </si>
  <si>
    <t>Millbury</t>
  </si>
  <si>
    <t>43447</t>
  </si>
  <si>
    <t>Akron City</t>
  </si>
  <si>
    <t>Geneva Area City</t>
  </si>
  <si>
    <t>135 S Eagle St, Geneva, Ohio, 44041</t>
  </si>
  <si>
    <t>135 S Eagle St</t>
  </si>
  <si>
    <t>Geneva</t>
  </si>
  <si>
    <t>44041</t>
  </si>
  <si>
    <t>Pymatuning Valley Local</t>
  </si>
  <si>
    <t>5571 Rt 6 W, Andover, Ohio, 44003</t>
  </si>
  <si>
    <t>5571 Rt 6 W</t>
  </si>
  <si>
    <t>Andover</t>
  </si>
  <si>
    <t>44003</t>
  </si>
  <si>
    <t>Upper Scioto Valley Local</t>
  </si>
  <si>
    <t>510 S Courtright St, McGuffey, Ohio, 45859</t>
  </si>
  <si>
    <t>510 S Courtright St</t>
  </si>
  <si>
    <t>McGuffey</t>
  </si>
  <si>
    <t>45859</t>
  </si>
  <si>
    <t>Lakeview Local</t>
  </si>
  <si>
    <t>300 Hillman Dr, Cortland, Ohio, 44410</t>
  </si>
  <si>
    <t>300 Hillman Dr</t>
  </si>
  <si>
    <t>South-Western City CTPD</t>
  </si>
  <si>
    <t>North Canton City</t>
  </si>
  <si>
    <t>525 7th St NE, North Canton, Ohio, 44720</t>
  </si>
  <si>
    <t>525 7th St NE</t>
  </si>
  <si>
    <t>North Canton</t>
  </si>
  <si>
    <t>44720</t>
  </si>
  <si>
    <t>West Carrollton City</t>
  </si>
  <si>
    <t>430 E Pease Ave, West Carrollton, Ohio, 45449</t>
  </si>
  <si>
    <t>430 E Pease Ave</t>
  </si>
  <si>
    <t>West Carrollton</t>
  </si>
  <si>
    <t>45449</t>
  </si>
  <si>
    <t>Streetsboro City</t>
  </si>
  <si>
    <t>9000 Kirby Ln, Streetsboro, Ohio, 44241</t>
  </si>
  <si>
    <t>9000 Kirby Ln</t>
  </si>
  <si>
    <t>Streetsboro</t>
  </si>
  <si>
    <t>44241</t>
  </si>
  <si>
    <t>Norwayne Local</t>
  </si>
  <si>
    <t>350 S Main St, Creston, Ohio, 44217</t>
  </si>
  <si>
    <t>350 S Main St</t>
  </si>
  <si>
    <t>Creston</t>
  </si>
  <si>
    <t>44217</t>
  </si>
  <si>
    <t>Polaris</t>
  </si>
  <si>
    <t>Williamsburg Local</t>
  </si>
  <si>
    <t>549A W Main St, Williamsburg, Ohio, 45176</t>
  </si>
  <si>
    <t>549A W Main St</t>
  </si>
  <si>
    <t>Williamsburg</t>
  </si>
  <si>
    <t>45176</t>
  </si>
  <si>
    <t>Jennings Local</t>
  </si>
  <si>
    <t>#1 Musketeer Drive, Fort Jennings, Ohio, 45844</t>
  </si>
  <si>
    <t>#1 Musketeer Drive</t>
  </si>
  <si>
    <t>Fort Jennings</t>
  </si>
  <si>
    <t>45844</t>
  </si>
  <si>
    <t>Minerva Local</t>
  </si>
  <si>
    <t>406 East St, Minerva, Ohio, 44657</t>
  </si>
  <si>
    <t>406 East St</t>
  </si>
  <si>
    <t>Minerva</t>
  </si>
  <si>
    <t>44657</t>
  </si>
  <si>
    <t>Lincolnview Local</t>
  </si>
  <si>
    <t>15945 Middle Point Rd, Van Wert, Ohio, 45891</t>
  </si>
  <si>
    <t>15945 Middle Point Rd</t>
  </si>
  <si>
    <t>Indian Lake Local</t>
  </si>
  <si>
    <t>6210 State Route 235 N, Lewistown, Ohio, 43333</t>
  </si>
  <si>
    <t>6210 State Route 235 N</t>
  </si>
  <si>
    <t>Lewistown</t>
  </si>
  <si>
    <t>43333</t>
  </si>
  <si>
    <t>Ottawa-Glandorf Local</t>
  </si>
  <si>
    <t>630 Glendale Ave, Ottawa, Ohio, 45875</t>
  </si>
  <si>
    <t>630 Glendale Ave</t>
  </si>
  <si>
    <t>45875</t>
  </si>
  <si>
    <t>Fremont City</t>
  </si>
  <si>
    <t>500 W State St, Fremont, Ohio, 43420</t>
  </si>
  <si>
    <t>500 W State St</t>
  </si>
  <si>
    <t>Lisbon Exempted Village</t>
  </si>
  <si>
    <t>317 N Market St, Lisbon, Ohio, 44432</t>
  </si>
  <si>
    <t>317 N Market St</t>
  </si>
  <si>
    <t>Grand Valley Local</t>
  </si>
  <si>
    <t>111 Grand Valley Ave West, Orwell, Ohio, 44076</t>
  </si>
  <si>
    <t>111 Grand Valley Ave West</t>
  </si>
  <si>
    <t>Orwell</t>
  </si>
  <si>
    <t>44076</t>
  </si>
  <si>
    <t>Sebring Local</t>
  </si>
  <si>
    <t>510 N 14th St, Sebring, Ohio, 44672</t>
  </si>
  <si>
    <t>510 N 14th St</t>
  </si>
  <si>
    <t>Sebring</t>
  </si>
  <si>
    <t>44672</t>
  </si>
  <si>
    <t>9 E Long St Ste 201, Columbus, Ohio, 43215</t>
  </si>
  <si>
    <t>9 E Long St Ste 201</t>
  </si>
  <si>
    <t>EHOVE Career Center</t>
  </si>
  <si>
    <t>Portsmouth City</t>
  </si>
  <si>
    <t>724 Findlay St, Portsmouth, Ohio, 45662</t>
  </si>
  <si>
    <t>724 Findlay St</t>
  </si>
  <si>
    <t>Fairlawn Local</t>
  </si>
  <si>
    <t>18800 Johnston Rd, Sidney, Ohio, 45365</t>
  </si>
  <si>
    <t>18800 Johnston Rd</t>
  </si>
  <si>
    <t>Martins Ferry City</t>
  </si>
  <si>
    <t>5001 Ayers Limestone Rd, Martins Ferry, Ohio, 43935</t>
  </si>
  <si>
    <t>5001 Ayers Limestone Rd</t>
  </si>
  <si>
    <t>Martins Ferry</t>
  </si>
  <si>
    <t>43935</t>
  </si>
  <si>
    <t>Austintown Local Schools</t>
  </si>
  <si>
    <t>700 S Raccoon Rd, Youngstown, Ohio, 44515</t>
  </si>
  <si>
    <t>700 S Raccoon Rd</t>
  </si>
  <si>
    <t>44515</t>
  </si>
  <si>
    <t>Fairbanks Local</t>
  </si>
  <si>
    <t>11158 State Route 38, Milford Center, Ohio, 43045</t>
  </si>
  <si>
    <t>11158 State Route 38</t>
  </si>
  <si>
    <t>Milford Center</t>
  </si>
  <si>
    <t>43045</t>
  </si>
  <si>
    <t>U S Grant</t>
  </si>
  <si>
    <t>Black River Local</t>
  </si>
  <si>
    <t>257A County Road 40, Sullivan, Ohio, 44880</t>
  </si>
  <si>
    <t>257A County Road 40</t>
  </si>
  <si>
    <t>Sullivan</t>
  </si>
  <si>
    <t>44880</t>
  </si>
  <si>
    <t>Buckeye JVSD CTPD</t>
  </si>
  <si>
    <t>Napoleon Area City</t>
  </si>
  <si>
    <t>701 Briarheath Ave Ste 108, Napoleon, Ohio, 43545</t>
  </si>
  <si>
    <t>701 Briarheath Ave Ste 108</t>
  </si>
  <si>
    <t>Napoleon</t>
  </si>
  <si>
    <t>43545</t>
  </si>
  <si>
    <t>Tiffin City Schools</t>
  </si>
  <si>
    <t>244 S Monroe St, Tiffin, Ohio, 44883</t>
  </si>
  <si>
    <t>244 S Monroe St</t>
  </si>
  <si>
    <t>100 Smithie Drive, Smithville, Ohio, 44677</t>
  </si>
  <si>
    <t>100 Smithie Drive</t>
  </si>
  <si>
    <t>Eastern Local</t>
  </si>
  <si>
    <t>50008 State Route 681, Reedsville, Ohio, 45772</t>
  </si>
  <si>
    <t>50008 State Route 681</t>
  </si>
  <si>
    <t>Reedsville</t>
  </si>
  <si>
    <t>45772</t>
  </si>
  <si>
    <t>Vanguard-Sentinel Career &amp; Technology Centers</t>
  </si>
  <si>
    <t>Delphos City</t>
  </si>
  <si>
    <t>901 Wildcat Ln, Delphos, Ohio, 45833</t>
  </si>
  <si>
    <t>901 Wildcat Ln</t>
  </si>
  <si>
    <t>Delphos</t>
  </si>
  <si>
    <t>45833</t>
  </si>
  <si>
    <t>Columbiana Exempted Village</t>
  </si>
  <si>
    <t>700 Columbiana Waterford Rd, Columbiana, Ohio, 44408</t>
  </si>
  <si>
    <t>700 Columbiana Waterford Rd</t>
  </si>
  <si>
    <t>Norton City</t>
  </si>
  <si>
    <t>4128 Cleveland Massillon Rd, Norton, Ohio, 44203</t>
  </si>
  <si>
    <t>4128 Cleveland Massillon Rd</t>
  </si>
  <si>
    <t>Norton</t>
  </si>
  <si>
    <t>Toledo City</t>
  </si>
  <si>
    <t>1609 N Summit St, Toledo, Ohio, 43604</t>
  </si>
  <si>
    <t xml:space="preserve">Brookfield Local </t>
  </si>
  <si>
    <t>614 Bedford Rd SE, Brookfield, Ohio, 44403</t>
  </si>
  <si>
    <t>614 Bedford Rd SE</t>
  </si>
  <si>
    <t>Brookfield</t>
  </si>
  <si>
    <t>44403</t>
  </si>
  <si>
    <t>Medina City SD</t>
  </si>
  <si>
    <t>739 Weymouth Rd, Medina, Ohio, 44256</t>
  </si>
  <si>
    <t>739 Weymouth Rd</t>
  </si>
  <si>
    <t>Paint Valley Local</t>
  </si>
  <si>
    <t>7454 Us Highway 50 W, Bainbridge, Ohio, 45612</t>
  </si>
  <si>
    <t>7454 Us Highway 50 W</t>
  </si>
  <si>
    <t>Bainbridge</t>
  </si>
  <si>
    <t>45612</t>
  </si>
  <si>
    <t>Leetonia Exempted Village School District</t>
  </si>
  <si>
    <t>450 Walnut St, Leetonia, Ohio, 44431</t>
  </si>
  <si>
    <t>450 Walnut St</t>
  </si>
  <si>
    <t>Leetonia</t>
  </si>
  <si>
    <t>44431</t>
  </si>
  <si>
    <t>Miami East Local</t>
  </si>
  <si>
    <t>3825 N State Route 589, Casstown, Ohio, 45312</t>
  </si>
  <si>
    <t>3825 N State Route 589</t>
  </si>
  <si>
    <t>Casstown</t>
  </si>
  <si>
    <t>45312</t>
  </si>
  <si>
    <t>Pike County Career  Technology Center CTPD</t>
  </si>
  <si>
    <t>175 Beavercreek Road, Piketon, Ohio, 45661</t>
  </si>
  <si>
    <t>175 Beavercreek Road</t>
  </si>
  <si>
    <t>Struthers City</t>
  </si>
  <si>
    <t>99 Euclid Ave, Struthers, Ohio, 44471</t>
  </si>
  <si>
    <t>99 Euclid Ave</t>
  </si>
  <si>
    <t>Struthers</t>
  </si>
  <si>
    <t>44471</t>
  </si>
  <si>
    <t>East Cleveland City School District</t>
  </si>
  <si>
    <t>Chesapeake Union Exempted Village</t>
  </si>
  <si>
    <t>10183 County Road 1, Chesapeake, Ohio, 45619</t>
  </si>
  <si>
    <t>10183 County Road 1</t>
  </si>
  <si>
    <t>River View Local</t>
  </si>
  <si>
    <t>26496 State Route 60, Warsaw, Ohio, 43844</t>
  </si>
  <si>
    <t>26496 State Route 60</t>
  </si>
  <si>
    <t>Warsaw</t>
  </si>
  <si>
    <t>43844</t>
  </si>
  <si>
    <t>Margaretta Local</t>
  </si>
  <si>
    <t>305 S Washington St, Castalia, Ohio, 44824</t>
  </si>
  <si>
    <t>305 S Washington St</t>
  </si>
  <si>
    <t>Castalia</t>
  </si>
  <si>
    <t>44824</t>
  </si>
  <si>
    <t>Mansfield City CTPD</t>
  </si>
  <si>
    <t>124 N Linden Rd, Mansfield, Ohio, 44906</t>
  </si>
  <si>
    <t>124 N Linden Rd</t>
  </si>
  <si>
    <t>Loveland City</t>
  </si>
  <si>
    <t>757 S Lebanon Rd, Loveland, Ohio, 45140</t>
  </si>
  <si>
    <t>757 S Lebanon Rd</t>
  </si>
  <si>
    <t>Loveland</t>
  </si>
  <si>
    <t>45140</t>
  </si>
  <si>
    <t>Wauseon Exempted Village</t>
  </si>
  <si>
    <t>930 E Oak St, Wauseon, Ohio, 43567</t>
  </si>
  <si>
    <t>930 E Oak St</t>
  </si>
  <si>
    <t>Wauseon</t>
  </si>
  <si>
    <t>43567</t>
  </si>
  <si>
    <t>Woodridge Local</t>
  </si>
  <si>
    <t>4411 Quick Rd, Peninsula, Ohio, 44264</t>
  </si>
  <si>
    <t>4411 Quick Rd</t>
  </si>
  <si>
    <t>Peninsula</t>
  </si>
  <si>
    <t>44264</t>
  </si>
  <si>
    <t>Twinsburg City</t>
  </si>
  <si>
    <t>11136 Ravenna Rd, Twinsburg, Ohio, 44087</t>
  </si>
  <si>
    <t>11136 Ravenna Rd</t>
  </si>
  <si>
    <t>Twinsburg</t>
  </si>
  <si>
    <t>44087</t>
  </si>
  <si>
    <t>Fredericktown Local</t>
  </si>
  <si>
    <t>117 Columbus Rd, Fredericktown, Ohio, 43019</t>
  </si>
  <si>
    <t>117 Columbus Rd</t>
  </si>
  <si>
    <t>Fredericktown</t>
  </si>
  <si>
    <t>43019</t>
  </si>
  <si>
    <t>Ada Elementary School</t>
  </si>
  <si>
    <t>Elementary School</t>
  </si>
  <si>
    <t>Public School</t>
  </si>
  <si>
    <t>School</t>
  </si>
  <si>
    <t>Ada High School</t>
  </si>
  <si>
    <t>High School</t>
  </si>
  <si>
    <t>Sandusky Middle School</t>
  </si>
  <si>
    <t>Middle School</t>
  </si>
  <si>
    <t>318 Columbus Ave, Sandusky, Ohio, 44870</t>
  </si>
  <si>
    <t>318 Columbus Ave</t>
  </si>
  <si>
    <t>Adamsville Elementary School</t>
  </si>
  <si>
    <t>7950 East St, Adamsville, Ohio, 43802</t>
  </si>
  <si>
    <t>7950 East St</t>
  </si>
  <si>
    <t>Adamsville</t>
  </si>
  <si>
    <t>43802</t>
  </si>
  <si>
    <t>Addaville Elementary School</t>
  </si>
  <si>
    <t>1333 Brick School Rd, Gallipolis, Ohio, 45631</t>
  </si>
  <si>
    <t>1333 Brick School Rd</t>
  </si>
  <si>
    <t>Buckeye West Elementary School</t>
  </si>
  <si>
    <t>243 N Mill St, Adena, Ohio, 43901</t>
  </si>
  <si>
    <t>243 N Mill St</t>
  </si>
  <si>
    <t>Adena</t>
  </si>
  <si>
    <t>43901</t>
  </si>
  <si>
    <t>Adena High School</t>
  </si>
  <si>
    <t>Adlai Stevenson School</t>
  </si>
  <si>
    <t>18300 Woda, Cleveland, Ohio, 44122</t>
  </si>
  <si>
    <t>18300 Woda</t>
  </si>
  <si>
    <t>Adrian Elementary School</t>
  </si>
  <si>
    <t>1071 Homestead Rd, South Euclid, Ohio, 44121</t>
  </si>
  <si>
    <t>1071 Homestead Rd</t>
  </si>
  <si>
    <t>South Euclid</t>
  </si>
  <si>
    <t>44121</t>
  </si>
  <si>
    <t>Alexander Elementary School</t>
  </si>
  <si>
    <t>6105 School Road, Albany, Ohio, 45710</t>
  </si>
  <si>
    <t>6105 School Road</t>
  </si>
  <si>
    <t>North Royalton Elementary School</t>
  </si>
  <si>
    <t>16400 State Rd, North Royalton, Ohio, 44133</t>
  </si>
  <si>
    <t>16400 State Rd</t>
  </si>
  <si>
    <t>Alexander Jr. / Sr. High School</t>
  </si>
  <si>
    <t>6125 School Rd, Albany, Ohio, 45710</t>
  </si>
  <si>
    <t>6125 School Rd</t>
  </si>
  <si>
    <t>Upper Scioto Valley Middle School</t>
  </si>
  <si>
    <t>510 South Courtright Street, Mc Guffey, Ohio, 45859</t>
  </si>
  <si>
    <t>510 South Courtright Street</t>
  </si>
  <si>
    <t>Mc Guffey</t>
  </si>
  <si>
    <t>Genoa Elementary</t>
  </si>
  <si>
    <t>2820 N Genoa Clay Center Rd, Genoa, Ohio, 43430</t>
  </si>
  <si>
    <t>2820 N Genoa Clay Center Rd</t>
  </si>
  <si>
    <t>Allen East High School</t>
  </si>
  <si>
    <t>Stephanie Rushin Patrick Elementary School</t>
  </si>
  <si>
    <t>1326 Sherrick Rd SE, Canton, Ohio, 44707</t>
  </si>
  <si>
    <t>1326 Sherrick Rd SE</t>
  </si>
  <si>
    <t>Allen East Elementary School</t>
  </si>
  <si>
    <t>West Elementary</t>
  </si>
  <si>
    <t>57750 Us Highway 50, Mc Arthur, Ohio, 45651</t>
  </si>
  <si>
    <t>57750 Us Highway 50</t>
  </si>
  <si>
    <t>Alliance High School</t>
  </si>
  <si>
    <t>400 Glamorgan St, Alliance, Ohio, 44601</t>
  </si>
  <si>
    <t>400 Glamorgan St</t>
  </si>
  <si>
    <t>Sharpsburg Elementary</t>
  </si>
  <si>
    <t>4400 Smith Rd, Norwood, Ohio, 45212</t>
  </si>
  <si>
    <t>4400 Smith Rd</t>
  </si>
  <si>
    <t>Almira</t>
  </si>
  <si>
    <t>3375 W 99th St, Cleveland, Ohio, 44102</t>
  </si>
  <si>
    <t>3375 W 99th St</t>
  </si>
  <si>
    <t>44102</t>
  </si>
  <si>
    <t>Alpine Elementary School</t>
  </si>
  <si>
    <t>1590 Alpine Dr, Columbus, Ohio, 43229</t>
  </si>
  <si>
    <t>1590 Alpine Dr</t>
  </si>
  <si>
    <t>43229</t>
  </si>
  <si>
    <t>Alton Hall Elementary School</t>
  </si>
  <si>
    <t>982 Alton Rd, Galloway, Ohio, 43119</t>
  </si>
  <si>
    <t>982 Alton Rd</t>
  </si>
  <si>
    <t>Galloway</t>
  </si>
  <si>
    <t>43119</t>
  </si>
  <si>
    <t>Columbus Scioto 6-12</t>
  </si>
  <si>
    <t>2951 S High St, Columbus, Ohio, 43207</t>
  </si>
  <si>
    <t>2951 S High St</t>
  </si>
  <si>
    <t>Amanda-Clearcreek Elementary School</t>
  </si>
  <si>
    <t>Amanda Elementary School</t>
  </si>
  <si>
    <t>1300 Oxford State Rd, Middletown, Ohio, 45044</t>
  </si>
  <si>
    <t>1300 Oxford State Rd</t>
  </si>
  <si>
    <t>45044</t>
  </si>
  <si>
    <t>Amanda-Clearcreek High School</t>
  </si>
  <si>
    <t>Amelia Elementary School</t>
  </si>
  <si>
    <t>5 E Main St, Amelia, Ohio, 45102</t>
  </si>
  <si>
    <t>5 E Main St</t>
  </si>
  <si>
    <t>Amelia</t>
  </si>
  <si>
    <t>45102</t>
  </si>
  <si>
    <t>West Clermont Middle School</t>
  </si>
  <si>
    <t>1351 Clough Pike, Batavia, Ohio, 45103</t>
  </si>
  <si>
    <t>1351 Clough Pike</t>
  </si>
  <si>
    <t>Amesville Elementary School</t>
  </si>
  <si>
    <t>St. Rte. 329, Amesville, Ohio, 45711</t>
  </si>
  <si>
    <t>St. Rte. 329</t>
  </si>
  <si>
    <t>Amesville</t>
  </si>
  <si>
    <t>45711</t>
  </si>
  <si>
    <t>Amherst Elementary School</t>
  </si>
  <si>
    <t>8750 Jane St NW, Massillon, Ohio, 44646</t>
  </si>
  <si>
    <t>8750 Jane St NW</t>
  </si>
  <si>
    <t>Amity Elementary School</t>
  </si>
  <si>
    <t>4320 E Galbraith Rd, Cincinnati, Ohio, 45236</t>
  </si>
  <si>
    <t>4320 E Galbraith Rd</t>
  </si>
  <si>
    <t>Anderson High School</t>
  </si>
  <si>
    <t>7560 Forest Rd, Cincinnati, Ohio, 45255</t>
  </si>
  <si>
    <t>7560 Forest Rd</t>
  </si>
  <si>
    <t>Pymatuning Valley Primary Elementary School</t>
  </si>
  <si>
    <t>5571 State Route 6, Andover, Ohio, 44003</t>
  </si>
  <si>
    <t>5571 State Route 6</t>
  </si>
  <si>
    <t xml:space="preserve">Andrew J Rickoff </t>
  </si>
  <si>
    <t>3500 E 147th St, Cleveland, Ohio, 44120</t>
  </si>
  <si>
    <t>3500 E 147th St</t>
  </si>
  <si>
    <t>Massillon Junior High School</t>
  </si>
  <si>
    <t>Junior High School</t>
  </si>
  <si>
    <t>250 29th St NW, Massillon, Ohio, 44647</t>
  </si>
  <si>
    <t>250 29th St NW</t>
  </si>
  <si>
    <t>607 N Pike St, Anna, Ohio, 45302</t>
  </si>
  <si>
    <t>607 N Pike St</t>
  </si>
  <si>
    <t>Anna High School</t>
  </si>
  <si>
    <t>Ansonia Elementary School</t>
  </si>
  <si>
    <t>600 E Canal St, Ansonia, Ohio, 45303</t>
  </si>
  <si>
    <t>600 E Canal St</t>
  </si>
  <si>
    <t>Ansonia High School</t>
  </si>
  <si>
    <t>Anthony Wayne Elementary School</t>
  </si>
  <si>
    <t>16 Farm Ave, Franklin, Ohio, 45005</t>
  </si>
  <si>
    <t>16 Farm Ave</t>
  </si>
  <si>
    <t>Anthony Wayne High School</t>
  </si>
  <si>
    <t>5967 Finzel Rd, Whitehouse, Ohio, 43571</t>
  </si>
  <si>
    <t>5967 Finzel Rd</t>
  </si>
  <si>
    <t xml:space="preserve">Anton Grdina </t>
  </si>
  <si>
    <t>2955 E 71st St, Cleveland, Ohio, 44104</t>
  </si>
  <si>
    <t>2955 E 71st St</t>
  </si>
  <si>
    <t>44104</t>
  </si>
  <si>
    <t>Antwerp Local Elementary School</t>
  </si>
  <si>
    <t>Antwerp Local High School</t>
  </si>
  <si>
    <t>Apple Creek Elementary School</t>
  </si>
  <si>
    <t>173 W Main St, Apple Creek, Ohio, 44606</t>
  </si>
  <si>
    <t>173 W Main St</t>
  </si>
  <si>
    <t>Applewood Elementary School</t>
  </si>
  <si>
    <t>3891 Applewood Dr, Brunswick, Ohio, 44212</t>
  </si>
  <si>
    <t>3891 Applewood Dr</t>
  </si>
  <si>
    <t>Arcadia Elementary School</t>
  </si>
  <si>
    <t>Arcadia High School</t>
  </si>
  <si>
    <t>Arcanum Elementary School</t>
  </si>
  <si>
    <t>Arcanum High School</t>
  </si>
  <si>
    <t>Archbold Elementary School</t>
  </si>
  <si>
    <t>500 Lafayette St, Archbold, Ohio, 43502</t>
  </si>
  <si>
    <t>500 Lafayette St</t>
  </si>
  <si>
    <t>Archbold High School</t>
  </si>
  <si>
    <t>First Step Preschool</t>
  </si>
  <si>
    <t>Ungraded</t>
  </si>
  <si>
    <t>7700 Malibu Dr, Parma, Ohio, 44130</t>
  </si>
  <si>
    <t>7700 Malibu Dr</t>
  </si>
  <si>
    <t>Newton Falls Elementary School</t>
  </si>
  <si>
    <t>905 Milton Blvd, Newton Falls, Ohio, 44444</t>
  </si>
  <si>
    <t>905 Milton Blvd</t>
  </si>
  <si>
    <t>Arlington Elementary School</t>
  </si>
  <si>
    <t>707 Woodsdale Ave, Toledo, Ohio, 43609</t>
  </si>
  <si>
    <t>707 Woodsdale Ave</t>
  </si>
  <si>
    <t>43609</t>
  </si>
  <si>
    <t>Arlington Local Elementary School</t>
  </si>
  <si>
    <t>Arlington Local High School</t>
  </si>
  <si>
    <t>Arrowhead Primary Elementary School</t>
  </si>
  <si>
    <t>1600 Raleigh Blvd, Copley, Ohio, 44321</t>
  </si>
  <si>
    <t>1600 Raleigh Blvd</t>
  </si>
  <si>
    <t>Artemus Ward</t>
  </si>
  <si>
    <t>4315 W 140th St, Cleveland, Ohio, 44135</t>
  </si>
  <si>
    <t>4315 W 140th St</t>
  </si>
  <si>
    <t>44135</t>
  </si>
  <si>
    <t>Joseph V. Regano Early Learning Center</t>
  </si>
  <si>
    <t>6545 Som Center Rd, Solon, Ohio, 44139</t>
  </si>
  <si>
    <t>6545 Som Center Rd</t>
  </si>
  <si>
    <t>Asbury Elementary School</t>
  </si>
  <si>
    <t>5127 Harbor Blvd, Columbus, Ohio, 43232</t>
  </si>
  <si>
    <t>5127 Harbor Blvd</t>
  </si>
  <si>
    <t>43232</t>
  </si>
  <si>
    <t>Ashland High School</t>
  </si>
  <si>
    <t>1440 King Rd, Ashland, Ohio, 44805</t>
  </si>
  <si>
    <t>1440 King Rd</t>
  </si>
  <si>
    <t>Ashland Middle School</t>
  </si>
  <si>
    <t>1520 King Rd, Ashland, Ohio, 44805</t>
  </si>
  <si>
    <t>1520 King Rd</t>
  </si>
  <si>
    <t>Buckeye Valley East Elementary School</t>
  </si>
  <si>
    <t>522 E High St, Ashley, Ohio, 43003</t>
  </si>
  <si>
    <t>522 E High St</t>
  </si>
  <si>
    <t>Ashley</t>
  </si>
  <si>
    <t>43003</t>
  </si>
  <si>
    <t>Lakeside High School</t>
  </si>
  <si>
    <t>6600 Sanborn Rd, Ashtabula, Ohio, 44004</t>
  </si>
  <si>
    <t>6600 Sanborn Rd</t>
  </si>
  <si>
    <t>Ashville Elementary School</t>
  </si>
  <si>
    <t>90 Walnut St, Ashville, Ohio, 43103</t>
  </si>
  <si>
    <t>90 Walnut St</t>
  </si>
  <si>
    <t>Athens High School</t>
  </si>
  <si>
    <t>1 High School Rd, The Plains, Ohio, 45780</t>
  </si>
  <si>
    <t>1 High School Rd</t>
  </si>
  <si>
    <t>The Plains</t>
  </si>
  <si>
    <t>45780</t>
  </si>
  <si>
    <t>Atkinson Elementary School</t>
  </si>
  <si>
    <t>1100 Delaware Ave, Fremont, Ohio, 43420</t>
  </si>
  <si>
    <t>1100 Delaware Ave</t>
  </si>
  <si>
    <t>Seneca East Elementary</t>
  </si>
  <si>
    <t>Seneca East High School</t>
  </si>
  <si>
    <t>Waterloo Elementary School</t>
  </si>
  <si>
    <t>Timmons Elementary School</t>
  </si>
  <si>
    <t>9595 E Washington St, Chagrin Falls, Ohio, 44023</t>
  </si>
  <si>
    <t>9595 E Washington St</t>
  </si>
  <si>
    <t>Oakwood Elementary School</t>
  </si>
  <si>
    <t>309 N 1st St, Oakwood, Ohio, 45873</t>
  </si>
  <si>
    <t>309 N 1st St</t>
  </si>
  <si>
    <t>Oakwood</t>
  </si>
  <si>
    <t>45873</t>
  </si>
  <si>
    <t>Aurora High School</t>
  </si>
  <si>
    <t>109 W Pioneer Trl, Aurora, Ohio, 44202</t>
  </si>
  <si>
    <t>109 W Pioneer Trl</t>
  </si>
  <si>
    <t>Craddock Elementary School</t>
  </si>
  <si>
    <t>105 Hurd Rd, Aurora, Ohio, 44202</t>
  </si>
  <si>
    <t>105 Hurd Rd</t>
  </si>
  <si>
    <t>Geneva Platt R Spencer Elementary School</t>
  </si>
  <si>
    <t>3030 State Route 307, Austinburg, Ohio, 44010</t>
  </si>
  <si>
    <t>3030 State Route 307</t>
  </si>
  <si>
    <t>Austinburg</t>
  </si>
  <si>
    <t>44010</t>
  </si>
  <si>
    <t>Austintown Middle School</t>
  </si>
  <si>
    <t>800 S Raccoon Rd, Youngstown, Ohio, 44515</t>
  </si>
  <si>
    <t>800 S Raccoon Rd</t>
  </si>
  <si>
    <t>Avery Elementary School</t>
  </si>
  <si>
    <t>4388 Avery Rd, Hilliard, Ohio, 43026</t>
  </si>
  <si>
    <t>4388 Avery Rd</t>
  </si>
  <si>
    <t>Hilliard</t>
  </si>
  <si>
    <t>43026</t>
  </si>
  <si>
    <t>Avon East Elementary School</t>
  </si>
  <si>
    <t>3100 Nagle Rd, Avon, Ohio, 44011</t>
  </si>
  <si>
    <t>3100 Nagle Rd</t>
  </si>
  <si>
    <t>Avon Early Learning Center</t>
  </si>
  <si>
    <t>3075 Stoney Ridge Rd, Avon, Ohio, 44011</t>
  </si>
  <si>
    <t>3075 Stoney Ridge Rd</t>
  </si>
  <si>
    <t>Avon High School</t>
  </si>
  <si>
    <t>37545 Detroit Rd, Avon, Ohio, 44011</t>
  </si>
  <si>
    <t>37545 Detroit Rd</t>
  </si>
  <si>
    <t>Avon Lake High School</t>
  </si>
  <si>
    <t>Avondale Elementary School</t>
  </si>
  <si>
    <t>141 Hawkes Ave, Columbus, Ohio, 43222</t>
  </si>
  <si>
    <t>141 Hawkes Ave</t>
  </si>
  <si>
    <t>43222</t>
  </si>
  <si>
    <t>3933 Eaton Rd NW, Canton, Ohio, 44708</t>
  </si>
  <si>
    <t>3933 Eaton Rd NW</t>
  </si>
  <si>
    <t>44708</t>
  </si>
  <si>
    <t>Ayersville Elementary School</t>
  </si>
  <si>
    <t>Ayersville High School</t>
  </si>
  <si>
    <t>Edgewood Early Childhood Center</t>
  </si>
  <si>
    <t>200 W Ritter St, Seven Mile, Ohio, 45062</t>
  </si>
  <si>
    <t>200 W Ritter St</t>
  </si>
  <si>
    <t>Seven Mile</t>
  </si>
  <si>
    <t>45062</t>
  </si>
  <si>
    <t>Badger High School</t>
  </si>
  <si>
    <t>Paint Valley Middle School</t>
  </si>
  <si>
    <t>Baker Elementary School</t>
  </si>
  <si>
    <t>4095 Sheridan Dr, Vienna, Ohio, 44473</t>
  </si>
  <si>
    <t>4095 Sheridan Dr</t>
  </si>
  <si>
    <t>Vienna</t>
  </si>
  <si>
    <t>44473</t>
  </si>
  <si>
    <t>Barber Community Learning Center</t>
  </si>
  <si>
    <t>665 Garry Rd, Akron, Ohio, 44305</t>
  </si>
  <si>
    <t>665 Garry Rd</t>
  </si>
  <si>
    <t>44305</t>
  </si>
  <si>
    <t>Barberton High School</t>
  </si>
  <si>
    <t>555 Barber Rd, Barberton, Ohio, 44203</t>
  </si>
  <si>
    <t>555 Barber Rd</t>
  </si>
  <si>
    <t>Warren Middle School</t>
  </si>
  <si>
    <t>70 Warrior Dr, Vincent, Ohio, 45784</t>
  </si>
  <si>
    <t>70 Warrior Dr</t>
  </si>
  <si>
    <t>Barnesville Elementary School</t>
  </si>
  <si>
    <t>Barnesville High School</t>
  </si>
  <si>
    <t>910 Shamrock Dr, Barnesville, Ohio, 43713</t>
  </si>
  <si>
    <t>910 Shamrock Dr</t>
  </si>
  <si>
    <t>Brookside Intermediate School</t>
  </si>
  <si>
    <t>1812 Harris Rd, Sheffield Village, Ohio, 44054</t>
  </si>
  <si>
    <t>1812 Harris Rd</t>
  </si>
  <si>
    <t>Barrington Road Elementary School</t>
  </si>
  <si>
    <t>1780 Barrington Rd, Upper Arlington, Ohio, 43221</t>
  </si>
  <si>
    <t>1780 Barrington Rd</t>
  </si>
  <si>
    <t>Bascom Elementary School</t>
  </si>
  <si>
    <t>1015 N Leavitt Rd, Leavittsburg, Ohio, 44430</t>
  </si>
  <si>
    <t>1015 N Leavitt Rd</t>
  </si>
  <si>
    <t>Westlake Elementary School</t>
  </si>
  <si>
    <t>27555 Center Ridge Rd, Westlake, Ohio, 44145</t>
  </si>
  <si>
    <t>27555 Center Ridge Rd</t>
  </si>
  <si>
    <t>Bataan Memorial Primary School</t>
  </si>
  <si>
    <t>575 W 6th St, Port Clinton, Ohio, 43452</t>
  </si>
  <si>
    <t>575 W 6th St</t>
  </si>
  <si>
    <t>Batavia Elementary School</t>
  </si>
  <si>
    <t>3 Bulldog Pl, Batavia, Ohio, 45103</t>
  </si>
  <si>
    <t>3 Bulldog Pl</t>
  </si>
  <si>
    <t>Batavia High School</t>
  </si>
  <si>
    <t>1 Bull Dog Pl, Batavia, Ohio, 45103</t>
  </si>
  <si>
    <t>1 Bull Dog Pl</t>
  </si>
  <si>
    <t>Bath Elementary School</t>
  </si>
  <si>
    <t>1246 N Cleveland Massillon Rd, Akron, Ohio, 44333</t>
  </si>
  <si>
    <t>1246 N Cleveland Massillon Rd</t>
  </si>
  <si>
    <t>44333</t>
  </si>
  <si>
    <t>2450 Bible Rd, Lima, Ohio, 45801</t>
  </si>
  <si>
    <t>2450 Bible Rd</t>
  </si>
  <si>
    <t>Bath High School</t>
  </si>
  <si>
    <t>2850 Bible Rd, Lima, Ohio, 45801</t>
  </si>
  <si>
    <t>2850 Bible Rd</t>
  </si>
  <si>
    <t>Bath Middle School</t>
  </si>
  <si>
    <t>2700 Bible Rd, Lima, Ohio, 45801</t>
  </si>
  <si>
    <t>2700 Bible Rd</t>
  </si>
  <si>
    <t>Bauer Elementary School</t>
  </si>
  <si>
    <t>701 N. Springboro Pike, Dayton, Ohio, 45449</t>
  </si>
  <si>
    <t>701 N. Springboro Pike</t>
  </si>
  <si>
    <t>Bay High School</t>
  </si>
  <si>
    <t>29230 Wolf Rd, Bay Village, Ohio, 44140</t>
  </si>
  <si>
    <t>29230 Wolf Rd</t>
  </si>
  <si>
    <t>Bay Middle School</t>
  </si>
  <si>
    <t>27725 Wolf Rd, Bay Village, Ohio, 44140</t>
  </si>
  <si>
    <t>27725 Wolf Rd</t>
  </si>
  <si>
    <t>Lakeview Elementary School</t>
  </si>
  <si>
    <t>640 Wakefield Dr, Cortland, Ohio, 44410</t>
  </si>
  <si>
    <t>640 Wakefield Dr</t>
  </si>
  <si>
    <t>Beachwood High School</t>
  </si>
  <si>
    <t>25100 Fairmount Blvd, Beachwood, Ohio, 44122</t>
  </si>
  <si>
    <t>25100 Fairmount Blvd</t>
  </si>
  <si>
    <t>Beacon Elementary School</t>
  </si>
  <si>
    <t>3600 Lacon Rd, Hilliard, Ohio, 43026</t>
  </si>
  <si>
    <t>3600 Lacon Rd</t>
  </si>
  <si>
    <t>Beallsville Elementary School</t>
  </si>
  <si>
    <t>43822 State Route 556, Beallsville, Ohio, 43716</t>
  </si>
  <si>
    <t>43822 State Route 556</t>
  </si>
  <si>
    <t>Beallsville</t>
  </si>
  <si>
    <t>43716</t>
  </si>
  <si>
    <t>Beallsville High School</t>
  </si>
  <si>
    <t>Bear Elementary School</t>
  </si>
  <si>
    <t>545 School St, Miamisburg, Ohio, 45342</t>
  </si>
  <si>
    <t>545 School St</t>
  </si>
  <si>
    <t>Beatty Park Elementary School</t>
  </si>
  <si>
    <t>519 Trevitt St, Columbus, Ohio, 43203</t>
  </si>
  <si>
    <t>519 Trevitt St</t>
  </si>
  <si>
    <t>43203</t>
  </si>
  <si>
    <t>Columbus Spanish Immersion K-7 School</t>
  </si>
  <si>
    <t>3940 Karl Rd, Columbus, Ohio, 43224</t>
  </si>
  <si>
    <t>3940 Karl Rd</t>
  </si>
  <si>
    <t>43224</t>
  </si>
  <si>
    <t>Beaver Local Middle School</t>
  </si>
  <si>
    <t>Beaver Local High School</t>
  </si>
  <si>
    <t>Beavercreek High School</t>
  </si>
  <si>
    <t>2660 Dayton Xenia Rd, Beavercreek, Ohio, 45434</t>
  </si>
  <si>
    <t>2660 Dayton Xenia Rd</t>
  </si>
  <si>
    <t>45434</t>
  </si>
  <si>
    <t>Beavertown Elementary School</t>
  </si>
  <si>
    <t>2700 Wilmington Pike, Kettering, Ohio, 45419</t>
  </si>
  <si>
    <t>2700 Wilmington Pike</t>
  </si>
  <si>
    <t>Bedford High School</t>
  </si>
  <si>
    <t>481 Northfield Rd, Bedford, Ohio, 44146</t>
  </si>
  <si>
    <t>481 Northfield Rd</t>
  </si>
  <si>
    <t>Beechwood Elementary School</t>
  </si>
  <si>
    <t>455 Beechwood Rd, Whitehall, Ohio, 43213</t>
  </si>
  <si>
    <t>455 Beechwood Rd</t>
  </si>
  <si>
    <t>Early Childhood Center</t>
  </si>
  <si>
    <t>73 Junefield Ave, Cincinnati, Ohio, 45218</t>
  </si>
  <si>
    <t>73 Junefield Ave</t>
  </si>
  <si>
    <t>45218</t>
  </si>
  <si>
    <t>Bellaire High School</t>
  </si>
  <si>
    <t>349 35th St, Bellaire, Ohio, 43906</t>
  </si>
  <si>
    <t>349 35th St</t>
  </si>
  <si>
    <t>Bellbrook Middle School</t>
  </si>
  <si>
    <t>3600 Feedwire Rd, Bellbrook, Ohio, 45305</t>
  </si>
  <si>
    <t>3600 Feedwire Rd</t>
  </si>
  <si>
    <t>Bellbrook High School</t>
  </si>
  <si>
    <t>3737 Upper Bellbrook Rd, Bellbrook, Ohio, 45305</t>
  </si>
  <si>
    <t>3737 Upper Bellbrook Rd</t>
  </si>
  <si>
    <t>Benjamin Logan Elementary School</t>
  </si>
  <si>
    <t>4560 County Road 26, Bellefontaine, Ohio, 43311</t>
  </si>
  <si>
    <t>4560 County Road 26</t>
  </si>
  <si>
    <t>Belle Haven Elementary School</t>
  </si>
  <si>
    <t>4401 Free Pike, Dayton, Ohio, 45416</t>
  </si>
  <si>
    <t>4401 Free Pike</t>
  </si>
  <si>
    <t>45416</t>
  </si>
  <si>
    <t>Bellefontaine High School</t>
  </si>
  <si>
    <t>555 E Lake Ave, Bellefontaine, Ohio, 43311</t>
  </si>
  <si>
    <t>555 E Lake Ave</t>
  </si>
  <si>
    <t>Bellevue High School</t>
  </si>
  <si>
    <t>200 Oakland Ave, Bellevue, Ohio, 44811</t>
  </si>
  <si>
    <t>200 Oakland Ave</t>
  </si>
  <si>
    <t>Bellevue Middle School</t>
  </si>
  <si>
    <t>1035 Castalia St, Bellevue, Ohio, 44811</t>
  </si>
  <si>
    <t>1035 Castalia St</t>
  </si>
  <si>
    <t>Bellville Elementary School</t>
  </si>
  <si>
    <t>195 School St, Bellville, Ohio, 44813</t>
  </si>
  <si>
    <t>195 School St</t>
  </si>
  <si>
    <t>Belmont High School</t>
  </si>
  <si>
    <t>2615 Wayne Ave, Dayton, Ohio, 45420</t>
  </si>
  <si>
    <t>2615 Wayne Ave</t>
  </si>
  <si>
    <t>45420</t>
  </si>
  <si>
    <t>Belpre High School</t>
  </si>
  <si>
    <t>300 Stone Rd, Belpre, Ohio, 45714</t>
  </si>
  <si>
    <t>300 Stone Rd</t>
  </si>
  <si>
    <t>Gearity Professional Development School</t>
  </si>
  <si>
    <t>2323 Wrenford Rd, University Hts, Ohio, 44118</t>
  </si>
  <si>
    <t>2323 Wrenford Rd</t>
  </si>
  <si>
    <t>University Hts</t>
  </si>
  <si>
    <t xml:space="preserve">Benjamin Franklin </t>
  </si>
  <si>
    <t>1905 Spring Rd, Cleveland, Ohio, 44109</t>
  </si>
  <si>
    <t>1905 Spring Rd</t>
  </si>
  <si>
    <t>44109</t>
  </si>
  <si>
    <t>Berkshire High School</t>
  </si>
  <si>
    <t>14155 Claridon Troy Rd # 14155, Burton, Ohio, 44021</t>
  </si>
  <si>
    <t>14155 Claridon Troy Rd # 14155</t>
  </si>
  <si>
    <t>Western Reserve Middle School</t>
  </si>
  <si>
    <t>Berlin Elementary School</t>
  </si>
  <si>
    <t>4978 W Main St, Berlin, Ohio, 44610</t>
  </si>
  <si>
    <t>4978 W Main St</t>
  </si>
  <si>
    <t>Berlin</t>
  </si>
  <si>
    <t>44610</t>
  </si>
  <si>
    <t>Edison Middle School (formerly Berlin-Milan Middle School)</t>
  </si>
  <si>
    <t>20 Center St, Berlin Heights, Ohio, 44814</t>
  </si>
  <si>
    <t>20 Center St</t>
  </si>
  <si>
    <t>Berlin Heights</t>
  </si>
  <si>
    <t>44814</t>
  </si>
  <si>
    <t>Berne Union Elementary School</t>
  </si>
  <si>
    <t>Berne Union High School</t>
  </si>
  <si>
    <t>Berry Intermediate School</t>
  </si>
  <si>
    <t>23 Oakwood Ave, Lebanon, Ohio, 45036</t>
  </si>
  <si>
    <t>23 Oakwood Ave</t>
  </si>
  <si>
    <t>Berwick Alternative K-8 School</t>
  </si>
  <si>
    <t>2655 Scottwood Rd, Columbus, Ohio, 43209</t>
  </si>
  <si>
    <t>2655 Scottwood Rd</t>
  </si>
  <si>
    <t>Bethel Elementary School</t>
  </si>
  <si>
    <t>Bethel Tate High School</t>
  </si>
  <si>
    <t>3420 State Route 125, Bethel, Ohio, 45106</t>
  </si>
  <si>
    <t>3420 State Route 125</t>
  </si>
  <si>
    <t>Bethel High School</t>
  </si>
  <si>
    <t>Bethel-Tate Middle School</t>
  </si>
  <si>
    <t>649 W Plane St, Bethel, Ohio, 45106</t>
  </si>
  <si>
    <t>649 W Plane St</t>
  </si>
  <si>
    <t>Betty Jane Community Learning Center</t>
  </si>
  <si>
    <t>444 Darrow Rd, Akron, Ohio, 44305</t>
  </si>
  <si>
    <t>444 Darrow Rd</t>
  </si>
  <si>
    <t>Beverly Elementary School</t>
  </si>
  <si>
    <t>3548 S Detroit Ave, Toledo, Ohio, 43614</t>
  </si>
  <si>
    <t>3548 S Detroit Ave</t>
  </si>
  <si>
    <t>43614</t>
  </si>
  <si>
    <t>Beverly-Center Elementary School</t>
  </si>
  <si>
    <t>Beverly Gardens Elementary School</t>
  </si>
  <si>
    <t>5555 Enright Ave, Dayton, Ohio, 45431</t>
  </si>
  <si>
    <t>5555 Enright Ave</t>
  </si>
  <si>
    <t>Bexley High School</t>
  </si>
  <si>
    <t>326 S Cassingham Rd, Bexley, Ohio, 43209</t>
  </si>
  <si>
    <t>326 S Cassingham Rd</t>
  </si>
  <si>
    <t xml:space="preserve">River Valley Middle School </t>
  </si>
  <si>
    <t>8779 State Route 160, Bidwell, Ohio, 45614</t>
  </si>
  <si>
    <t>8779 State Route 160</t>
  </si>
  <si>
    <t>Bidwell</t>
  </si>
  <si>
    <t>45614</t>
  </si>
  <si>
    <t>Big Walnut High School</t>
  </si>
  <si>
    <t>713 N Miller Drive, Sunbury, Ohio, 43074</t>
  </si>
  <si>
    <t>713 N Miller Drive</t>
  </si>
  <si>
    <t>Binns Elementary School</t>
  </si>
  <si>
    <t>1080 Binns Blvd, Columbus, Ohio, 43204</t>
  </si>
  <si>
    <t>1080 Binns Blvd</t>
  </si>
  <si>
    <t>43204</t>
  </si>
  <si>
    <t>Birmingham Elementary School</t>
  </si>
  <si>
    <t>2222 Bakewell St, Toledo, Ohio, 43605</t>
  </si>
  <si>
    <t>2222 Bakewell St</t>
  </si>
  <si>
    <t>43605</t>
  </si>
  <si>
    <t>Samuel Bissell Elementary School</t>
  </si>
  <si>
    <t>1811 Glenwood Dr, Twinsburg, Ohio, 44087</t>
  </si>
  <si>
    <t>1811 Glenwood Dr</t>
  </si>
  <si>
    <t>Black River High School</t>
  </si>
  <si>
    <t>233 County Road 40, Sullivan, Ohio, 44880</t>
  </si>
  <si>
    <t>233 County Road 40</t>
  </si>
  <si>
    <t>Blairwood Elementary School</t>
  </si>
  <si>
    <t>1241 Blairwood Ave, Dayton, Ohio, 45417</t>
  </si>
  <si>
    <t>1241 Blairwood Ave</t>
  </si>
  <si>
    <t>Blanchester Middle School</t>
  </si>
  <si>
    <t>955 Cherry St, Blanchester, Ohio, 45107</t>
  </si>
  <si>
    <t>955 Cherry St</t>
  </si>
  <si>
    <t>Blanchester High School</t>
  </si>
  <si>
    <t>953 Cherry St, Blanchester, Ohio, 45107</t>
  </si>
  <si>
    <t>953 Cherry St</t>
  </si>
  <si>
    <t>Bloom Carroll Intermediate School</t>
  </si>
  <si>
    <t>4955 Carroll Eastern Rd, Carroll, Ohio, 43112</t>
  </si>
  <si>
    <t>4955 Carroll Eastern Rd</t>
  </si>
  <si>
    <t>South Webster Jr/Sr High School</t>
  </si>
  <si>
    <t>10529 Main St, South Webster, Ohio, 45682</t>
  </si>
  <si>
    <t>10529 Main St</t>
  </si>
  <si>
    <t>Bloom Carroll Primary School</t>
  </si>
  <si>
    <t>Edgewood Intermediate School</t>
  </si>
  <si>
    <t>3440 Busenbark Rd, Trenton, Ohio, 45067</t>
  </si>
  <si>
    <t>3440 Busenbark Rd</t>
  </si>
  <si>
    <t>Bloomfield High School</t>
  </si>
  <si>
    <t>2077 Park West Rd, North Bloomfield, Ohio, 44450</t>
  </si>
  <si>
    <t>2077 Park West Rd</t>
  </si>
  <si>
    <t>Miami Trace Middle School</t>
  </si>
  <si>
    <t>3800 State Route 41 NW, Washington Court House, Ohio, 43160</t>
  </si>
  <si>
    <t>3800 State Route 41 NW</t>
  </si>
  <si>
    <t>E J Blott Elementary School</t>
  </si>
  <si>
    <t>Blue Ash Elementary</t>
  </si>
  <si>
    <t>9541 Plainfield Rd, Cincinnati, Ohio, 45236</t>
  </si>
  <si>
    <t>9541 Plainfield Rd</t>
  </si>
  <si>
    <t>Bluffton Elementary School</t>
  </si>
  <si>
    <t>Bluffton High School</t>
  </si>
  <si>
    <t>106 W College Ave, Bluffton, Ohio, 45817</t>
  </si>
  <si>
    <t>106 W College Ave</t>
  </si>
  <si>
    <t>Wapakoneta Middle School</t>
  </si>
  <si>
    <t>400 W Harrison St, Wapakoneta, Ohio, 45895</t>
  </si>
  <si>
    <t>400 W Harrison St</t>
  </si>
  <si>
    <t>Boardman Glenwood Junior High</t>
  </si>
  <si>
    <t>7635 Glenwood Ave, Youngstown, Ohio, 44512</t>
  </si>
  <si>
    <t>7635 Glenwood Ave</t>
  </si>
  <si>
    <t>Boardman High School</t>
  </si>
  <si>
    <t>Bolich Middle School</t>
  </si>
  <si>
    <t>2630 13th St, Cuyahoga Falls, Ohio, 44223</t>
  </si>
  <si>
    <t>2630 13th St</t>
  </si>
  <si>
    <t>44223</t>
  </si>
  <si>
    <t>Tuscarawas Valley Elementary School</t>
  </si>
  <si>
    <t>2637 Tusky Valley Rd NE, Zoarville, Ohio, 44656</t>
  </si>
  <si>
    <t>2637 Tusky Valley Rd NE</t>
  </si>
  <si>
    <t>Bolton</t>
  </si>
  <si>
    <t>9803 Quebec Ave, Cleveland, Ohio, 44106</t>
  </si>
  <si>
    <t>9803 Quebec Ave</t>
  </si>
  <si>
    <t>44106</t>
  </si>
  <si>
    <t>Bond Hill Academy</t>
  </si>
  <si>
    <t>1510 California Ave, Cincinnati, Ohio, 45237</t>
  </si>
  <si>
    <t>1510 California Ave</t>
  </si>
  <si>
    <t>45237</t>
  </si>
  <si>
    <t>Woodridge Middle School</t>
  </si>
  <si>
    <t>4451 Quick Rd, Peninsula, Ohio, 44264</t>
  </si>
  <si>
    <t>4451 Quick Rd</t>
  </si>
  <si>
    <t>Botkins Elementary School</t>
  </si>
  <si>
    <t>Boulevard Elementary School</t>
  </si>
  <si>
    <t>14900 Drexmore Rd, Shaker Heights, Ohio, 44120</t>
  </si>
  <si>
    <t>14900 Drexmore Rd</t>
  </si>
  <si>
    <t>1749 Lee Rd, Cleveland Heights, Ohio, 44118</t>
  </si>
  <si>
    <t>1749 Lee Rd</t>
  </si>
  <si>
    <t>STEM School</t>
  </si>
  <si>
    <t>Conotton Valley Elementary</t>
  </si>
  <si>
    <t>Bowling Green High School</t>
  </si>
  <si>
    <t>530 W Poe Rd, Bowling Green, Ohio, 43402</t>
  </si>
  <si>
    <t>530 W Poe Rd</t>
  </si>
  <si>
    <t>Bowling Green Middle School</t>
  </si>
  <si>
    <t>1079 Fairview Ave, Bowling Green, Ohio, 43402</t>
  </si>
  <si>
    <t>1079 Fairview Ave</t>
  </si>
  <si>
    <t>Bowsher High School</t>
  </si>
  <si>
    <t>2200 Arlington Avenue, Toledo, Ohio, 43614</t>
  </si>
  <si>
    <t>2200 Arlington Avenue</t>
  </si>
  <si>
    <t>LaBrae Intermediate School</t>
  </si>
  <si>
    <t>Bradford Elementary School</t>
  </si>
  <si>
    <t>740 Railroad Ave, Bradford, Ohio, 45308</t>
  </si>
  <si>
    <t>740 Railroad Ave</t>
  </si>
  <si>
    <t>Bradford High School</t>
  </si>
  <si>
    <t>750 Railroad Ave, Bradford, Ohio, 45308</t>
  </si>
  <si>
    <t>750 Railroad Ave</t>
  </si>
  <si>
    <t>Ballard Brady Middle School</t>
  </si>
  <si>
    <t>32000 Chagrin Blvd, Pepper Pike, Ohio, 44124</t>
  </si>
  <si>
    <t>Pepper Pike</t>
  </si>
  <si>
    <t>Summerside Elementary</t>
  </si>
  <si>
    <t>4639 Vermona Dr, Cincinnati, Ohio, 45245</t>
  </si>
  <si>
    <t>4639 Vermona Dr</t>
  </si>
  <si>
    <t>Brantwood Elementary School</t>
  </si>
  <si>
    <t>4350 Schwinn Dr, Dayton, Ohio, 45404</t>
  </si>
  <si>
    <t>4350 Schwinn Dr</t>
  </si>
  <si>
    <t>45404</t>
  </si>
  <si>
    <t>Brecksville-Broadview Heights High School</t>
  </si>
  <si>
    <t>6380 Mill Rd, Broadview Heights, Ohio, 44147</t>
  </si>
  <si>
    <t>6380 Mill Rd</t>
  </si>
  <si>
    <t>Broadview Heights</t>
  </si>
  <si>
    <t>44147</t>
  </si>
  <si>
    <t>Brecksville-Broadview Heights Middle School</t>
  </si>
  <si>
    <t>6376 Mill Rd, Broadview Heights, Ohio, 44147</t>
  </si>
  <si>
    <t>6376 Mill Rd</t>
  </si>
  <si>
    <t>Ridge Elementary School</t>
  </si>
  <si>
    <t>7860 Johnnycake Ridge Rd, Mentor, Ohio, 44060</t>
  </si>
  <si>
    <t>7860 Johnnycake Ridge Rd</t>
  </si>
  <si>
    <t>The Bridgeport School District - High School</t>
  </si>
  <si>
    <t>55707 Industrial Dr, Bridgeport, Ohio, 43912</t>
  </si>
  <si>
    <t>55707 Industrial Dr</t>
  </si>
  <si>
    <t>Bridgetown Middle School</t>
  </si>
  <si>
    <t>3900 Race Rd, Cincinnati, Ohio, 45211</t>
  </si>
  <si>
    <t>3900 Race Rd</t>
  </si>
  <si>
    <t>45211</t>
  </si>
  <si>
    <t>Buckeye North Elementary School</t>
  </si>
  <si>
    <t>1004 3rd St, Brilliant, Ohio, 43913</t>
  </si>
  <si>
    <t>1004 3rd St</t>
  </si>
  <si>
    <t>Brilliant</t>
  </si>
  <si>
    <t>43913</t>
  </si>
  <si>
    <t>Brimfield Elementary School</t>
  </si>
  <si>
    <t>4170 State Route 43, Kent, Ohio, 44240</t>
  </si>
  <si>
    <t>4170 State Route 43</t>
  </si>
  <si>
    <t>Malabar Intermediate School</t>
  </si>
  <si>
    <t>205 W Cook Rd, Mansfield, Ohio, 44907</t>
  </si>
  <si>
    <t>205 W Cook Rd</t>
  </si>
  <si>
    <t>Bristol Elementary School</t>
  </si>
  <si>
    <t>Bristol High School</t>
  </si>
  <si>
    <t>Britton Elementary School</t>
  </si>
  <si>
    <t>4501 Britton Rd, Hilliard, Ohio, 43026</t>
  </si>
  <si>
    <t>4501 Britton Rd</t>
  </si>
  <si>
    <t>Broadleigh Elementary School</t>
  </si>
  <si>
    <t>3039 Maryland Ave, Columbus, Ohio, 43209</t>
  </si>
  <si>
    <t>3039 Maryland Ave</t>
  </si>
  <si>
    <t>Broadway Elementary School</t>
  </si>
  <si>
    <t>223 W Broadway St, Tipp City, Ohio, 45371</t>
  </si>
  <si>
    <t>223 W Broadway St</t>
  </si>
  <si>
    <t>Brookfield High School</t>
  </si>
  <si>
    <t>Brookfield Middle School</t>
  </si>
  <si>
    <t>Brooklyn High School</t>
  </si>
  <si>
    <t>Brook Park Elementary School</t>
  </si>
  <si>
    <t>17001 Holland Rd, Brook Park, Ohio, 44142</t>
  </si>
  <si>
    <t>17001 Holland Rd</t>
  </si>
  <si>
    <t>Brook Park</t>
  </si>
  <si>
    <t>44142</t>
  </si>
  <si>
    <t>Brookside Elementary School</t>
  </si>
  <si>
    <t>6700 Mcvey Blvd, Columbus, Ohio, 43235</t>
  </si>
  <si>
    <t>6700 Mcvey Blvd</t>
  </si>
  <si>
    <t>43235</t>
  </si>
  <si>
    <t>Brookside High School</t>
  </si>
  <si>
    <t>1662 Harris Rd, Sheffield Village, Ohio, 44054</t>
  </si>
  <si>
    <t>1662 Harris Rd</t>
  </si>
  <si>
    <t>Brookville High School</t>
  </si>
  <si>
    <t>1 Blue Pride Drive, Brookville, Ohio, 45309</t>
  </si>
  <si>
    <t>1 Blue Pride Drive</t>
  </si>
  <si>
    <t>Brown Elementary School</t>
  </si>
  <si>
    <t>2494 Walker Rd, Hilliard, Ohio, 43026</t>
  </si>
  <si>
    <t>2494 Walker Rd</t>
  </si>
  <si>
    <t>Brown Middle School</t>
  </si>
  <si>
    <t>228 S Scranton St, Ravenna, Ohio, 44266</t>
  </si>
  <si>
    <t>228 S Scranton St</t>
  </si>
  <si>
    <t>William Bruce Elementary School</t>
  </si>
  <si>
    <t>506-B Aukerman St, Eaton, Ohio, 45320</t>
  </si>
  <si>
    <t>506-B Aukerman St</t>
  </si>
  <si>
    <t>Brunswick High School</t>
  </si>
  <si>
    <t>3581 Center Rd, Brunswick, Ohio, 44212</t>
  </si>
  <si>
    <t>3581 Center Rd</t>
  </si>
  <si>
    <t>Midview North Elementary School</t>
  </si>
  <si>
    <t>13070 Durkee Rd, Grafton, Ohio, 44044</t>
  </si>
  <si>
    <t>13070 Durkee Rd</t>
  </si>
  <si>
    <t>Brush High School</t>
  </si>
  <si>
    <t>4875 Glenlyn Rd, Lyndhurst, Ohio, 44124</t>
  </si>
  <si>
    <t>4875 Glenlyn Rd</t>
  </si>
  <si>
    <t>Bryan Elementary</t>
  </si>
  <si>
    <t>1301 Center St, Bryan, Ohio, 43506</t>
  </si>
  <si>
    <t>1301 Center St</t>
  </si>
  <si>
    <t>Bryan Middle School/High School</t>
  </si>
  <si>
    <t>1000 W Fountain Grove Drive, Bryan, Ohio, 43506</t>
  </si>
  <si>
    <t>1000 W Fountain Grove Drive</t>
  </si>
  <si>
    <t>Bryden Elementary School</t>
  </si>
  <si>
    <t>25501 Bryden Rd, Beachwood, Ohio, 44122</t>
  </si>
  <si>
    <t>25501 Bryden Rd</t>
  </si>
  <si>
    <t>Buchtel Community Learning Center</t>
  </si>
  <si>
    <t>1040 Copley Rd, Akron, Ohio, 44320</t>
  </si>
  <si>
    <t>1040 Copley Rd</t>
  </si>
  <si>
    <t>44320</t>
  </si>
  <si>
    <t>Buckeye Central High School</t>
  </si>
  <si>
    <t>Buckeye Elementary School</t>
  </si>
  <si>
    <t>175 Buckeye Rd, Painesville, Ohio, 44077</t>
  </si>
  <si>
    <t>175 Buckeye Rd</t>
  </si>
  <si>
    <t>1200 Buckeye Ave, Salem, Ohio, 44460</t>
  </si>
  <si>
    <t>1200 Buckeye Ave</t>
  </si>
  <si>
    <t>Buckeye High School</t>
  </si>
  <si>
    <t>3084 Columbia Rd, Medina, Ohio, 44256</t>
  </si>
  <si>
    <t>3084 Columbia Rd</t>
  </si>
  <si>
    <t>Buckeye Middle School</t>
  </si>
  <si>
    <t>2950 Parsons Ave, Columbus, Ohio, 43207</t>
  </si>
  <si>
    <t>2950 Parsons Ave</t>
  </si>
  <si>
    <t>Buckeye Valley Local High School</t>
  </si>
  <si>
    <t>901 Coover Rd, Delaware, Ohio, 43015</t>
  </si>
  <si>
    <t>901 Coover Rd</t>
  </si>
  <si>
    <t>Buckskin Elementary School</t>
  </si>
  <si>
    <t>4297 Broadway St, South Salem, Ohio, 45681</t>
  </si>
  <si>
    <t>4297 Broadway St</t>
  </si>
  <si>
    <t>South Salem</t>
  </si>
  <si>
    <t>45681</t>
  </si>
  <si>
    <t>Bucyrus Secondary School</t>
  </si>
  <si>
    <t>900 W Perry St, Bucyrus, Ohio, 44820</t>
  </si>
  <si>
    <t>900 W Perry St</t>
  </si>
  <si>
    <t>Budd Elementary School</t>
  </si>
  <si>
    <t>Pugliese Elementary West</t>
  </si>
  <si>
    <t>435 John Scott Hwy Connector, Steubenville, Ohio, 43952</t>
  </si>
  <si>
    <t>435 John Scott Hwy Connector</t>
  </si>
  <si>
    <t>Brook Intermediate School</t>
  </si>
  <si>
    <t>58601 Marietta Rd, Byesville, Ohio, 43723</t>
  </si>
  <si>
    <t>58601 Marietta Rd</t>
  </si>
  <si>
    <t>Byesville</t>
  </si>
  <si>
    <t>43723</t>
  </si>
  <si>
    <t>Buhrer</t>
  </si>
  <si>
    <t>1600 Buhrer Ave, Cleveland, Ohio, 44109</t>
  </si>
  <si>
    <t>1600 Buhrer Ave</t>
  </si>
  <si>
    <t>Ontario Primary School</t>
  </si>
  <si>
    <t>2302 Wade Ave, Ashtabula, Ohio, 44004</t>
  </si>
  <si>
    <t>2302 Wade Ave</t>
  </si>
  <si>
    <t>Paul C Bunn Elementary School</t>
  </si>
  <si>
    <t>1825 Sequoya Dr, Youngstown, Ohio, 44514</t>
  </si>
  <si>
    <t>1825 Sequoya Dr</t>
  </si>
  <si>
    <t>Burlington Elementary School</t>
  </si>
  <si>
    <t>8781 County Road 1, South Point, Ohio, 45680</t>
  </si>
  <si>
    <t>8781 County Road 1</t>
  </si>
  <si>
    <t>Wauseon Middle School</t>
  </si>
  <si>
    <t>940 E Oak St, Wauseon, Ohio, 43567</t>
  </si>
  <si>
    <t>940 E Oak St</t>
  </si>
  <si>
    <t>Burroughs Elementary School</t>
  </si>
  <si>
    <t>551 S Richardson Ave, Columbus, Ohio, 43204</t>
  </si>
  <si>
    <t>551 S Richardson Ave</t>
  </si>
  <si>
    <t>2420 South Ave, Toledo, Ohio, 43609</t>
  </si>
  <si>
    <t>2420 South Ave</t>
  </si>
  <si>
    <t>Berkshire Middle School</t>
  </si>
  <si>
    <t>Butler Elementary School</t>
  </si>
  <si>
    <t>125 College St, Butler, Ohio, 44822</t>
  </si>
  <si>
    <t>125 College St</t>
  </si>
  <si>
    <t>44822</t>
  </si>
  <si>
    <t>Butler Middle School</t>
  </si>
  <si>
    <t>Butler High School</t>
  </si>
  <si>
    <t>600 S Dixie Dr, Vandalia, Ohio, 45377</t>
  </si>
  <si>
    <t>600 S Dixie Dr</t>
  </si>
  <si>
    <t>Byesville Elementary School</t>
  </si>
  <si>
    <t>212 Main St, Byesville, Ohio, 43723</t>
  </si>
  <si>
    <t>212 Main St</t>
  </si>
  <si>
    <t>Shaker Hts Middle School</t>
  </si>
  <si>
    <t>20600 Shaker Blvd, Shaker Heights, Ohio, 44122</t>
  </si>
  <si>
    <t>20600 Shaker Blvd</t>
  </si>
  <si>
    <t>C O Harrison Elementary School</t>
  </si>
  <si>
    <t>585 Neeb Rd, Cincinnati, Ohio, 45233</t>
  </si>
  <si>
    <t>585 Neeb Rd</t>
  </si>
  <si>
    <t>Harrison Central Jr./Sr. High School</t>
  </si>
  <si>
    <t>Southwestern Elementary School</t>
  </si>
  <si>
    <t>4834 State Route 325, Patriot, Ohio, 45658</t>
  </si>
  <si>
    <t>4834 State Route 325</t>
  </si>
  <si>
    <t>Beaver Local Elementary School</t>
  </si>
  <si>
    <t>Caldwell High School</t>
  </si>
  <si>
    <t>Caldwell Elementary School</t>
  </si>
  <si>
    <t>44350 Fairgrounds Rd, Caldwell, Ohio, 43724</t>
  </si>
  <si>
    <t>44350 Fairgrounds Rd</t>
  </si>
  <si>
    <t>Liberty Elementary School</t>
  </si>
  <si>
    <t>1932 Whetstone River Rd N, Caledonia, Ohio, 43314</t>
  </si>
  <si>
    <t>1932 Whetstone River Rd N</t>
  </si>
  <si>
    <t>Caledonia Elementary School</t>
  </si>
  <si>
    <t>914 Caledonia Ave, Cleveland Heights, Ohio, 44112</t>
  </si>
  <si>
    <t>914 Caledonia Ave</t>
  </si>
  <si>
    <t>Cambridge Middle School</t>
  </si>
  <si>
    <t>1400 Deerpath Dr, Cambridge, Ohio, 43725</t>
  </si>
  <si>
    <t>1400 Deerpath Dr</t>
  </si>
  <si>
    <t>Cambridge High School</t>
  </si>
  <si>
    <t>1401 Deerpath Dr, Cambridge, Ohio, 43725</t>
  </si>
  <si>
    <t>1401 Deerpath Dr</t>
  </si>
  <si>
    <t>Preble Shawnee Elementary School</t>
  </si>
  <si>
    <t>120 Bloomfield St, Camden, Ohio, 45311</t>
  </si>
  <si>
    <t>120 Bloomfield St</t>
  </si>
  <si>
    <t>C H Campbell Elementary School</t>
  </si>
  <si>
    <t>300 Moreland Dr, Canfield, Ohio, 44406</t>
  </si>
  <si>
    <t>300 Moreland Dr</t>
  </si>
  <si>
    <t>Ironton Middle School</t>
  </si>
  <si>
    <t>302 Delaware St, Ironton, Ohio, 45638</t>
  </si>
  <si>
    <t>302 Delaware St</t>
  </si>
  <si>
    <t>Streetsboro Elementary School</t>
  </si>
  <si>
    <t>8955 Kirby Ln, Streetsboro, Ohio, 44241</t>
  </si>
  <si>
    <t>8955 Kirby Ln</t>
  </si>
  <si>
    <t>Jonathan Alder Junior High</t>
  </si>
  <si>
    <t>6440 Kilbury Huber Rd, Plain City, Ohio, 43064</t>
  </si>
  <si>
    <t>6440 Kilbury Huber Rd</t>
  </si>
  <si>
    <t>W. S. Stinson Elementary School</t>
  </si>
  <si>
    <t>8454 Erie Ave NW, Canal Fulton, Ohio, 44614</t>
  </si>
  <si>
    <t>8454 Erie Ave NW</t>
  </si>
  <si>
    <t>Canal Winchester High School</t>
  </si>
  <si>
    <t>300 Washington St, Canal Winchester, Ohio, 43110</t>
  </si>
  <si>
    <t>300 Washington St</t>
  </si>
  <si>
    <t>Canfield High School</t>
  </si>
  <si>
    <t>100 Cardinal Dr, Canfield, Ohio, 44406</t>
  </si>
  <si>
    <t>100 Cardinal Dr</t>
  </si>
  <si>
    <t>Canterbury Elementary School</t>
  </si>
  <si>
    <t>2530 Canterbury Rd, Cleveland Heights, Ohio, 44118</t>
  </si>
  <si>
    <t>2530 Canterbury Rd</t>
  </si>
  <si>
    <t>Canton South High School</t>
  </si>
  <si>
    <t>East Palestine Elementary School</t>
  </si>
  <si>
    <t>195 W Grant St, East Palestine, Ohio, 44413</t>
  </si>
  <si>
    <t>195 W Grant St</t>
  </si>
  <si>
    <t>Cardinal Middle School</t>
  </si>
  <si>
    <t>16175 Almeda Dr., Middlefield, Ohio, 44062</t>
  </si>
  <si>
    <t>16175 Almeda Dr.</t>
  </si>
  <si>
    <t>Cardinal High School</t>
  </si>
  <si>
    <t>14785 Thompson Ave, Middlefield, Ohio, 44062</t>
  </si>
  <si>
    <t>14785 Thompson Ave</t>
  </si>
  <si>
    <t>Cardington-Lincoln High School</t>
  </si>
  <si>
    <t>349 Chesterville Ave, Cardington, Ohio, 43315</t>
  </si>
  <si>
    <t>349 Chesterville Ave</t>
  </si>
  <si>
    <t>Cardington-Lincoln Elementary School</t>
  </si>
  <si>
    <t>Carey High School</t>
  </si>
  <si>
    <t>Carlisle High School</t>
  </si>
  <si>
    <t>250 Jamaica Rd, Carlisle, Ohio, 45005</t>
  </si>
  <si>
    <t>250 Jamaica Rd</t>
  </si>
  <si>
    <t>Carlisle Primary Elementary School</t>
  </si>
  <si>
    <t>270 Jamaica Rd, Carlisle, Ohio, 45005</t>
  </si>
  <si>
    <t>270 Jamaica Rd</t>
  </si>
  <si>
    <t>Carlisle Intermediate Elementary School</t>
  </si>
  <si>
    <t>Louise Troy Elementary School</t>
  </si>
  <si>
    <t>1630 Miami Chapel Rd, Dayton, Ohio, 45408</t>
  </si>
  <si>
    <t>1630 Miami Chapel Rd</t>
  </si>
  <si>
    <t>45408</t>
  </si>
  <si>
    <t>Bloom-Carroll High School</t>
  </si>
  <si>
    <t>5240 Plum Road NW, Carroll, Ohio, 43112</t>
  </si>
  <si>
    <t>5240 Plum Road NW</t>
  </si>
  <si>
    <t>Carrollton High School-Carrollton Middle School</t>
  </si>
  <si>
    <t>205 Scio Rd SE, Carrollton, Ohio, 44615</t>
  </si>
  <si>
    <t>205 Scio Rd SE</t>
  </si>
  <si>
    <t>Dater Montessori School</t>
  </si>
  <si>
    <t>2840 Boudinot Ave, Cincinnati, Ohio, 45238</t>
  </si>
  <si>
    <t>2840 Boudinot Ave</t>
  </si>
  <si>
    <t>45238</t>
  </si>
  <si>
    <t>Carylwood Intermediate School</t>
  </si>
  <si>
    <t>1387 Caryl Dr, Bedford, Ohio, 44146</t>
  </si>
  <si>
    <t>1387 Caryl Dr</t>
  </si>
  <si>
    <t>Case Community Learning Center</t>
  </si>
  <si>
    <t>1420 Garman Rd, Akron, Ohio, 44313</t>
  </si>
  <si>
    <t>1420 Garman Rd</t>
  </si>
  <si>
    <t>44313</t>
  </si>
  <si>
    <t>Cassingham Elementary School</t>
  </si>
  <si>
    <t>250 S Cassingham Rd, Bexley, Ohio, 43209</t>
  </si>
  <si>
    <t>250 S Cassingham Rd</t>
  </si>
  <si>
    <t>Cedar Elementary School</t>
  </si>
  <si>
    <t>2823 9th St SW, Canton, Ohio, 44710</t>
  </si>
  <si>
    <t>2823 9th St SW</t>
  </si>
  <si>
    <t>44710</t>
  </si>
  <si>
    <t>Gorsuch West Elementary School</t>
  </si>
  <si>
    <t>440 Trace Dr, Lancaster, Ohio, 43130</t>
  </si>
  <si>
    <t>440 Trace Dr</t>
  </si>
  <si>
    <t>Chestnut Elementary School</t>
  </si>
  <si>
    <t>341 Chestnut St, Painesville, Ohio, 44077</t>
  </si>
  <si>
    <t>341 Chestnut St</t>
  </si>
  <si>
    <t>Cedarville Elementary School</t>
  </si>
  <si>
    <t>194 Walnut St, Cedarville, Ohio, 45314</t>
  </si>
  <si>
    <t>194 Walnut St</t>
  </si>
  <si>
    <t>Cedarville High School</t>
  </si>
  <si>
    <t>Cedarwood Alternative Elementary School</t>
  </si>
  <si>
    <t>775 Bartfield Dr, Columbus, Ohio, 43207</t>
  </si>
  <si>
    <t>775 Bartfield Dr</t>
  </si>
  <si>
    <t>Celina Middle School</t>
  </si>
  <si>
    <t>615 Holly St, Celina, Ohio, 45822</t>
  </si>
  <si>
    <t>615 Holly St</t>
  </si>
  <si>
    <t>Celina High School</t>
  </si>
  <si>
    <t>715 E Wayne St, Celina, Ohio, 45822</t>
  </si>
  <si>
    <t>715 E Wayne St</t>
  </si>
  <si>
    <t>Newton Falls Middle School</t>
  </si>
  <si>
    <t>Perry Elementary School</t>
  </si>
  <si>
    <t>1 Learning Ln, Perry, Ohio, 44081</t>
  </si>
  <si>
    <t>1 Learning Ln</t>
  </si>
  <si>
    <t>Centerburg Elementary School</t>
  </si>
  <si>
    <t>207 S Preston St, Centerburg, Ohio, 43011</t>
  </si>
  <si>
    <t>207 S Preston St</t>
  </si>
  <si>
    <t>Centerburg High School</t>
  </si>
  <si>
    <t>3782 Columbus Rd, Centerburg, Ohio, 43011</t>
  </si>
  <si>
    <t>3782 Columbus Rd</t>
  </si>
  <si>
    <t>Centerville High School</t>
  </si>
  <si>
    <t>500 E Franklin St, Centerville, Ohio, 45459</t>
  </si>
  <si>
    <t>500 E Franklin St</t>
  </si>
  <si>
    <t>45459</t>
  </si>
  <si>
    <t>Central Trail Elementary School</t>
  </si>
  <si>
    <t>4321 Mitchaw Rd, Sylvania, Ohio, 43560</t>
  </si>
  <si>
    <t>4321 Mitchaw Rd</t>
  </si>
  <si>
    <t>London MIddle School</t>
  </si>
  <si>
    <t>270 E Keny Blvd, London, Ohio, 43140</t>
  </si>
  <si>
    <t>270 E Keny Blvd</t>
  </si>
  <si>
    <t>Mason Middle School</t>
  </si>
  <si>
    <t>6370 S Mason Montgomery Rd, Mason, Ohio, 45040</t>
  </si>
  <si>
    <t>6370 S Mason Montgomery Rd</t>
  </si>
  <si>
    <t>Central Elementary School</t>
  </si>
  <si>
    <t>145 Ray Ave NW, New Philadelphia, Ohio, 44663</t>
  </si>
  <si>
    <t>145 Ray Ave NW</t>
  </si>
  <si>
    <t>Napoleon Elementary School</t>
  </si>
  <si>
    <t>725 Westmoreland Ave, Napoleon, Ohio, 43545</t>
  </si>
  <si>
    <t>725 Westmoreland Ave</t>
  </si>
  <si>
    <t>Central Academy Nongraded Elementary School</t>
  </si>
  <si>
    <t>4601 Sophie Ave, Middletown, Ohio, 45042</t>
  </si>
  <si>
    <t>4601 Sophie Ave</t>
  </si>
  <si>
    <t xml:space="preserve">Willard Elementary School </t>
  </si>
  <si>
    <t>One Flashes Avenue, Willard, Ohio, 44890</t>
  </si>
  <si>
    <t>One Flashes Avenue</t>
  </si>
  <si>
    <t>Wellston Middle School</t>
  </si>
  <si>
    <t>227 Golden Rocket Drive, Wellston, Ohio, 45692</t>
  </si>
  <si>
    <t>227 Golden Rocket Drive</t>
  </si>
  <si>
    <t>Fairfield Central Elementary School</t>
  </si>
  <si>
    <t>5054 Dixie Hwy, Fairfield, Ohio, 45014</t>
  </si>
  <si>
    <t>5054 Dixie Hwy</t>
  </si>
  <si>
    <t>124 Frederick St, Lexington, Ohio, 44904</t>
  </si>
  <si>
    <t>124 Frederick St</t>
  </si>
  <si>
    <t>Davey Elementary School</t>
  </si>
  <si>
    <t>196 N Prospect St, Kent, Ohio, 44240</t>
  </si>
  <si>
    <t>196 N Prospect St</t>
  </si>
  <si>
    <t>Central Primary School</t>
  </si>
  <si>
    <t>799 Washington St, Bedford, Ohio, 44146</t>
  </si>
  <si>
    <t>799 Washington St</t>
  </si>
  <si>
    <t>Alfred Benesch</t>
  </si>
  <si>
    <t>5393 Quincy Ave, Cleveland, Ohio, 44104</t>
  </si>
  <si>
    <t>5393 Quincy Ave</t>
  </si>
  <si>
    <t>Lima North Middle School</t>
  </si>
  <si>
    <t>1135 N West St, Lima, Ohio, 45801</t>
  </si>
  <si>
    <t>1135 N West St</t>
  </si>
  <si>
    <t>Xenia Preschool</t>
  </si>
  <si>
    <t>425 Edison Blvd, Xenia, Ohio, 45385</t>
  </si>
  <si>
    <t>425 Edison Blvd</t>
  </si>
  <si>
    <t>Glenwood Middle School</t>
  </si>
  <si>
    <t>1715 N Main St, Findlay, Ohio, 45840</t>
  </si>
  <si>
    <t>1715 N Main St</t>
  </si>
  <si>
    <t>Wadsworth Middle School</t>
  </si>
  <si>
    <t>150 Silvercreek Rd, Wadsworth, Ohio, 44281</t>
  </si>
  <si>
    <t>150 Silvercreek Rd</t>
  </si>
  <si>
    <t>Reading Elementary School</t>
  </si>
  <si>
    <t>Zane Trace Elementary School</t>
  </si>
  <si>
    <t>Chagrin Falls High School</t>
  </si>
  <si>
    <t>Chagrin Falls Middle School</t>
  </si>
  <si>
    <t>342 E Washington St, Chagrin Falls, Ohio, 44022</t>
  </si>
  <si>
    <t>342 E Washington St</t>
  </si>
  <si>
    <t>Chalker High School</t>
  </si>
  <si>
    <t>R B Chamberlin Middle School</t>
  </si>
  <si>
    <t>10270 Ravenna Rd, Twinsburg, Ohio, 44087</t>
  </si>
  <si>
    <t>10270 Ravenna Rd</t>
  </si>
  <si>
    <t>Champion Central Elementary School</t>
  </si>
  <si>
    <t>5976 Mahoning Ave NW Ste B, Warren, Ohio, 44483</t>
  </si>
  <si>
    <t>5976 Mahoning Ave NW Ste B</t>
  </si>
  <si>
    <t>Champion High School</t>
  </si>
  <si>
    <t>Champion Middle School</t>
  </si>
  <si>
    <t>284 N 22nd St, Columbus, Ohio, 43203</t>
  </si>
  <si>
    <t>284 N 22nd St</t>
  </si>
  <si>
    <t>5976 Mahoning Ave NW Ste C, Warren, Ohio, 44483</t>
  </si>
  <si>
    <t>5976 Mahoning Ave NW Ste C</t>
  </si>
  <si>
    <t>Chaney High</t>
  </si>
  <si>
    <t>731 S Hazelwood Ave, Youngstown, Ohio, 44509</t>
  </si>
  <si>
    <t>731 S Hazelwood Ave</t>
  </si>
  <si>
    <t>44509</t>
  </si>
  <si>
    <t>Chapelfield Elementary School</t>
  </si>
  <si>
    <t>280 Chapelfield Rd, Gahanna, Ohio, 43230</t>
  </si>
  <si>
    <t>280 Chapelfield Rd</t>
  </si>
  <si>
    <t>Chardon High School</t>
  </si>
  <si>
    <t>151 Chardon Ave, Chardon, Ohio, 44024</t>
  </si>
  <si>
    <t>151 Chardon Ave</t>
  </si>
  <si>
    <t>Chardon Middle School</t>
  </si>
  <si>
    <t>424 North St, Chardon, Ohio, 44024</t>
  </si>
  <si>
    <t>424 North St</t>
  </si>
  <si>
    <t>Charles A Mooney School</t>
  </si>
  <si>
    <t>3213 Montclair Ave, Cleveland, Ohio, 44109</t>
  </si>
  <si>
    <t>3213 Montclair Ave</t>
  </si>
  <si>
    <t>Charles Dickens School</t>
  </si>
  <si>
    <t>13013 Corlett Ave, Cleveland, Ohio, 44105</t>
  </si>
  <si>
    <t>13013 Corlett Ave</t>
  </si>
  <si>
    <t>44105</t>
  </si>
  <si>
    <t>Charles L Warstler Elementary School</t>
  </si>
  <si>
    <t>2500 Schneider St NE, Canton, Ohio, 44721</t>
  </si>
  <si>
    <t>2500 Schneider St NE</t>
  </si>
  <si>
    <t>44721</t>
  </si>
  <si>
    <t>Whitney M Young</t>
  </si>
  <si>
    <t>17900 Harvard Ave, Cleveland, Ohio, 44128</t>
  </si>
  <si>
    <t>17900 Harvard Ave</t>
  </si>
  <si>
    <t>Charles W Springmyer Elementary School</t>
  </si>
  <si>
    <t>4179 Ebenezer Rd, Cincinnati, Ohio, 45248</t>
  </si>
  <si>
    <t>4179 Ebenezer Rd</t>
  </si>
  <si>
    <t>45248</t>
  </si>
  <si>
    <t>Chase STEM Academy</t>
  </si>
  <si>
    <t>600 Bassett St, Toledo, Ohio, 43611</t>
  </si>
  <si>
    <t>600 Bassett St</t>
  </si>
  <si>
    <t>43611</t>
  </si>
  <si>
    <t>Chase School</t>
  </si>
  <si>
    <t>4151 Turrill St, Cincinnati, Ohio, 45223</t>
  </si>
  <si>
    <t>4151 Turrill St</t>
  </si>
  <si>
    <t>Cherrington Elementary School</t>
  </si>
  <si>
    <t>522 Cherrington Rd, Westerville, Ohio, 43081</t>
  </si>
  <si>
    <t>522 Cherrington Rd</t>
  </si>
  <si>
    <t>Rosa Parks Elementary School</t>
  </si>
  <si>
    <t>3350 Cherry St, Toledo, Ohio, 43608</t>
  </si>
  <si>
    <t>3350 Cherry St</t>
  </si>
  <si>
    <t>43608</t>
  </si>
  <si>
    <t>Swanton Middle School</t>
  </si>
  <si>
    <t>101 Elton Pkwy, Swanton, Ohio, 43558</t>
  </si>
  <si>
    <t>101 Elton Pkwy</t>
  </si>
  <si>
    <t>Cherry Valley Elementary School</t>
  </si>
  <si>
    <t>1040 W Main St, Newark, Ohio, 43055</t>
  </si>
  <si>
    <t>1040 W Main St</t>
  </si>
  <si>
    <t>Chesapeake High School</t>
  </si>
  <si>
    <t>10181 County Road 1, Chesapeake, Ohio, 45619</t>
  </si>
  <si>
    <t>10181 County Road 1</t>
  </si>
  <si>
    <t>30395 Lorain Rd, North Olmsted, Ohio, 44070</t>
  </si>
  <si>
    <t>30395 Lorain Rd</t>
  </si>
  <si>
    <t>Chestnut Ridge Elementary School</t>
  </si>
  <si>
    <t>5088 TR 401, Berlin, Ohio, 44610</t>
  </si>
  <si>
    <t>5088 TR 401</t>
  </si>
  <si>
    <t>Cheviot School</t>
  </si>
  <si>
    <t>4040 Harrison Ave, Cincinnati, Ohio, 45211</t>
  </si>
  <si>
    <t>4040 Harrison Ave</t>
  </si>
  <si>
    <t>Chillicothe High School</t>
  </si>
  <si>
    <t>421 Yoctangee Pkwy, Chillicothe, Ohio, 45601</t>
  </si>
  <si>
    <t>421 Yoctangee Pkwy</t>
  </si>
  <si>
    <t>Chippewa Jr./Sr. High School</t>
  </si>
  <si>
    <t>466 South Portage, Doylestown, Ohio, 44230</t>
  </si>
  <si>
    <t>466 South Portage</t>
  </si>
  <si>
    <t>Circleville High School</t>
  </si>
  <si>
    <t>380 Clark Dr, Circleville, Ohio, 43113</t>
  </si>
  <si>
    <t>380 Clark Dr</t>
  </si>
  <si>
    <t>Circleville Middle School</t>
  </si>
  <si>
    <t>360 Clark Dr, Circleville, Ohio, 43113</t>
  </si>
  <si>
    <t>360 Clark Dr</t>
  </si>
  <si>
    <t>Clara E Westropp School</t>
  </si>
  <si>
    <t>19101 Puritas Ave, Cleveland, Ohio, 44135</t>
  </si>
  <si>
    <t>19101 Puritas Ave</t>
  </si>
  <si>
    <t>Clarendon Intermediate School</t>
  </si>
  <si>
    <t>412 Clarendon Ave NW, Canton, Ohio, 44708</t>
  </si>
  <si>
    <t>412 Clarendon Ave NW</t>
  </si>
  <si>
    <t>Watkins Elementary School</t>
  </si>
  <si>
    <t>1520 Watkins Rd, Columbus, Ohio, 43207</t>
  </si>
  <si>
    <t>1520 Watkins Rd</t>
  </si>
  <si>
    <t>Clark School</t>
  </si>
  <si>
    <t>2121 W 67th St, Cleveland, Ohio, 44102</t>
  </si>
  <si>
    <t>2121 W 67th St</t>
  </si>
  <si>
    <t>Clay High School</t>
  </si>
  <si>
    <t>5665 Seaman St, Oregon, Ohio, 43616</t>
  </si>
  <si>
    <t>5665 Seaman St</t>
  </si>
  <si>
    <t>Claymont Middle School</t>
  </si>
  <si>
    <t>215 E 6th St, Uhrichsville, Ohio, 44683</t>
  </si>
  <si>
    <t>215 E 6th St</t>
  </si>
  <si>
    <t>Uhrichsville</t>
  </si>
  <si>
    <t>44683</t>
  </si>
  <si>
    <t>Claymont High School</t>
  </si>
  <si>
    <t>4205 Indian Hill Rd SE, Uhrichsville, Ohio, 44683</t>
  </si>
  <si>
    <t>4205 Indian Hill Rd SE</t>
  </si>
  <si>
    <t>Clear Fork High School</t>
  </si>
  <si>
    <t>987 State Route 97 E, Bellville, Ohio, 44813</t>
  </si>
  <si>
    <t>987 State Route 97 E</t>
  </si>
  <si>
    <t>Clearcreek Elementary School</t>
  </si>
  <si>
    <t>750 S Main St, Springboro, Ohio, 45066</t>
  </si>
  <si>
    <t>750 S Main St</t>
  </si>
  <si>
    <t>Amanda-Clearcreek Primary School</t>
  </si>
  <si>
    <t>414 N School St, Amanda, Ohio, 43102</t>
  </si>
  <si>
    <t>414 N School St</t>
  </si>
  <si>
    <t>Springboro High School</t>
  </si>
  <si>
    <t>1675 S Main St, Springboro, Ohio, 45066</t>
  </si>
  <si>
    <t>1675 S Main St</t>
  </si>
  <si>
    <t>North Canton Primary School</t>
  </si>
  <si>
    <t>200 Charlotte St NW, North Canton, Ohio, 44720</t>
  </si>
  <si>
    <t>200 Charlotte St NW</t>
  </si>
  <si>
    <t>Clearview High School</t>
  </si>
  <si>
    <t>John Clem Elementary School</t>
  </si>
  <si>
    <t>475 Jefferson Rd, Newark, Ohio, 43055</t>
  </si>
  <si>
    <t>475 Jefferson Rd</t>
  </si>
  <si>
    <t>Clermont Northeastern High School</t>
  </si>
  <si>
    <t>5327 Hutchinson Rd, Batavia, Ohio, 45103</t>
  </si>
  <si>
    <t>5327 Hutchinson Rd</t>
  </si>
  <si>
    <t>Cleveland Elementary School</t>
  </si>
  <si>
    <t>1102 Pursell Ave, Dayton, Ohio, 45420</t>
  </si>
  <si>
    <t>1102 Pursell Ave</t>
  </si>
  <si>
    <t>Brookwood Elementary School</t>
  </si>
  <si>
    <t>1325 Stahlheber Rd, Hamilton, Ohio, 45013</t>
  </si>
  <si>
    <t>1325 Stahlheber Rd</t>
  </si>
  <si>
    <t xml:space="preserve">Clinton Elementary School </t>
  </si>
  <si>
    <t>10 Clinton Heights Ave, Columbus, Ohio, 43202</t>
  </si>
  <si>
    <t>10 Clinton Heights Ave</t>
  </si>
  <si>
    <t>43202</t>
  </si>
  <si>
    <t>Northwest Primary School</t>
  </si>
  <si>
    <t>8436 Erie Ave NW, Canal Fulton, Ohio, 44614</t>
  </si>
  <si>
    <t>8436 Erie Ave NW</t>
  </si>
  <si>
    <t>Clinton-Massie High School</t>
  </si>
  <si>
    <t>Clough Pike Elementary School</t>
  </si>
  <si>
    <t>808 Clough Pike, Cincinnati, Ohio, 45245</t>
  </si>
  <si>
    <t>808 Clough Pike</t>
  </si>
  <si>
    <t>Cloverleaf High School</t>
  </si>
  <si>
    <t>North College Hill Elementary School</t>
  </si>
  <si>
    <t>6955 Grace Ave, North College Hill, Ohio, 45239</t>
  </si>
  <si>
    <t>6955 Grace Ave</t>
  </si>
  <si>
    <t>North College Hill</t>
  </si>
  <si>
    <t>McPherson Middle School</t>
  </si>
  <si>
    <t>4230 Limerick Rd, Clyde, Ohio, 43410</t>
  </si>
  <si>
    <t>4230 Limerick Rd</t>
  </si>
  <si>
    <t>Clyde High School</t>
  </si>
  <si>
    <t>1015 Race St, Clyde, Ohio, 43410</t>
  </si>
  <si>
    <t>1015 Race St</t>
  </si>
  <si>
    <t>Wellston Intermediate School</t>
  </si>
  <si>
    <t>225 Golden Rocket Dr, Wellston, Ohio, 45692</t>
  </si>
  <si>
    <t>225 Golden Rocket Dr</t>
  </si>
  <si>
    <t>Thurgood Marshall High School</t>
  </si>
  <si>
    <t>4447 Hoover Ave, Dayton, Ohio, 45417</t>
  </si>
  <si>
    <t>4447 Hoover Ave</t>
  </si>
  <si>
    <t>Coldwater High School</t>
  </si>
  <si>
    <t>Colerain Elementary School</t>
  </si>
  <si>
    <t>499 E Weisheimer Rd, Columbus, Ohio, 43214</t>
  </si>
  <si>
    <t>499 E Weisheimer Rd</t>
  </si>
  <si>
    <t>43214</t>
  </si>
  <si>
    <t>4850 Poole Rd, Cincinnati, Ohio, 45251</t>
  </si>
  <si>
    <t>4850 Poole Rd</t>
  </si>
  <si>
    <t>45251</t>
  </si>
  <si>
    <t>Colerain High School</t>
  </si>
  <si>
    <t>8801 Cheviot Rd, Cincinnati, Ohio, 45251</t>
  </si>
  <si>
    <t>8801 Cheviot Rd</t>
  </si>
  <si>
    <t>Colerain Middle School</t>
  </si>
  <si>
    <t>4700 Poole Rd, Cincinnati, Ohio, 45251</t>
  </si>
  <si>
    <t>4700 Poole Rd</t>
  </si>
  <si>
    <t>College Corner Union Elementary School</t>
  </si>
  <si>
    <t>College Hill Fundamental Academy</t>
  </si>
  <si>
    <t>1625 Cedar Ave, Cincinnati, Ohio, 45224</t>
  </si>
  <si>
    <t>1625 Cedar Ave</t>
  </si>
  <si>
    <t>45224</t>
  </si>
  <si>
    <t>Collinwood High School</t>
  </si>
  <si>
    <t>15210 Saint Clair Ave, Cleveland, Ohio, 44110</t>
  </si>
  <si>
    <t>15210 Saint Clair Ave</t>
  </si>
  <si>
    <t>44110</t>
  </si>
  <si>
    <t>Carey Elementary School</t>
  </si>
  <si>
    <t>Col Crawford High School</t>
  </si>
  <si>
    <t>5444 Crestline Rd, Crestline, Ohio, 44827</t>
  </si>
  <si>
    <t>5444 Crestline Rd</t>
  </si>
  <si>
    <t>Colonial Hills Elementary School</t>
  </si>
  <si>
    <t>5800 Greenwich St, Worthington, Ohio, 43085</t>
  </si>
  <si>
    <t>5800 Greenwich St</t>
  </si>
  <si>
    <t>Columbia Elementary School</t>
  </si>
  <si>
    <t>150 Columbus Rd, Mount Vernon, Ohio, 43050</t>
  </si>
  <si>
    <t>150 Columbus Rd</t>
  </si>
  <si>
    <t>Columbia High School</t>
  </si>
  <si>
    <t>14168 W River Rd, Columbia Station, Ohio, 44028</t>
  </si>
  <si>
    <t>14168 W River Rd</t>
  </si>
  <si>
    <t>Columbia Middle School</t>
  </si>
  <si>
    <t>13646 W River Rd, Columbia Station, Ohio, 44028</t>
  </si>
  <si>
    <t>13646 W River Rd</t>
  </si>
  <si>
    <t>Columbian High School</t>
  </si>
  <si>
    <t>300 S Monroe St, Tiffin, Ohio, 44883</t>
  </si>
  <si>
    <t>300 S Monroe St</t>
  </si>
  <si>
    <t>Columbiana High School</t>
  </si>
  <si>
    <t>Columbus Intermediate School</t>
  </si>
  <si>
    <t>23600 Columbus Rd, Bedford, Ohio, 44146</t>
  </si>
  <si>
    <t>23600 Columbus Rd</t>
  </si>
  <si>
    <t>Lakeside Junior High School</t>
  </si>
  <si>
    <t>6620 Sanborn Rd, Ashtabula, Ohio, 44004</t>
  </si>
  <si>
    <t>6620 Sanborn Rd</t>
  </si>
  <si>
    <t>Columbus Grove Elementary School</t>
  </si>
  <si>
    <t>Columbus Grove High School</t>
  </si>
  <si>
    <t>Como Elementary School</t>
  </si>
  <si>
    <t>2989 Reis Ave, Columbus, Ohio, 43224</t>
  </si>
  <si>
    <t>2989 Reis Ave</t>
  </si>
  <si>
    <t>Concord Elementary School</t>
  </si>
  <si>
    <t>3145 State Route 718, Troy, Ohio, 45373</t>
  </si>
  <si>
    <t>3145 State Route 718</t>
  </si>
  <si>
    <t>Northwestern Middle School</t>
  </si>
  <si>
    <t>7569 N Elyria Rd, West Salem, Ohio, 44287</t>
  </si>
  <si>
    <t>7569 N Elyria Rd</t>
  </si>
  <si>
    <t>Conneaut Elementary School</t>
  </si>
  <si>
    <t>542 Haskins Rd, Bowling Green, Ohio, 43402</t>
  </si>
  <si>
    <t>542 Haskins Rd</t>
  </si>
  <si>
    <t>Conneaut High School</t>
  </si>
  <si>
    <t>381 Mill St, Conneaut, Ohio, 44030</t>
  </si>
  <si>
    <t>381 Mill St</t>
  </si>
  <si>
    <t>Conotton Valley High School</t>
  </si>
  <si>
    <t>Continental Local Elementary School</t>
  </si>
  <si>
    <t>Continental Local High School</t>
  </si>
  <si>
    <t>Coventry High School</t>
  </si>
  <si>
    <t>1135 Portage Lakes Dr, Akron, Ohio, 44319</t>
  </si>
  <si>
    <t>1135 Portage Lakes Dr</t>
  </si>
  <si>
    <t>Cookson Elementary School</t>
  </si>
  <si>
    <t>921 Mystic Ln, Troy, Ohio, 45373</t>
  </si>
  <si>
    <t>921 Mystic Ln</t>
  </si>
  <si>
    <t>Coolville Elementary School</t>
  </si>
  <si>
    <t>26461 Main St, Coolville, Ohio, 45723</t>
  </si>
  <si>
    <t>26461 Main St</t>
  </si>
  <si>
    <t>Coolville</t>
  </si>
  <si>
    <t>45723</t>
  </si>
  <si>
    <t>Copley High School</t>
  </si>
  <si>
    <t>3807 Ridgewood Rd, Copley, Ohio, 44321</t>
  </si>
  <si>
    <t>3807 Ridgewood Rd</t>
  </si>
  <si>
    <t>Copley-Fairlawn Middle School</t>
  </si>
  <si>
    <t>1531 S Cleveland Massillon Rd, Copley, Ohio, 44321</t>
  </si>
  <si>
    <t>1531 S Cleveland Massillon Rd</t>
  </si>
  <si>
    <t>Copopa Elementary School</t>
  </si>
  <si>
    <t>13644 W River Rd, Columbia Station, Ohio, 44028</t>
  </si>
  <si>
    <t>13644 W River Rd</t>
  </si>
  <si>
    <t>Cork Elementary School</t>
  </si>
  <si>
    <t>341 State Route 534 S, Geneva, Ohio, 44041</t>
  </si>
  <si>
    <t>341 State Route 534 S</t>
  </si>
  <si>
    <t>Cory-Rawson High School</t>
  </si>
  <si>
    <t>Coshocton High School</t>
  </si>
  <si>
    <t>1205 Cambridge Rd, Coshocton, Ohio, 43812</t>
  </si>
  <si>
    <t>1205 Cambridge Rd</t>
  </si>
  <si>
    <t>Crooksville Middle School</t>
  </si>
  <si>
    <t>12400 Tunnel Hill Rd, Crooksville, Ohio, 43731</t>
  </si>
  <si>
    <t>12400 Tunnel Hill Rd</t>
  </si>
  <si>
    <t>Covedale School</t>
  </si>
  <si>
    <t>5130 Sidney Rd, Cincinnati, Ohio, 45238</t>
  </si>
  <si>
    <t>5130 Sidney Rd</t>
  </si>
  <si>
    <t>Covington Elementary School</t>
  </si>
  <si>
    <t>Site Based School</t>
  </si>
  <si>
    <t>Covington High School</t>
  </si>
  <si>
    <t>Cox Elementary School</t>
  </si>
  <si>
    <t>506 Dayton Ave, Xenia, Ohio, 45385</t>
  </si>
  <si>
    <t>506 Dayton Ave</t>
  </si>
  <si>
    <t>Coy Elementary School</t>
  </si>
  <si>
    <t>3604 Pickle Rd, Oregon, Ohio, 43616</t>
  </si>
  <si>
    <t>3604 Pickle Rd</t>
  </si>
  <si>
    <t>Cranbrook Elementary School</t>
  </si>
  <si>
    <t>908 Bricker Blvd, Columbus, Ohio, 43221</t>
  </si>
  <si>
    <t>908 Bricker Blvd</t>
  </si>
  <si>
    <t>Creekview Elementary School</t>
  </si>
  <si>
    <t>4800 Timber Trail Dr, Middletown, Ohio, 45044</t>
  </si>
  <si>
    <t>4800 Timber Trail Dr</t>
  </si>
  <si>
    <t>Crestline High School</t>
  </si>
  <si>
    <t>435 Oldfield Rd, Crestline, Ohio, 44827</t>
  </si>
  <si>
    <t>435 Oldfield Rd</t>
  </si>
  <si>
    <t>Norwayne Middle School</t>
  </si>
  <si>
    <t>Crestview Elementary School</t>
  </si>
  <si>
    <t>300 W 130th St, Brunswick, Ohio, 44212</t>
  </si>
  <si>
    <t>300 W 130th St</t>
  </si>
  <si>
    <t>Crestview High School</t>
  </si>
  <si>
    <t>44100 Crestview Rd Ste B, Columbiana, Ohio, 44408</t>
  </si>
  <si>
    <t>44100 Crestview Rd Ste B</t>
  </si>
  <si>
    <t>Westwood Elementary School</t>
  </si>
  <si>
    <t>42331 Griswold Rd, Elyria, Ohio, 44035</t>
  </si>
  <si>
    <t>42331 Griswold Rd</t>
  </si>
  <si>
    <t>Crestwood High School</t>
  </si>
  <si>
    <t>10919 Main St, Mantua, Ohio, 44255</t>
  </si>
  <si>
    <t>10919 Main St</t>
  </si>
  <si>
    <t>Cridersville Elementary School</t>
  </si>
  <si>
    <t>501 Reichelderfer Road, Cridersville, Ohio, 45806</t>
  </si>
  <si>
    <t>501 Reichelderfer Road</t>
  </si>
  <si>
    <t>Cridersville</t>
  </si>
  <si>
    <t>Crim Elementary School</t>
  </si>
  <si>
    <t>1020 Scott Hamilton Ave, Bowling Green, Ohio, 43402</t>
  </si>
  <si>
    <t>1020 Scott Hamilton Ave</t>
  </si>
  <si>
    <t>Crissey Elementary School</t>
  </si>
  <si>
    <t>9220 Geiser Rd, Holland, Ohio, 43528</t>
  </si>
  <si>
    <t>9220 Geiser Rd</t>
  </si>
  <si>
    <t>Croghan Elementary School</t>
  </si>
  <si>
    <t>414 N Pennsylvania Ave, Fremont, Ohio, 43420</t>
  </si>
  <si>
    <t>414 N Pennsylvania Ave</t>
  </si>
  <si>
    <t>Crooksville High School</t>
  </si>
  <si>
    <t>4075 Ceramic Way, Crooksville, Ohio, 43731</t>
  </si>
  <si>
    <t>4075 Ceramic Way</t>
  </si>
  <si>
    <t>Crosby Elementary School</t>
  </si>
  <si>
    <t>8382 New Haven Rd, Harrison, Ohio, 45030</t>
  </si>
  <si>
    <t>8382 New Haven Rd</t>
  </si>
  <si>
    <t>Byrnedale Elementary School</t>
  </si>
  <si>
    <t>3635 Glendale Ave, Toledo, Ohio, 43614</t>
  </si>
  <si>
    <t>3635 Glendale Ave</t>
  </si>
  <si>
    <t>Crouse Community Learning Center</t>
  </si>
  <si>
    <t>1000 Diagonal Rd, Akron, Ohio, 44320</t>
  </si>
  <si>
    <t>1000 Diagonal Rd</t>
  </si>
  <si>
    <t>Currie Elementary School</t>
  </si>
  <si>
    <t>3306 Ridge Rd, Cortland, Ohio, 44410</t>
  </si>
  <si>
    <t>3306 Ridge Rd</t>
  </si>
  <si>
    <t>Brookfield Elementary School</t>
  </si>
  <si>
    <t>Cuyahoga Falls High School</t>
  </si>
  <si>
    <t>2300 4th St, Cuyahoga Falls, Ohio, 44221</t>
  </si>
  <si>
    <t>2300 4th St</t>
  </si>
  <si>
    <t>Cuyahoga Hts Elementary School</t>
  </si>
  <si>
    <t>4880 E 71st St, Cuyahoga Heights, Ohio, 44125</t>
  </si>
  <si>
    <t>4880 E 71st St</t>
  </si>
  <si>
    <t>Cuyahoga Hts High School</t>
  </si>
  <si>
    <t>Elmwood Middle School</t>
  </si>
  <si>
    <t>Dalton Elementary School</t>
  </si>
  <si>
    <t>250 N Church St, Dalton, Ohio, 44618</t>
  </si>
  <si>
    <t>250 N Church St</t>
  </si>
  <si>
    <t>Dalton High School</t>
  </si>
  <si>
    <t>Dan Emmett Elementary School</t>
  </si>
  <si>
    <t>108 Mansfield Ave, Mount Vernon, Ohio, 43050</t>
  </si>
  <si>
    <t>108 Mansfield Ave</t>
  </si>
  <si>
    <t>Starling PK-8</t>
  </si>
  <si>
    <t>145 S Central Ave, Columbus, Ohio, 43222</t>
  </si>
  <si>
    <t>145 S Central Ave</t>
  </si>
  <si>
    <t>Danbury Elementary School</t>
  </si>
  <si>
    <t>Danbury High School</t>
  </si>
  <si>
    <t>Daniel E Morgan School</t>
  </si>
  <si>
    <t>8912 Morris Ct, Cleveland, Ohio, 44106</t>
  </si>
  <si>
    <t>8912 Morris Ct</t>
  </si>
  <si>
    <t>Danville Elementary School</t>
  </si>
  <si>
    <t>205 Rambo St, Danville, Ohio, 43014</t>
  </si>
  <si>
    <t>205 Rambo St</t>
  </si>
  <si>
    <t>Danville High School</t>
  </si>
  <si>
    <t>10 Rambo St, Danville, Ohio, 43014</t>
  </si>
  <si>
    <t>10 Rambo St</t>
  </si>
  <si>
    <t>Darbydale Elementary School</t>
  </si>
  <si>
    <t>7000 London Groveport Rd, Grove City, Ohio, 43123</t>
  </si>
  <si>
    <t>7000 London Groveport Rd</t>
  </si>
  <si>
    <t>Gilbert A. Dater High School</t>
  </si>
  <si>
    <t>2146 Ferguson Rd, Cincinnati, Ohio, 45238</t>
  </si>
  <si>
    <t>2146 Ferguson Rd</t>
  </si>
  <si>
    <t>David Anderson Jr/Sr High School</t>
  </si>
  <si>
    <t>260 W Pine St, Lisbon, Ohio, 44432</t>
  </si>
  <si>
    <t>260 W Pine St</t>
  </si>
  <si>
    <t>David Smith Elementary School</t>
  </si>
  <si>
    <t>355 N Liberty St, Delaware, Ohio, 43015</t>
  </si>
  <si>
    <t>355 N Liberty St</t>
  </si>
  <si>
    <t>Daw Elementary School</t>
  </si>
  <si>
    <t>Primary Elementary School</t>
  </si>
  <si>
    <t>478 Portland Way N, Galion, Ohio, 44833</t>
  </si>
  <si>
    <t>478 Portland Way N</t>
  </si>
  <si>
    <t>Dawson-Bryant High School</t>
  </si>
  <si>
    <t>1 Hornet Ln, Coal Grove, Ohio, 45638</t>
  </si>
  <si>
    <t>1 Hornet Ln</t>
  </si>
  <si>
    <t>Dawson-Bryant Middle School</t>
  </si>
  <si>
    <t>Deer Park  Jr/Sr High School</t>
  </si>
  <si>
    <t>8351 Plainfield Rd, Cincinnati, Ohio, 45236</t>
  </si>
  <si>
    <t>8351 Plainfield Rd</t>
  </si>
  <si>
    <t>Dawson-Bryant Elementary School</t>
  </si>
  <si>
    <t>4503 State Route 243, Ironton, Ohio, 45638</t>
  </si>
  <si>
    <t>4503 State Route 243</t>
  </si>
  <si>
    <t>Defiance Middle School</t>
  </si>
  <si>
    <t>1755 Palmer Dr, Defiance, Ohio, 43512</t>
  </si>
  <si>
    <t>1755 Palmer Dr</t>
  </si>
  <si>
    <t>Defiance High School</t>
  </si>
  <si>
    <t>Delhi Middle School</t>
  </si>
  <si>
    <t>5280 Foley Rd, Cincinnati, Ohio, 45238</t>
  </si>
  <si>
    <t>5280 Foley Rd</t>
  </si>
  <si>
    <t>Carrollton Elementary School</t>
  </si>
  <si>
    <t>252 3rd St NE, Carrollton, Ohio, 44615</t>
  </si>
  <si>
    <t>252 3rd St NE</t>
  </si>
  <si>
    <t>Delta Elementary School</t>
  </si>
  <si>
    <t>1099 Panther Pride Drive, Delta, Ohio, 43515</t>
  </si>
  <si>
    <t>1099 Panther Pride Drive</t>
  </si>
  <si>
    <t>Pike-Delta-York High School</t>
  </si>
  <si>
    <t>605 Taylor St, Delta, Ohio, 43515</t>
  </si>
  <si>
    <t>605 Taylor St</t>
  </si>
  <si>
    <t>Pike-Delta-York Middle School</t>
  </si>
  <si>
    <t>1101 Panther Pride Dr, Delta, Ohio, 43515</t>
  </si>
  <si>
    <t>1101 Panther Pride Dr</t>
  </si>
  <si>
    <t>Demmitt Elementary School</t>
  </si>
  <si>
    <t>1010 E National Rd, Vandalia, Ohio, 45377</t>
  </si>
  <si>
    <t>1010 E National Rd</t>
  </si>
  <si>
    <t>Denison</t>
  </si>
  <si>
    <t>3799 W 33rd St, Cleveland, Ohio, 44109</t>
  </si>
  <si>
    <t>3799 W 33rd St</t>
  </si>
  <si>
    <t>Dentzler Elementary School</t>
  </si>
  <si>
    <t>3600 Dentzler Rd, Parma, Ohio, 44134</t>
  </si>
  <si>
    <t>3600 Dentzler Rd</t>
  </si>
  <si>
    <t>Denver Place Elementary School</t>
  </si>
  <si>
    <t>291 Lorish Ave, Wilmington, Ohio, 45177</t>
  </si>
  <si>
    <t>291 Lorish Ave</t>
  </si>
  <si>
    <t>Patrick Henry High School</t>
  </si>
  <si>
    <t>DeVeaux Elementary School</t>
  </si>
  <si>
    <t>2620 W Sylvania Ave, Toledo, Ohio, 43613</t>
  </si>
  <si>
    <t>2620 W Sylvania Ave</t>
  </si>
  <si>
    <t>43613</t>
  </si>
  <si>
    <t>Devonshire Alternative Elementary School</t>
  </si>
  <si>
    <t>6286 Ambleside Dr, Columbus, Ohio, 43229</t>
  </si>
  <si>
    <t>6286 Ambleside Dr</t>
  </si>
  <si>
    <t>Dike School of Arts</t>
  </si>
  <si>
    <t>2501 E 61st St, Cleveland, Ohio, 44104</t>
  </si>
  <si>
    <t>2501 E 61st St</t>
  </si>
  <si>
    <t>West Muskingum Elementary School</t>
  </si>
  <si>
    <t>200 Kimes Rd, Zanesville, Ohio, 43701</t>
  </si>
  <si>
    <t>200 Kimes Rd</t>
  </si>
  <si>
    <t>Dixie High School</t>
  </si>
  <si>
    <t>300 S Fuls Rd, New Lebanon, Ohio, 45345</t>
  </si>
  <si>
    <t>300 S Fuls Rd</t>
  </si>
  <si>
    <t>Joshua Dixon Elementary School</t>
  </si>
  <si>
    <t>333 N Middle St, Columbiana, Ohio, 44408</t>
  </si>
  <si>
    <t>333 N Middle St</t>
  </si>
  <si>
    <t>Eaton Middle School</t>
  </si>
  <si>
    <t>814 Camden Rd, Eaton, Ohio, 45320</t>
  </si>
  <si>
    <t>814 Camden Rd</t>
  </si>
  <si>
    <t>Dominion Middle School</t>
  </si>
  <si>
    <t>100 E Arcadia Ave, Columbus, Ohio, 43202</t>
  </si>
  <si>
    <t>100 E Arcadia Ave</t>
  </si>
  <si>
    <t>Donnell Middle School</t>
  </si>
  <si>
    <t>301 Baldwin Ave, Findlay, Ohio, 45840</t>
  </si>
  <si>
    <t>301 Baldwin Ave</t>
  </si>
  <si>
    <t>Donnelsville Elementary School</t>
  </si>
  <si>
    <t>150 E. Main St, Donnelsville, Ohio, 45319</t>
  </si>
  <si>
    <t>150 E. Main St</t>
  </si>
  <si>
    <t>Donnelsville</t>
  </si>
  <si>
    <t>45319</t>
  </si>
  <si>
    <t>Dorothy E Lewis Elementary School</t>
  </si>
  <si>
    <t>32345 Cannon Rd, Solon, Ohio, 44139</t>
  </si>
  <si>
    <t>32345 Cannon Rd</t>
  </si>
  <si>
    <t>Dorr Street Elementary School</t>
  </si>
  <si>
    <t>1205 King Rd, Toledo, Ohio, 43617</t>
  </si>
  <si>
    <t>1205 King Rd</t>
  </si>
  <si>
    <t>43617</t>
  </si>
  <si>
    <t>Johnstown Elementary School</t>
  </si>
  <si>
    <t>200 Leafy Dell Road, Johnstown, Ohio, 43031</t>
  </si>
  <si>
    <t>200 Leafy Dell Road</t>
  </si>
  <si>
    <t>Memorial School</t>
  </si>
  <si>
    <t>410 E 152nd St, Cleveland, Ohio, 44110</t>
  </si>
  <si>
    <t>410 E 152nd St</t>
  </si>
  <si>
    <t>Frederick Douglass School</t>
  </si>
  <si>
    <t>2627 Park Ave, Cincinnati, Ohio, 45206</t>
  </si>
  <si>
    <t>2627 Park Ave</t>
  </si>
  <si>
    <t>45206</t>
  </si>
  <si>
    <t>Dover Avenue Elementary School</t>
  </si>
  <si>
    <t>125 W 13th St, Dover, Ohio, 44622</t>
  </si>
  <si>
    <t>125 W 13th St</t>
  </si>
  <si>
    <t>Dover High School</t>
  </si>
  <si>
    <t>520 N Walnut St, Dover, Ohio, 44622</t>
  </si>
  <si>
    <t>520 N Walnut St</t>
  </si>
  <si>
    <t>Shelby Elementary School</t>
  </si>
  <si>
    <t>Chippewa Intermediate School</t>
  </si>
  <si>
    <t>100 Valley View Rd, Doylestown, Ohio, 44230</t>
  </si>
  <si>
    <t>100 Valley View Rd</t>
  </si>
  <si>
    <t>Indian Hill Elementary School</t>
  </si>
  <si>
    <t>6100 Drake Rd, Cincinnati, Ohio, 45243</t>
  </si>
  <si>
    <t>6100 Drake Rd</t>
  </si>
  <si>
    <t>Driscoll Elementary School</t>
  </si>
  <si>
    <t>5767 Marshall Rd, Dayton, Ohio, 45429</t>
  </si>
  <si>
    <t>5767 Marshall Rd</t>
  </si>
  <si>
    <t>Dunbar Early College High School</t>
  </si>
  <si>
    <t>1400 Albritton Dr, Dayton, Ohio, 45408</t>
  </si>
  <si>
    <t>1400 Albritton Dr</t>
  </si>
  <si>
    <t>Duncan Falls Elementary School</t>
  </si>
  <si>
    <t>397 Oak St, Duncan Falls, Ohio, 43734</t>
  </si>
  <si>
    <t>397 Oak St</t>
  </si>
  <si>
    <t>Philo Junior High School</t>
  </si>
  <si>
    <t>225 Market St, Philo, Ohio, 43771</t>
  </si>
  <si>
    <t>225 Market St</t>
  </si>
  <si>
    <t>Philo</t>
  </si>
  <si>
    <t>43771</t>
  </si>
  <si>
    <t>Dundee Elementary School</t>
  </si>
  <si>
    <t>8072 School St, Dundee, Ohio, 44624</t>
  </si>
  <si>
    <t>8072 School St</t>
  </si>
  <si>
    <t>Dundee</t>
  </si>
  <si>
    <t>44624</t>
  </si>
  <si>
    <t>Dunloe Elementary School</t>
  </si>
  <si>
    <t>3200 Dunloe Rd, Columbus, Ohio, 43232</t>
  </si>
  <si>
    <t>3200 Dunloe Rd</t>
  </si>
  <si>
    <t>Durling Middle School</t>
  </si>
  <si>
    <t>100 N Ridge Rd W, Lorain, Ohio, 44053</t>
  </si>
  <si>
    <t>100 N Ridge Rd W</t>
  </si>
  <si>
    <t>44053</t>
  </si>
  <si>
    <t>Duxberry Park Alternative Elementary School</t>
  </si>
  <si>
    <t>1779 E Maynard Ave, Columbus, Ohio, 43219</t>
  </si>
  <si>
    <t>1779 E Maynard Ave</t>
  </si>
  <si>
    <t>43219</t>
  </si>
  <si>
    <t>E A Powell Elementary School</t>
  </si>
  <si>
    <t>500 N Main St, North Baltimore, Ohio, 45872</t>
  </si>
  <si>
    <t>500 N Main St</t>
  </si>
  <si>
    <t>East Elementary School</t>
  </si>
  <si>
    <t>401 N 3rd St, Upper Sandusky, Ohio, 43351</t>
  </si>
  <si>
    <t>401 N 3rd St</t>
  </si>
  <si>
    <t>East Canton Elementary School</t>
  </si>
  <si>
    <t>East Canton High School</t>
  </si>
  <si>
    <t>Midview West Elementary School</t>
  </si>
  <si>
    <t>13080 Durkee Rd, Grafton, Ohio, 44044</t>
  </si>
  <si>
    <t>13080 Durkee Rd</t>
  </si>
  <si>
    <t>East Clark</t>
  </si>
  <si>
    <t>885 E 146th St, Cleveland, Ohio, 44110</t>
  </si>
  <si>
    <t>885 E 146th St</t>
  </si>
  <si>
    <t>East Clinton High School</t>
  </si>
  <si>
    <t>174 Larrick Rd, Sabina, Ohio, 45169</t>
  </si>
  <si>
    <t>174 Larrick Rd</t>
  </si>
  <si>
    <t>East Columbus Elementary School</t>
  </si>
  <si>
    <t>3100 E. 7th Ave, Columbus, Ohio, 43219</t>
  </si>
  <si>
    <t>3100 E. 7th Ave</t>
  </si>
  <si>
    <t>East End Elementary School</t>
  </si>
  <si>
    <t>769 Rombach Ave, Wilmington, Ohio, 45177</t>
  </si>
  <si>
    <t>769 Rombach Ave</t>
  </si>
  <si>
    <t>East Knox Junior/Senior High School</t>
  </si>
  <si>
    <t>23227 Coshocton Rd, Howard, Ohio, 43028</t>
  </si>
  <si>
    <t>23227 Coshocton Rd</t>
  </si>
  <si>
    <t>East Linden Elementary School</t>
  </si>
  <si>
    <t>2505 Brentnell Ave, Columbus, Ohio, 43211</t>
  </si>
  <si>
    <t>2505 Brentnell Ave</t>
  </si>
  <si>
    <t>43211</t>
  </si>
  <si>
    <t>East Liverpool High School</t>
  </si>
  <si>
    <t>100 Maine Blvd, East Liverpool, Ohio, 43920</t>
  </si>
  <si>
    <t>100 Maine Blvd</t>
  </si>
  <si>
    <t>Madison Early Childhood Learning Center</t>
  </si>
  <si>
    <t>1035 Grace St, Mansfield, Ohio, 44905</t>
  </si>
  <si>
    <t>1035 Grace St</t>
  </si>
  <si>
    <t>East Palestine High School</t>
  </si>
  <si>
    <t>360 W Grant St, East Palestine, Ohio, 44413</t>
  </si>
  <si>
    <t>360 W Grant St</t>
  </si>
  <si>
    <t>Prospect Elementary School</t>
  </si>
  <si>
    <t>700 E Prospect St, Girard, Ohio, 44420</t>
  </si>
  <si>
    <t>700 E Prospect St</t>
  </si>
  <si>
    <t>Mississinawa Valley Elementary School</t>
  </si>
  <si>
    <t>10480 Staudt Rd, Union City, Ohio, 45390</t>
  </si>
  <si>
    <t>10480 Staudt Rd</t>
  </si>
  <si>
    <t>Rossford Elementary School</t>
  </si>
  <si>
    <t>28500 Lime City Rd, Rossford, Ohio, 43551</t>
  </si>
  <si>
    <t>28500 Lime City Rd</t>
  </si>
  <si>
    <t>Eakin Elementary School</t>
  </si>
  <si>
    <t>3774 Eakin Rd, Columbus, Ohio, 43228</t>
  </si>
  <si>
    <t>3774 Eakin Rd</t>
  </si>
  <si>
    <t>470 Fair Ave NE, New Philadelphia, Ohio, 44663</t>
  </si>
  <si>
    <t>470 Fair Ave NE</t>
  </si>
  <si>
    <t>714 E Vine St, Mount Vernon, Ohio, 43050</t>
  </si>
  <si>
    <t>714 E Vine St</t>
  </si>
  <si>
    <t>325 Betscher Ave, Dover, Ohio, 44622</t>
  </si>
  <si>
    <t>325 Betscher Ave</t>
  </si>
  <si>
    <t>Hollingsworth East Elementary School</t>
  </si>
  <si>
    <t>506 Aukerman St, Eaton, Ohio, 45320</t>
  </si>
  <si>
    <t>506 Aukerman St</t>
  </si>
  <si>
    <t>St. Marys East Primary School</t>
  </si>
  <si>
    <t>650 Armstrong St, Saint Marys, Ohio, 45885</t>
  </si>
  <si>
    <t>650 Armstrong St</t>
  </si>
  <si>
    <t>Fort Recovery Middle School</t>
  </si>
  <si>
    <t>865 Sharpsburg Rd, Fort Recovery, Ohio, 45846</t>
  </si>
  <si>
    <t>865 Sharpsburg Rd</t>
  </si>
  <si>
    <t>Mt. Pleasant Elementary School</t>
  </si>
  <si>
    <t>712 N Broad St, Lancaster, Ohio, 43130</t>
  </si>
  <si>
    <t>712 N Broad St</t>
  </si>
  <si>
    <t>Greenville Elementary School</t>
  </si>
  <si>
    <t>1111 N Ohio St, Greenville, Ohio, 45331</t>
  </si>
  <si>
    <t>1111 N Ohio St</t>
  </si>
  <si>
    <t>Chesapeake Middle School</t>
  </si>
  <si>
    <t>10335 County Road 1, Chesapeake, Ohio, 45619</t>
  </si>
  <si>
    <t>10335 County Road 1</t>
  </si>
  <si>
    <t>Celina Primary School</t>
  </si>
  <si>
    <t>615 E Wayne St, Celina, Ohio, 45822</t>
  </si>
  <si>
    <t>615 E Wayne St</t>
  </si>
  <si>
    <t>Waverly Primary School</t>
  </si>
  <si>
    <t>7 Tiger Drive, Waverly, Ohio, 45690</t>
  </si>
  <si>
    <t>7 Tiger Drive</t>
  </si>
  <si>
    <t>Urbana Elementary School</t>
  </si>
  <si>
    <t>1673 S Us Highway 68, Urbana, Ohio, 43078</t>
  </si>
  <si>
    <t>1673 S Us Highway 68</t>
  </si>
  <si>
    <t>3 Wallace Dr, Athens, Ohio, 45701</t>
  </si>
  <si>
    <t>3 Wallace Dr</t>
  </si>
  <si>
    <t>45701</t>
  </si>
  <si>
    <t>137 S College St, Newcomerstown, Ohio, 43832</t>
  </si>
  <si>
    <t>137 S College St</t>
  </si>
  <si>
    <t>East Community Learning Center</t>
  </si>
  <si>
    <t>80 Brittain Rd, Akron, Ohio, 44305</t>
  </si>
  <si>
    <t>80 Brittain Rd</t>
  </si>
  <si>
    <t xml:space="preserve">East High School </t>
  </si>
  <si>
    <t>1500 E Broad St, Columbus, Ohio, 43205</t>
  </si>
  <si>
    <t>1500 E Broad St</t>
  </si>
  <si>
    <t>43205</t>
  </si>
  <si>
    <t>Milkovich Middle School</t>
  </si>
  <si>
    <t>19800 Stafford Ave, Maple Heights, Ohio, 44137</t>
  </si>
  <si>
    <t>19800 Stafford Ave</t>
  </si>
  <si>
    <t>East Technical High School</t>
  </si>
  <si>
    <t>2439 E 55th St, Cleveland, Ohio, 44104</t>
  </si>
  <si>
    <t>2439 E 55th St</t>
  </si>
  <si>
    <t>Eastern High School</t>
  </si>
  <si>
    <t>38900 State Route 7, Reedsville, Ohio, 45772</t>
  </si>
  <si>
    <t>38900 State Route 7</t>
  </si>
  <si>
    <t>Easthaven Elementary School</t>
  </si>
  <si>
    <t>2360 Garnet Pl, Columbus, Ohio, 43232</t>
  </si>
  <si>
    <t>2360 Garnet Pl</t>
  </si>
  <si>
    <t>Eastlake Middle School</t>
  </si>
  <si>
    <t>35972 Lake Shore Blvd, Eastlake, Ohio, 44095</t>
  </si>
  <si>
    <t>35972 Lake Shore Blvd</t>
  </si>
  <si>
    <t>Eastmont Elementary School</t>
  </si>
  <si>
    <t>1480 Edendale Rd, Dayton, Ohio, 45432</t>
  </si>
  <si>
    <t>1480 Edendale Rd</t>
  </si>
  <si>
    <t>45432</t>
  </si>
  <si>
    <t>Claymont Elementary School</t>
  </si>
  <si>
    <t>320 Trenton Ave, Uhrichsville, Ohio, 44683</t>
  </si>
  <si>
    <t>320 Trenton Ave</t>
  </si>
  <si>
    <t>Eastview Elementary School</t>
  </si>
  <si>
    <t>1262 Eastview Dr, Mansfield, Ohio, 44905</t>
  </si>
  <si>
    <t>1262 Eastview Dr</t>
  </si>
  <si>
    <t>230 Lear Rd, Avon Lake, Ohio, 44012</t>
  </si>
  <si>
    <t>230 Lear Rd</t>
  </si>
  <si>
    <t>Revere Middle School</t>
  </si>
  <si>
    <t>3195 Spring Valley Rd, Akron, Ohio, 44333</t>
  </si>
  <si>
    <t>3195 Spring Valley Rd</t>
  </si>
  <si>
    <t>Oberlin Elementary School</t>
  </si>
  <si>
    <t>210 N Park St, Oberlin, Ohio, 44074</t>
  </si>
  <si>
    <t>210 N Park St</t>
  </si>
  <si>
    <t>Eastwood I High School</t>
  </si>
  <si>
    <t>4900 Sugar Ridge Rd, Pemberville, Ohio, 43450</t>
  </si>
  <si>
    <t>4900 Sugar Ridge Rd</t>
  </si>
  <si>
    <t>Lee Eaton Intermediate School</t>
  </si>
  <si>
    <t>115 Ledge Rd, Northfield, Ohio, 44067</t>
  </si>
  <si>
    <t>115 Ledge Rd</t>
  </si>
  <si>
    <t>Eaton High School</t>
  </si>
  <si>
    <t>600 Hillcrest Dr, Eaton, Ohio, 45320</t>
  </si>
  <si>
    <t>600 Hillcrest Dr</t>
  </si>
  <si>
    <t>Echo Hills Elementary School</t>
  </si>
  <si>
    <t>4405 Stow Rd, Stow, Ohio, 44224</t>
  </si>
  <si>
    <t>4405 Stow Rd</t>
  </si>
  <si>
    <t>Edgerton Elementary School</t>
  </si>
  <si>
    <t>Edgerton High School</t>
  </si>
  <si>
    <t>Edgewater Elementary School</t>
  </si>
  <si>
    <t>5549 Edgewater Dr, Toledo, Ohio, 43611</t>
  </si>
  <si>
    <t>5549 Edgewater Dr</t>
  </si>
  <si>
    <t>Edgewood Middle School</t>
  </si>
  <si>
    <t>2695 Graustark Path, Wooster, Ohio, 44691</t>
  </si>
  <si>
    <t>2695 Graustark Path</t>
  </si>
  <si>
    <t>Edgewood Elementary School</t>
  </si>
  <si>
    <t>203 Grove St, Marysville, Ohio, 43040</t>
  </si>
  <si>
    <t>203 Grove St</t>
  </si>
  <si>
    <t>Edgewood High School</t>
  </si>
  <si>
    <t>2428 Blake Rd, Ashtabula, Ohio, 44004</t>
  </si>
  <si>
    <t>2428 Blake Rd</t>
  </si>
  <si>
    <t>Wallace H Braden Middle School</t>
  </si>
  <si>
    <t>Edison Elementary School</t>
  </si>
  <si>
    <t>5288 Karen Isle Dr, Willoughby, Ohio, 44094</t>
  </si>
  <si>
    <t>5288 Karen Isle Dr</t>
  </si>
  <si>
    <t>Willoughby</t>
  </si>
  <si>
    <t>1202 Masters Ave, Ashland, Ohio, 44805</t>
  </si>
  <si>
    <t>1202 Masters Ave</t>
  </si>
  <si>
    <t>228 N Broadway St, Dayton, Ohio, 45402</t>
  </si>
  <si>
    <t>228 N Broadway St</t>
  </si>
  <si>
    <t>Edison High School</t>
  </si>
  <si>
    <t>2603 State Route 113 E, Milan, Ohio, 44846</t>
  </si>
  <si>
    <t>2603 State Route 113 E</t>
  </si>
  <si>
    <t>Edison Middle School</t>
  </si>
  <si>
    <t>Niles Middle School</t>
  </si>
  <si>
    <t>411 Brown St, Niles, Ohio, 44446</t>
  </si>
  <si>
    <t>411 Brown St</t>
  </si>
  <si>
    <t>Elida Middle School</t>
  </si>
  <si>
    <t>4500 Sunnydale St, Elida, Ohio, 45807</t>
  </si>
  <si>
    <t>4500 Sunnydale St</t>
  </si>
  <si>
    <t>Edon High School</t>
  </si>
  <si>
    <t>Edon Elementary School</t>
  </si>
  <si>
    <t>Elda Elementary School</t>
  </si>
  <si>
    <t>3980 Hamilton Cleves Rd, Hamilton, Ohio, 45013</t>
  </si>
  <si>
    <t>3980 Hamilton Cleves Rd</t>
  </si>
  <si>
    <t>Elgin High School</t>
  </si>
  <si>
    <t>1150 Keener Rd S, Marion, Ohio, 43302</t>
  </si>
  <si>
    <t>1150 Keener Rd S</t>
  </si>
  <si>
    <t>Elida High School</t>
  </si>
  <si>
    <t>401 E North St, Elida, Ohio, 45807</t>
  </si>
  <si>
    <t>401 E North St</t>
  </si>
  <si>
    <t>Miami East Elementary</t>
  </si>
  <si>
    <t>4025 North State Route 589, Casstown, Ohio, 45312</t>
  </si>
  <si>
    <t>4025 North State Route 589</t>
  </si>
  <si>
    <t>Elizabeth Price Elementary School</t>
  </si>
  <si>
    <t>2610 Delmore St, Cuyahoga Falls, Ohio, 44221</t>
  </si>
  <si>
    <t>2610 Delmore St</t>
  </si>
  <si>
    <t>Ella Canavan Elementary School</t>
  </si>
  <si>
    <t>825 Lawrence St, Medina, Ohio, 44256</t>
  </si>
  <si>
    <t>825 Lawrence St</t>
  </si>
  <si>
    <t>Ellet Community Learning Center</t>
  </si>
  <si>
    <t>309 Woolf Ave, Akron, Ohio, 44312</t>
  </si>
  <si>
    <t>309 Woolf Ave</t>
  </si>
  <si>
    <t>Western Reserve Elementary School</t>
  </si>
  <si>
    <t>Elm Avenue Elementary School</t>
  </si>
  <si>
    <t>134 Elm Ave, Wyoming, Ohio, 45215</t>
  </si>
  <si>
    <t>134 Elm Ave</t>
  </si>
  <si>
    <t>Martins Ferry Middle School</t>
  </si>
  <si>
    <t>5000 Ayers Limestone Rd, Martins Ferry, Ohio, 43935</t>
  </si>
  <si>
    <t>5000 Ayers Limestone Rd</t>
  </si>
  <si>
    <t>Wauseon Elementary School</t>
  </si>
  <si>
    <t>950 E Oak St, Wauseon, Ohio, 43567</t>
  </si>
  <si>
    <t>950 E Oak St</t>
  </si>
  <si>
    <t>Toth Elementary School</t>
  </si>
  <si>
    <t>200 E 7th St, Perrysburg, Ohio, 43551</t>
  </si>
  <si>
    <t>200 E 7th St</t>
  </si>
  <si>
    <t>Elmhurst Elementary School</t>
  </si>
  <si>
    <t>4530 Elmhurst Rd, Toledo, Ohio, 43613</t>
  </si>
  <si>
    <t>4530 Elmhurst Rd</t>
  </si>
  <si>
    <t>Elmwood Elementary School</t>
  </si>
  <si>
    <t>5275 Turney Rd, Garfield Heights, Ohio, 44125</t>
  </si>
  <si>
    <t>5275 Turney Rd</t>
  </si>
  <si>
    <t>SPRINGFIELD SCHOOL OF INNOVATION</t>
  </si>
  <si>
    <t>601 Selma Rd, Springfield, Ohio, 45505</t>
  </si>
  <si>
    <t>601 Selma Rd</t>
  </si>
  <si>
    <t>Elmwood High School</t>
  </si>
  <si>
    <t>Elmwood Place Elementary School</t>
  </si>
  <si>
    <t>400 Maple St, Cincinnati, Ohio, 45216</t>
  </si>
  <si>
    <t>400 Maple St</t>
  </si>
  <si>
    <t>45216</t>
  </si>
  <si>
    <t>Ely Elementary School</t>
  </si>
  <si>
    <t>312 Gulf Rd, Elyria, Ohio, 44035</t>
  </si>
  <si>
    <t>312 Gulf Rd</t>
  </si>
  <si>
    <t>Elyria High School</t>
  </si>
  <si>
    <t>601 Middle Ave, Elyria, Ohio, 44035</t>
  </si>
  <si>
    <t>601 Middle Ave</t>
  </si>
  <si>
    <t>Emerson Elementary School</t>
  </si>
  <si>
    <t>44 N Vine St, Westerville, Ohio, 43081</t>
  </si>
  <si>
    <t>44 N Vine St</t>
  </si>
  <si>
    <t>Emerson Primary School</t>
  </si>
  <si>
    <t>901 Campbell Rd, Sidney, Ohio, 45365</t>
  </si>
  <si>
    <t>901 Campbell Rd</t>
  </si>
  <si>
    <t>Englewood Hills Elementary School</t>
  </si>
  <si>
    <t>508 Durst Dr, Englewood, Ohio, 45322</t>
  </si>
  <si>
    <t>508 Durst Dr</t>
  </si>
  <si>
    <t>Greenon Elementary School</t>
  </si>
  <si>
    <t>510 S Xenia Dr, Enon, Ohio, 45323</t>
  </si>
  <si>
    <t>510 S Xenia Dr</t>
  </si>
  <si>
    <t>Erieview Elementary School</t>
  </si>
  <si>
    <t>32630 Electric Blvd, Avon Lake, Ohio, 44012</t>
  </si>
  <si>
    <t>32630 Electric Blvd</t>
  </si>
  <si>
    <t>North Royalton High School</t>
  </si>
  <si>
    <t>14713 Ridge Rd, North Royalton, Ohio, 44133</t>
  </si>
  <si>
    <t>14713 Ridge Rd</t>
  </si>
  <si>
    <t>Ervin Carlisle Elementary School</t>
  </si>
  <si>
    <t>746 St Rt 37 W, Delaware, Ohio, 43015</t>
  </si>
  <si>
    <t>746 St Rt 37 W</t>
  </si>
  <si>
    <t>Coventry Middle School</t>
  </si>
  <si>
    <t>3257 Cormany Rd, Akron, Ohio, 44319</t>
  </si>
  <si>
    <t>Eastern Heights Middle School</t>
  </si>
  <si>
    <t>528 Garford Ave, Elyria, Ohio, 44035</t>
  </si>
  <si>
    <t>528 Garford Ave</t>
  </si>
  <si>
    <t>11557 US Highway 62, Winchester, Ohio, 45697</t>
  </si>
  <si>
    <t>11557 US Highway 62</t>
  </si>
  <si>
    <t>Watkins Intermediate School</t>
  </si>
  <si>
    <t>2020  Warrior Way, Pataskala, Ohio, 43062</t>
  </si>
  <si>
    <t>2020  Warrior Way</t>
  </si>
  <si>
    <t>Etna Road Elementary School</t>
  </si>
  <si>
    <t>4531 Etna Rd, Whitehall, Ohio, 43213</t>
  </si>
  <si>
    <t>4531 Etna Rd</t>
  </si>
  <si>
    <t>Euclid Middle School</t>
  </si>
  <si>
    <t>22555 Tracy Ave, Euclid, Ohio, 44123</t>
  </si>
  <si>
    <t>22555 Tracy Ave</t>
  </si>
  <si>
    <t>Euclid Park Elementary School</t>
  </si>
  <si>
    <t>17914 Euclid Ave, Cleveland, Ohio, 44112</t>
  </si>
  <si>
    <t>17914 Euclid Ave</t>
  </si>
  <si>
    <t>Euclid High School</t>
  </si>
  <si>
    <t>711 E 222nd St, Euclid, Ohio, 44123</t>
  </si>
  <si>
    <t>711 E 222nd St</t>
  </si>
  <si>
    <t>McDowell Early Learning School</t>
  </si>
  <si>
    <t>280 N Hayden Pkwy, Hudson, Ohio, 44236</t>
  </si>
  <si>
    <t>280 N Hayden Pkwy</t>
  </si>
  <si>
    <t>Evendale Elementary School</t>
  </si>
  <si>
    <t>3940 Glendale Milford Rd, Cincinnati, Ohio, 45241</t>
  </si>
  <si>
    <t>3940 Glendale Milford Rd</t>
  </si>
  <si>
    <t>Evening Street Elementary School</t>
  </si>
  <si>
    <t>885 Evening St, Worthington, Ohio, 43085</t>
  </si>
  <si>
    <t>885 Evening St</t>
  </si>
  <si>
    <t xml:space="preserve">Arts Impact Middle School (Aims) </t>
  </si>
  <si>
    <t>680 Jack Gibbs Blvd, Columbus, Ohio, 43215</t>
  </si>
  <si>
    <t>680 Jack Gibbs Blvd</t>
  </si>
  <si>
    <t>Evergreen High School</t>
  </si>
  <si>
    <t>Fairbanks High School</t>
  </si>
  <si>
    <t>Fairfax Elementary School</t>
  </si>
  <si>
    <t>3150 Fairfax Rd, Cleveland Heights, Ohio, 44118</t>
  </si>
  <si>
    <t>3150 Fairfax Rd</t>
  </si>
  <si>
    <t>6465 Curtiss Ct, Mentor, Ohio, 44060</t>
  </si>
  <si>
    <t>6465 Curtiss Ct</t>
  </si>
  <si>
    <t>Crestview Middle School</t>
  </si>
  <si>
    <t>44100 Crestview Rd Ste C, Columbiana, Ohio, 44408</t>
  </si>
  <si>
    <t>44100 Crestview Rd Ste C</t>
  </si>
  <si>
    <t>Fairfield Freshman High School</t>
  </si>
  <si>
    <t>8790 N Gilmore Rd, Fairfield, Ohio, 45014</t>
  </si>
  <si>
    <t>8790 N Gilmore Rd</t>
  </si>
  <si>
    <t>Fairfield Elementary School</t>
  </si>
  <si>
    <t>1313 Eastfield Dr, Maumee, Ohio, 43537</t>
  </si>
  <si>
    <t>1313 Eastfield Dr</t>
  </si>
  <si>
    <t>South Central Elementary School</t>
  </si>
  <si>
    <t>3291 Greenwich Angling Rd, Greenwich, Ohio, 44837</t>
  </si>
  <si>
    <t>3291 Greenwich Angling Rd</t>
  </si>
  <si>
    <t>Fairfield Local Elementary School</t>
  </si>
  <si>
    <t>Fairfield High School</t>
  </si>
  <si>
    <t>8800 Holden Blvd, Fairfield, Ohio, 45014</t>
  </si>
  <si>
    <t>8800 Holden Blvd</t>
  </si>
  <si>
    <t>Fairfield Local High School</t>
  </si>
  <si>
    <t>Bremen Elementary School</t>
  </si>
  <si>
    <t>210 Strayer Ave, Bremen, Ohio, 43107</t>
  </si>
  <si>
    <t>210 Strayer Ave</t>
  </si>
  <si>
    <t>Bremen</t>
  </si>
  <si>
    <t>43107</t>
  </si>
  <si>
    <t>Fairfield Union High School</t>
  </si>
  <si>
    <t>6675 Cincinnati Zanesville Rd NE, Lancaster, Ohio, 43130</t>
  </si>
  <si>
    <t>6675 Cincinnati Zanesville Rd NE</t>
  </si>
  <si>
    <t>Fairland East Elementary School</t>
  </si>
  <si>
    <t>10732 County Road 107, Proctorville, Ohio, 45669</t>
  </si>
  <si>
    <t>10732 County Road 107</t>
  </si>
  <si>
    <t>Fairland High School</t>
  </si>
  <si>
    <t>812 County Road 411, Proctorville, Ohio, 45669</t>
  </si>
  <si>
    <t>812 County Road 411</t>
  </si>
  <si>
    <t>Fairland Middle School</t>
  </si>
  <si>
    <t>7875 County Road 107, Proctorville, Ohio, 45669</t>
  </si>
  <si>
    <t>7875 County Road 107</t>
  </si>
  <si>
    <t>Judith A Resnik Community Learning Center</t>
  </si>
  <si>
    <t>65 N Meadowcroft Dr, Akron, Ohio, 44313</t>
  </si>
  <si>
    <t>65 N Meadowcroft Dr</t>
  </si>
  <si>
    <t>Fairlawn Elementary School</t>
  </si>
  <si>
    <t>Fairlawn High School</t>
  </si>
  <si>
    <t>Fairless High School</t>
  </si>
  <si>
    <t>Fairmoor Elementary School</t>
  </si>
  <si>
    <t>3281 Mayfair Park Pl, Columbus, Ohio, 43213</t>
  </si>
  <si>
    <t>3281 Mayfair Park Pl</t>
  </si>
  <si>
    <t>Fairmount Early Childhood Center</t>
  </si>
  <si>
    <t>Fairport Harding High School</t>
  </si>
  <si>
    <t>Fairview-Clifton German Language School</t>
  </si>
  <si>
    <t>3689 Clifton Ave, Cincinnati, Ohio, 45220</t>
  </si>
  <si>
    <t>3689 Clifton Ave</t>
  </si>
  <si>
    <t>45220</t>
  </si>
  <si>
    <t>Fairview Elementary School</t>
  </si>
  <si>
    <t>2314 Elsmere Ave, Dayton, Ohio, 45406</t>
  </si>
  <si>
    <t>2314 Elsmere Ave</t>
  </si>
  <si>
    <t>45406</t>
  </si>
  <si>
    <t>Fairview High School</t>
  </si>
  <si>
    <t>4507 W 213 Street, Fairview Park, Ohio, 44126</t>
  </si>
  <si>
    <t>4507 W 213 Street</t>
  </si>
  <si>
    <t>Fairwood Alternative Elementary School</t>
  </si>
  <si>
    <t>726 Fairwood Ave, Columbus, Ohio, 43205</t>
  </si>
  <si>
    <t>726 Fairwood Ave</t>
  </si>
  <si>
    <t>Fallen Timbers Middle School</t>
  </si>
  <si>
    <t>6119 Finzel Rd, Whitehouse, Ohio, 43571</t>
  </si>
  <si>
    <t>6119 Finzel Rd</t>
  </si>
  <si>
    <t>Valley View Intermediate School</t>
  </si>
  <si>
    <t>64 Comstock St, Germantown, Ohio, 45327</t>
  </si>
  <si>
    <t>64 Comstock St</t>
  </si>
  <si>
    <t>Fassett Junior High  School</t>
  </si>
  <si>
    <t>3025 Starr Ave, Oregon, Ohio, 43616</t>
  </si>
  <si>
    <t>3025 Starr Ave</t>
  </si>
  <si>
    <t>Fayetteville-Perry Elementary School</t>
  </si>
  <si>
    <t>601 S Apple St, Fayetteville, Ohio, 45118</t>
  </si>
  <si>
    <t>601 S Apple St</t>
  </si>
  <si>
    <t>Fayetteville-Perry High School</t>
  </si>
  <si>
    <t>501 S Apple St, Fayetteville, Ohio, 45118</t>
  </si>
  <si>
    <t>501 S Apple St</t>
  </si>
  <si>
    <t>Federal Hocking High School</t>
  </si>
  <si>
    <t>Felicity-Franklin Local  Elementary School</t>
  </si>
  <si>
    <t>Felicity-Franklin Local  High School</t>
  </si>
  <si>
    <t>Jacob Coy Middle School</t>
  </si>
  <si>
    <t>1786 Dayton Xenia Rd, Xenia, Ohio, 45385</t>
  </si>
  <si>
    <t>1786 Dayton Xenia Rd</t>
  </si>
  <si>
    <t>Fernway Elementary School</t>
  </si>
  <si>
    <t>17420 Fernway Rd, Shaker Heights, Ohio, 44120</t>
  </si>
  <si>
    <t>17420 Fernway Rd</t>
  </si>
  <si>
    <t>Field High School</t>
  </si>
  <si>
    <t>Field Middle School</t>
  </si>
  <si>
    <t>1379 Saxe Rd, Mogadore, Ohio, 44260</t>
  </si>
  <si>
    <t>1379 Saxe Rd</t>
  </si>
  <si>
    <t>Hubbard Elementary School</t>
  </si>
  <si>
    <t>104 W Hubbard Ave, Columbus, Ohio, 43215</t>
  </si>
  <si>
    <t>104 W Hubbard Ave</t>
  </si>
  <si>
    <t>Struthers Middle School</t>
  </si>
  <si>
    <t>800 5th St, Struthers, Ohio, 44471</t>
  </si>
  <si>
    <t>800 5th St</t>
  </si>
  <si>
    <t>Highland Elementary School</t>
  </si>
  <si>
    <t>1125 Main St, Hamilton, Ohio, 45013</t>
  </si>
  <si>
    <t>1125 Main St</t>
  </si>
  <si>
    <t>Findlay High School</t>
  </si>
  <si>
    <t>1200 Broad Ave, Findlay, Ohio, 45840</t>
  </si>
  <si>
    <t>1200 Broad Ave</t>
  </si>
  <si>
    <t>Findley Community Learning Center</t>
  </si>
  <si>
    <t>65 W Tallmadge Ave, Akron, Ohio, 44310</t>
  </si>
  <si>
    <t>65 W Tallmadge Ave</t>
  </si>
  <si>
    <t>44310</t>
  </si>
  <si>
    <t>Finland Elementary School</t>
  </si>
  <si>
    <t>1835 Finland Ave, Columbus, Ohio, 43223</t>
  </si>
  <si>
    <t>1835 Finland Ave</t>
  </si>
  <si>
    <t>43223</t>
  </si>
  <si>
    <t xml:space="preserve">Finneytown Secondary Campus  </t>
  </si>
  <si>
    <t>Firelands Elementary School</t>
  </si>
  <si>
    <t>10779 Vermilion Rd, Oberlin, Ohio, 44074</t>
  </si>
  <si>
    <t>10779 Vermilion Rd</t>
  </si>
  <si>
    <t>Firelands High School</t>
  </si>
  <si>
    <t>10521 Vermilion Rd, Oberlin, Ohio, 44074</t>
  </si>
  <si>
    <t>10521 Vermilion Rd</t>
  </si>
  <si>
    <t>Firestone Community Learning Center</t>
  </si>
  <si>
    <t>470 Castle Blvd, Akron, Ohio, 44313</t>
  </si>
  <si>
    <t>470 Castle Blvd</t>
  </si>
  <si>
    <t>Firestone Park Elementary School</t>
  </si>
  <si>
    <t>1479 Girard St, Akron, Ohio, 44301</t>
  </si>
  <si>
    <t>1479 Girard St</t>
  </si>
  <si>
    <t>44301</t>
  </si>
  <si>
    <t>Rittman Middle School</t>
  </si>
  <si>
    <t>50 Saurer St, Rittman, Ohio, 44270</t>
  </si>
  <si>
    <t>50 Saurer St</t>
  </si>
  <si>
    <t>Fishcreek Elementary School</t>
  </si>
  <si>
    <t>5080 Fishcreek Rd, Stow, Ohio, 44224</t>
  </si>
  <si>
    <t>5080 Fishcreek Rd</t>
  </si>
  <si>
    <t>Olmsted Falls Intermediate Building</t>
  </si>
  <si>
    <t>27043 Bagley Rd, Olmsted Falls, Ohio, 44138</t>
  </si>
  <si>
    <t>27043 Bagley Rd</t>
  </si>
  <si>
    <t>Fitch High School</t>
  </si>
  <si>
    <t>4560 Falcon Dr, Youngstown, Ohio, 44515</t>
  </si>
  <si>
    <t>4560 Falcon Dr</t>
  </si>
  <si>
    <t>Fairborn Primary School</t>
  </si>
  <si>
    <t>63 W Funderburg Rd, Fairborn, Ohio, 45324</t>
  </si>
  <si>
    <t>63 W Funderburg Rd</t>
  </si>
  <si>
    <t>Berea-Midpark Middle School</t>
  </si>
  <si>
    <t>7000 Paula Dr, Middleburg Heights, Ohio, 44130</t>
  </si>
  <si>
    <t>7000 Paula Dr</t>
  </si>
  <si>
    <t>Riverdale Elementary School</t>
  </si>
  <si>
    <t>Forest Elementary School</t>
  </si>
  <si>
    <t>413 E Canal St, Troy, Ohio, 45373</t>
  </si>
  <si>
    <t>413 E Canal St</t>
  </si>
  <si>
    <t>Forest Hill Community Learning Center</t>
  </si>
  <si>
    <t>850 Damon St, Akron, Ohio, 44310</t>
  </si>
  <si>
    <t>850 Damon St</t>
  </si>
  <si>
    <t>Forest Park Elementary School</t>
  </si>
  <si>
    <t>5535 Sandalwood Blvd, Columbus, Ohio, 43229</t>
  </si>
  <si>
    <t>5535 Sandalwood Blvd</t>
  </si>
  <si>
    <t>Winton Woods Intermediate School</t>
  </si>
  <si>
    <t>147 Farragut Rd, Cincinnati, Ohio, 45218</t>
  </si>
  <si>
    <t>147 Farragut Rd</t>
  </si>
  <si>
    <t>Fostoria Junior/Senior High School</t>
  </si>
  <si>
    <t>Adena Elementary School</t>
  </si>
  <si>
    <t>River's Edge Montessori Elementary School</t>
  </si>
  <si>
    <t>108 Linwood St, Dayton, Ohio, 45405</t>
  </si>
  <si>
    <t>108 Linwood St</t>
  </si>
  <si>
    <t>45405</t>
  </si>
  <si>
    <t>Franklin Elementary School</t>
  </si>
  <si>
    <t>310 E 4th St, Delphos, Ohio, 45833</t>
  </si>
  <si>
    <t>310 E 4th St</t>
  </si>
  <si>
    <t>Franklin Monroe Elementary School</t>
  </si>
  <si>
    <t>8591 Oakes Rd, Arcanum, Ohio, 45304</t>
  </si>
  <si>
    <t>8591 Oakes Rd</t>
  </si>
  <si>
    <t>Ben Franklin Elementary School</t>
  </si>
  <si>
    <t>533 Beacon Rd, Newark, Ohio, 43055</t>
  </si>
  <si>
    <t>533 Beacon Rd</t>
  </si>
  <si>
    <t>1237 16th St SE, Massillon, Ohio, 44646</t>
  </si>
  <si>
    <t>1237 16th St SE</t>
  </si>
  <si>
    <t>200 Takacs Dr, Wadsworth, Ohio, 44281</t>
  </si>
  <si>
    <t>200 Takacs Dr</t>
  </si>
  <si>
    <t>Franklin High School</t>
  </si>
  <si>
    <t>750 E 4th St, Franklin, Ohio, 45005</t>
  </si>
  <si>
    <t>750 E 4th St</t>
  </si>
  <si>
    <t>Franklin Heights High School</t>
  </si>
  <si>
    <t>1001 Demorest Rd, Columbus, Ohio, 43204</t>
  </si>
  <si>
    <t>1001 Demorest Rd</t>
  </si>
  <si>
    <t>Hamilton Elementary School</t>
  </si>
  <si>
    <t>1215 Middle Ave, Elyria, Ohio, 44035</t>
  </si>
  <si>
    <t>1215 Middle Ave</t>
  </si>
  <si>
    <t>Franklin Monroe High School</t>
  </si>
  <si>
    <t>Frazer Elementary School</t>
  </si>
  <si>
    <t>3900 Frazer Ave NW, Canton, Ohio, 44709</t>
  </si>
  <si>
    <t>3900 Frazer Ave NW</t>
  </si>
  <si>
    <t>Frazeysburg Elementary School</t>
  </si>
  <si>
    <t>120 E 3rd St, Frazeysburg, Ohio, 43822</t>
  </si>
  <si>
    <t>120 E 3rd St</t>
  </si>
  <si>
    <t>Frazeysburg</t>
  </si>
  <si>
    <t>43822</t>
  </si>
  <si>
    <t>Fredericksburg Elementary School</t>
  </si>
  <si>
    <t>160 W Clay St, Fredericksburg, Ohio, 44627</t>
  </si>
  <si>
    <t>160 W Clay St</t>
  </si>
  <si>
    <t>Fredericksburg</t>
  </si>
  <si>
    <t>44627</t>
  </si>
  <si>
    <t>Fredericktown Elementary School</t>
  </si>
  <si>
    <t>111 Stadium Drive, Fredericktown, Ohio, 43019</t>
  </si>
  <si>
    <t>111 Stadium Drive</t>
  </si>
  <si>
    <t>Fredericktown High School</t>
  </si>
  <si>
    <t>111 Stadium Dr, Fredericktown, Ohio, 43019</t>
  </si>
  <si>
    <t>111 Stadium Dr</t>
  </si>
  <si>
    <t>Fremont Middle School</t>
  </si>
  <si>
    <t>1250 North St, Fremont, Ohio, 43420</t>
  </si>
  <si>
    <t>1250 North St</t>
  </si>
  <si>
    <t>Fremont Ross High School</t>
  </si>
  <si>
    <t>1100 North St, Fremont, Ohio, 43420</t>
  </si>
  <si>
    <t>1100 North St</t>
  </si>
  <si>
    <t>French Run Elementary School</t>
  </si>
  <si>
    <t>1200 Epworth Ave, Reynoldsburg, Ohio, 43068</t>
  </si>
  <si>
    <t>1200 Epworth Ave</t>
  </si>
  <si>
    <t>Frontier High/Middle School</t>
  </si>
  <si>
    <t>Fort Frye High School</t>
  </si>
  <si>
    <t>420 Fifth St, Beverly, Ohio, 45715</t>
  </si>
  <si>
    <t>420 Fifth St</t>
  </si>
  <si>
    <t>Fort Island Primary Elementary School</t>
  </si>
  <si>
    <t>496 Trunko Rd, Fairlawn, Ohio, 44333</t>
  </si>
  <si>
    <t>496 Trunko Rd</t>
  </si>
  <si>
    <t>Fairlawn</t>
  </si>
  <si>
    <t>Fort Jennings Elementary School</t>
  </si>
  <si>
    <t>Fort Jennings High School</t>
  </si>
  <si>
    <t>Fort Loramie Elementary School</t>
  </si>
  <si>
    <t>35 Elm St, Fort Loramie, Ohio, 45845</t>
  </si>
  <si>
    <t>35 Elm St</t>
  </si>
  <si>
    <t>Fort Loramie Junior-Senior High School</t>
  </si>
  <si>
    <t>600 East Park St, Fort Loramie, Ohio, 45845</t>
  </si>
  <si>
    <t>600 East Park St</t>
  </si>
  <si>
    <t>Fort Miami Elementary School</t>
  </si>
  <si>
    <t>2501 River Rd, Maumee, Ohio, 43537</t>
  </si>
  <si>
    <t>2501 River Rd</t>
  </si>
  <si>
    <t>Fort Recovery High School</t>
  </si>
  <si>
    <t>400 East Butler Street, Fort Recovery, Ohio, 45846</t>
  </si>
  <si>
    <t>400 East Butler Street</t>
  </si>
  <si>
    <t>Albert Bushnell Hart</t>
  </si>
  <si>
    <t>3900 E 75th St, Cleveland, Ohio, 44105</t>
  </si>
  <si>
    <t>3900 E 75th St</t>
  </si>
  <si>
    <t>Evergreen Elementary School</t>
  </si>
  <si>
    <t>14844 County Road 6, Metamora, Ohio, 43540</t>
  </si>
  <si>
    <t>14844 County Road 6</t>
  </si>
  <si>
    <t>Heath Middle School</t>
  </si>
  <si>
    <t>310 Licking View Dr, Heath, Ohio, 43056</t>
  </si>
  <si>
    <t>310 Licking View Dr</t>
  </si>
  <si>
    <t>Fulton Elementary School</t>
  </si>
  <si>
    <t>631 S Yellow Springs St, Springfield, Ohio, 45506</t>
  </si>
  <si>
    <t>631 S Yellow Springs St</t>
  </si>
  <si>
    <t>Furry Elementary School</t>
  </si>
  <si>
    <t>310 Douglas Dr, Sandusky, Ohio, 44870</t>
  </si>
  <si>
    <t>310 Douglas Dr</t>
  </si>
  <si>
    <t>Prairie Run Elementary School</t>
  </si>
  <si>
    <t>701 N Miller Dr, Sunbury, Ohio, 43074</t>
  </si>
  <si>
    <t>701 N Miller Dr</t>
  </si>
  <si>
    <t>Galion High School</t>
  </si>
  <si>
    <t>472 Portland Way N, Galion, Ohio, 44833</t>
  </si>
  <si>
    <t>472 Portland Way N</t>
  </si>
  <si>
    <t>Galion Middle School</t>
  </si>
  <si>
    <t>474 Portland Way N, Galion, Ohio, 44833</t>
  </si>
  <si>
    <t>474 Portland Way N</t>
  </si>
  <si>
    <t>Gallia Academy High School</t>
  </si>
  <si>
    <t>2855 Centenary Rd, Gallipolis, Ohio, 45631</t>
  </si>
  <si>
    <t>2855 Centenary Rd</t>
  </si>
  <si>
    <t>Wiggin Street Elementary School</t>
  </si>
  <si>
    <t>207 Wiggin Street, Gambier, Ohio, 43022</t>
  </si>
  <si>
    <t>207 Wiggin Street</t>
  </si>
  <si>
    <t>Gambier</t>
  </si>
  <si>
    <t>43022</t>
  </si>
  <si>
    <t>Garaway High School</t>
  </si>
  <si>
    <t>Baltic Elementary School</t>
  </si>
  <si>
    <t>300 E Main St, Baltic, Ohio, 43804</t>
  </si>
  <si>
    <t>300 E Main St</t>
  </si>
  <si>
    <t>Baltic</t>
  </si>
  <si>
    <t>43804</t>
  </si>
  <si>
    <t>Garfield Elementary School</t>
  </si>
  <si>
    <t>3800 W 140th St, Cleveland, Ohio, 44111</t>
  </si>
  <si>
    <t>3800 W 140th St</t>
  </si>
  <si>
    <t>44111</t>
  </si>
  <si>
    <t>234 S Broadway St, Medina, Ohio, 44256</t>
  </si>
  <si>
    <t>234 S Broadway St</t>
  </si>
  <si>
    <t>1103 N Ravine Pkwy, Toledo, Ohio, 43605</t>
  </si>
  <si>
    <t>1103 N Ravine Pkwy</t>
  </si>
  <si>
    <t>200 W 31st St, Lorain, Ohio, 44055</t>
  </si>
  <si>
    <t>200 W 31st St</t>
  </si>
  <si>
    <t>44055</t>
  </si>
  <si>
    <t>1600 Lincoln Ave, Wellsville, Ohio, 43968</t>
  </si>
  <si>
    <t>1600 Lincoln Ave</t>
  </si>
  <si>
    <t>James A Garfield Elementary School</t>
  </si>
  <si>
    <t>10207 State Route 88, Garrettsville, Ohio, 44231</t>
  </si>
  <si>
    <t>10207 State Route 88</t>
  </si>
  <si>
    <t>680 S 30th St, Heath, Ohio, 43056</t>
  </si>
  <si>
    <t>680 S 30th St</t>
  </si>
  <si>
    <t>Garfield Middle School</t>
  </si>
  <si>
    <t>250 N Fair Ave, Hamilton, Ohio, 45011</t>
  </si>
  <si>
    <t>250 N Fair Ave</t>
  </si>
  <si>
    <t>James A Garfield High School</t>
  </si>
  <si>
    <t>10233 State Route 88, Garrettsville, Ohio, 44231</t>
  </si>
  <si>
    <t>10233 State Route 88</t>
  </si>
  <si>
    <t>Garfield Community Learning Center</t>
  </si>
  <si>
    <t>1326 Brown St, Akron, Ohio, 44301</t>
  </si>
  <si>
    <t>1326 Brown St</t>
  </si>
  <si>
    <t>Garfield Heights High School</t>
  </si>
  <si>
    <t>4900 Turney Rd, Garfield Heights, Ohio, 44125</t>
  </si>
  <si>
    <t>4900 Turney Rd</t>
  </si>
  <si>
    <t>Garfield Heights Middle School</t>
  </si>
  <si>
    <t>12000 Maple Leaf Dr, Garfield Heights, Ohio, 44125</t>
  </si>
  <si>
    <t>12000 Maple Leaf Dr</t>
  </si>
  <si>
    <t>James A Garfield Middle School</t>
  </si>
  <si>
    <t>10231 State Route 88, Garrettsville, Ohio, 44231</t>
  </si>
  <si>
    <t>10231 State Route 88</t>
  </si>
  <si>
    <t>Gates Mills Elementary School</t>
  </si>
  <si>
    <t>7639 Colvin Rd, Gates Mills, Ohio, 44040</t>
  </si>
  <si>
    <t>7639 Colvin Rd</t>
  </si>
  <si>
    <t>Gates Mills</t>
  </si>
  <si>
    <t>44040</t>
  </si>
  <si>
    <t>Geneva High School</t>
  </si>
  <si>
    <t>1301 S Ridge Rd E, Geneva, Ohio, 44041</t>
  </si>
  <si>
    <t>1301 S Ridge Rd E</t>
  </si>
  <si>
    <t>Geneva Middle School</t>
  </si>
  <si>
    <t>839 Sherman St, Geneva, Ohio, 44041</t>
  </si>
  <si>
    <t>839 Sherman St</t>
  </si>
  <si>
    <t>Genoa Area High School</t>
  </si>
  <si>
    <t>2980 N Genoa Clay Center Rd, Genoa, Ohio, 43430</t>
  </si>
  <si>
    <t>2980 N Genoa Clay Center Rd</t>
  </si>
  <si>
    <t>Genoa Area Middle School</t>
  </si>
  <si>
    <t>2950 N Genoa Clay Center Rd, Genoa, Ohio, 43430</t>
  </si>
  <si>
    <t>2950 N Genoa Clay Center Rd</t>
  </si>
  <si>
    <t>Genoa Elementary School</t>
  </si>
  <si>
    <t>519 Genoa Ave SW, Massillon, Ohio, 44646</t>
  </si>
  <si>
    <t>519 Genoa Ave SW</t>
  </si>
  <si>
    <t>George H Gerke Elementary School</t>
  </si>
  <si>
    <t>312 Sherman Dr, Franklin, Ohio, 45005</t>
  </si>
  <si>
    <t>312 Sherman Dr</t>
  </si>
  <si>
    <t>Highview 6th Grade Center</t>
  </si>
  <si>
    <t>106 S Highview Rd, Middletown, Ohio, 45044</t>
  </si>
  <si>
    <t>106 S Highview Rd</t>
  </si>
  <si>
    <t>George Washington Carver</t>
  </si>
  <si>
    <t>2200 E 55th St, Cleveland, Ohio, 44103</t>
  </si>
  <si>
    <t>2200 E 55th St</t>
  </si>
  <si>
    <t>44103</t>
  </si>
  <si>
    <t>Georgetown Jr/Sr High School</t>
  </si>
  <si>
    <t>987 Mount Orab Pike, Georgetown, Ohio, 45121</t>
  </si>
  <si>
    <t>987 Mount Orab Pike</t>
  </si>
  <si>
    <t>Georgian Heights Alt Elementary School</t>
  </si>
  <si>
    <t>784 Georgian Dr, Columbus, Ohio, 43228</t>
  </si>
  <si>
    <t>784 Georgian Dr</t>
  </si>
  <si>
    <t>Valley View Primary School</t>
  </si>
  <si>
    <t>110 Comstock St, Germantown, Ohio, 45327</t>
  </si>
  <si>
    <t>110 Comstock St</t>
  </si>
  <si>
    <t>Valley View Junior High School</t>
  </si>
  <si>
    <t>202 Jackson St, Farmersville, Ohio, 45325</t>
  </si>
  <si>
    <t>202 Jackson St</t>
  </si>
  <si>
    <t>Farmersville</t>
  </si>
  <si>
    <t>45325</t>
  </si>
  <si>
    <t>Gibbs Elementary School</t>
  </si>
  <si>
    <t>1320 Gibbs Ave NE, Canton, Ohio, 44705</t>
  </si>
  <si>
    <t>1320 Gibbs Ave NE</t>
  </si>
  <si>
    <t>44705</t>
  </si>
  <si>
    <t>James J Hilfiker Elementary School</t>
  </si>
  <si>
    <t>Gibsonburg High School</t>
  </si>
  <si>
    <t>740 S Main St, Gibsonburg, Ohio, 43431</t>
  </si>
  <si>
    <t>740 S Main St</t>
  </si>
  <si>
    <t>Pandora-Gilboa Middle School</t>
  </si>
  <si>
    <t>410 Rocket Rdg, Pandora, Ohio, 45877</t>
  </si>
  <si>
    <t>410 Rocket Rdg</t>
  </si>
  <si>
    <t>Girard Sr High School</t>
  </si>
  <si>
    <t>1244 Shannon Rd, Girard, Ohio, 44420</t>
  </si>
  <si>
    <t>1244 Shannon Rd</t>
  </si>
  <si>
    <t>Glandorf Elementary School</t>
  </si>
  <si>
    <t>140 Church St, Ottawa, Ohio, 45875</t>
  </si>
  <si>
    <t>140 Church St</t>
  </si>
  <si>
    <t>West Clermont High School</t>
  </si>
  <si>
    <t>4101 Bach Buxton Road, Cincinnati, Ohio, 45103</t>
  </si>
  <si>
    <t>4101 Bach Buxton Road</t>
  </si>
  <si>
    <t>Glendale Elementary School</t>
  </si>
  <si>
    <t>930 Congress Ave, Cincinnati, Ohio, 45246</t>
  </si>
  <si>
    <t>930 Congress Ave</t>
  </si>
  <si>
    <t>45246</t>
  </si>
  <si>
    <t>Glendale-Feilbach Elementary School</t>
  </si>
  <si>
    <t>2317 Cass Rd, Toledo, Ohio, 43614</t>
  </si>
  <si>
    <t>2317 Cass Rd</t>
  </si>
  <si>
    <t>Glendale Primary School</t>
  </si>
  <si>
    <t>400 W Glendale St, Bedford, Ohio, 44146</t>
  </si>
  <si>
    <t>400 W Glendale St</t>
  </si>
  <si>
    <t>Glenford Elementary School</t>
  </si>
  <si>
    <t>128 E High St, Glenford, Ohio, 43739</t>
  </si>
  <si>
    <t>128 E High St</t>
  </si>
  <si>
    <t>Glenford</t>
  </si>
  <si>
    <t>43739</t>
  </si>
  <si>
    <t>John Glenn High School</t>
  </si>
  <si>
    <t>13115 John Glenn School Rd, New Concord, Ohio, 43762</t>
  </si>
  <si>
    <t>13115 John Glenn School Rd</t>
  </si>
  <si>
    <t>Glenville High School</t>
  </si>
  <si>
    <t>650 E 113th St, Cleveland, Ohio, 44108</t>
  </si>
  <si>
    <t>650 E 113th St</t>
  </si>
  <si>
    <t>44108</t>
  </si>
  <si>
    <t>Glenwood Elementary School</t>
  </si>
  <si>
    <t>2860 Glenwood Ave, Toledo, Ohio, 43610</t>
  </si>
  <si>
    <t>2860 Glenwood Ave</t>
  </si>
  <si>
    <t>43610</t>
  </si>
  <si>
    <t>Glenwood High School</t>
  </si>
  <si>
    <t>Trimble High School</t>
  </si>
  <si>
    <t>Glover Community Learning Center</t>
  </si>
  <si>
    <t>935 Hammel St, Akron, Ohio, 44306</t>
  </si>
  <si>
    <t>935 Hammel St</t>
  </si>
  <si>
    <t>44306</t>
  </si>
  <si>
    <t>Goldwood Primary Elementary School</t>
  </si>
  <si>
    <t>21600 Center Ridge Rd, Rocky River, Ohio, 44116</t>
  </si>
  <si>
    <t>21600 Center Ridge Rd</t>
  </si>
  <si>
    <t>Gordon Dewitt Elementary School</t>
  </si>
  <si>
    <t>425 Falls Ave, Cuyahoga Falls, Ohio, 44221</t>
  </si>
  <si>
    <t>425 Falls Ave</t>
  </si>
  <si>
    <t>Halle</t>
  </si>
  <si>
    <t>7901 Halle Ave, Cleveland, Ohio, 44102</t>
  </si>
  <si>
    <t>7901 Halle Ave</t>
  </si>
  <si>
    <t>Fayette Elementary School</t>
  </si>
  <si>
    <t>Fayette Jr/Sr High School</t>
  </si>
  <si>
    <t>Gorrell Elementary School</t>
  </si>
  <si>
    <t>2420 Schuler Ave NW, Massillon, Ohio, 44647</t>
  </si>
  <si>
    <t>2420 Schuler Ave NW</t>
  </si>
  <si>
    <t>Marr/Cook Elementary School</t>
  </si>
  <si>
    <t>6696 Goshen Rd, Goshen, Ohio, 45122</t>
  </si>
  <si>
    <t>6696 Goshen Rd</t>
  </si>
  <si>
    <t>Goshen High School</t>
  </si>
  <si>
    <t>6707 Goshen Rd, Goshen, Ohio, 45122</t>
  </si>
  <si>
    <t>6707 Goshen Rd</t>
  </si>
  <si>
    <t>Goshen Lane Elementary School</t>
  </si>
  <si>
    <t>370 Goshen Ln, Gahanna, Ohio, 43230</t>
  </si>
  <si>
    <t>370 Goshen Ln</t>
  </si>
  <si>
    <t>Goshen Middle School</t>
  </si>
  <si>
    <t>6692 Goshen Rd, Goshen, Ohio, 45122</t>
  </si>
  <si>
    <t>6692 Goshen Rd</t>
  </si>
  <si>
    <t>NORTHRIDGE MIDDLE SCHOOL</t>
  </si>
  <si>
    <t>2011 Timber Ln, Dayton, Ohio, 45414</t>
  </si>
  <si>
    <t>2011 Timber Ln</t>
  </si>
  <si>
    <t>Walter Kidder Elementary School</t>
  </si>
  <si>
    <t>3650 Grafton Rd, Brunswick, Ohio, 44212</t>
  </si>
  <si>
    <t>3650 Grafton Rd</t>
  </si>
  <si>
    <t>Graham High School</t>
  </si>
  <si>
    <t>7800 Us Highway 36, Saint Paris, Ohio, 43072</t>
  </si>
  <si>
    <t>7800 Us Highway 36</t>
  </si>
  <si>
    <t>Graham Elementary School</t>
  </si>
  <si>
    <t>9464 US Highway 36, Saint Paris, Ohio, 43072</t>
  </si>
  <si>
    <t>9464 US Highway 36</t>
  </si>
  <si>
    <t>Otsego Elementary School</t>
  </si>
  <si>
    <t>18505 Tontogany Creek Road, Tontogany, Ohio, 43565</t>
  </si>
  <si>
    <t>18505 Tontogany Creek Road</t>
  </si>
  <si>
    <t>Tontogany</t>
  </si>
  <si>
    <t>43565</t>
  </si>
  <si>
    <t>Grand Valley Middle School</t>
  </si>
  <si>
    <t>Grand Valley High School</t>
  </si>
  <si>
    <t>Grandview Heights High School</t>
  </si>
  <si>
    <t>Larson Middle School</t>
  </si>
  <si>
    <t>1240 Oakland Ave, Columbus, Ohio, 43212</t>
  </si>
  <si>
    <t>1240 Oakland Ave</t>
  </si>
  <si>
    <t>Grant Elementary School</t>
  </si>
  <si>
    <t>1470 Victoria Ave, Lakewood, Ohio, 44107</t>
  </si>
  <si>
    <t>1470 Victoria Ave</t>
  </si>
  <si>
    <t>2838 Lost Nation Rd, Willoughby, Ohio, 44094</t>
  </si>
  <si>
    <t>2838 Lost Nation Rd</t>
  </si>
  <si>
    <t>Granville Elementary School</t>
  </si>
  <si>
    <t>310 N Granger St, Granville, Ohio, 43023</t>
  </si>
  <si>
    <t>310 N Granger St</t>
  </si>
  <si>
    <t>Granville High School</t>
  </si>
  <si>
    <t>248 New Burg St, Granville, Ohio, 43023</t>
  </si>
  <si>
    <t>248 New Burg St</t>
  </si>
  <si>
    <t>Elgin Middle School</t>
  </si>
  <si>
    <t>1200 Keener Rd S, Marion, Ohio, 43302</t>
  </si>
  <si>
    <t>1200 Keener Rd S</t>
  </si>
  <si>
    <t>Green Elementary School</t>
  </si>
  <si>
    <t>13495 Maysville Williams Rd, Logan, Ohio, 43138</t>
  </si>
  <si>
    <t>13495 Maysville Williams Rd</t>
  </si>
  <si>
    <t>113 Centenary Church Rd, Gallipolis, Ohio, 45631</t>
  </si>
  <si>
    <t>113 Centenary Church Rd</t>
  </si>
  <si>
    <t>4057 Gallia Pike, Franklin Furnace, Ohio, 45629</t>
  </si>
  <si>
    <t>4057 Gallia Pike</t>
  </si>
  <si>
    <t>Green High School</t>
  </si>
  <si>
    <t>1474 Boettler Rd, Uniontown, Ohio, 44685</t>
  </si>
  <si>
    <t>1474 Boettler Rd</t>
  </si>
  <si>
    <t>Green Springs Elementary School</t>
  </si>
  <si>
    <t>420 N Broadway St, Green Springs, Ohio, 44836</t>
  </si>
  <si>
    <t>420 N Broadway St</t>
  </si>
  <si>
    <t>Green Springs</t>
  </si>
  <si>
    <t>44836</t>
  </si>
  <si>
    <t>Green Valley Elementary School</t>
  </si>
  <si>
    <t>2401 W Pleasant Valley Rd, Parma, Ohio, 44134</t>
  </si>
  <si>
    <t>2401 W Pleasant Valley Rd</t>
  </si>
  <si>
    <t>Greenbriar Middle School</t>
  </si>
  <si>
    <t>11810 Huffman Rd, Parma, Ohio, 44130</t>
  </si>
  <si>
    <t>11810 Huffman Rd</t>
  </si>
  <si>
    <t>Green Middle School</t>
  </si>
  <si>
    <t>200 Smithie Drive, Smithville, Ohio, 44677</t>
  </si>
  <si>
    <t>200 Smithie Drive</t>
  </si>
  <si>
    <t>Greeneview Middle School</t>
  </si>
  <si>
    <t>4990 Cottonville Rd, Jamestown, Ohio, 45335</t>
  </si>
  <si>
    <t>4990 Cottonville Rd</t>
  </si>
  <si>
    <t>Greeneview High School</t>
  </si>
  <si>
    <t>4710 Cottonville Rd, Jamestown, Ohio, 45335</t>
  </si>
  <si>
    <t>4710 Cottonville Rd</t>
  </si>
  <si>
    <t>Greenfield Elementary School</t>
  </si>
  <si>
    <t>South Range Middle School</t>
  </si>
  <si>
    <t>11300 Columbiana Canfield Rd, Canfield, Ohio, 44406</t>
  </si>
  <si>
    <t>11300 Columbiana Canfield Rd</t>
  </si>
  <si>
    <t>Winton Woods Middle School</t>
  </si>
  <si>
    <t>1231 W Kemper Rd, Cincinnati, Ohio, 45240</t>
  </si>
  <si>
    <t>1231 W Kemper Rd</t>
  </si>
  <si>
    <t>Greenmont Elementary School</t>
  </si>
  <si>
    <t>1 E Wren Cir, Kettering, Ohio, 45420</t>
  </si>
  <si>
    <t>1 E Wren Cir</t>
  </si>
  <si>
    <t>Greenon High School</t>
  </si>
  <si>
    <t>Greensview Elementary School</t>
  </si>
  <si>
    <t>4301 Greensview Dr, Upper Arlington, Ohio, 43220</t>
  </si>
  <si>
    <t>4301 Greensview Dr</t>
  </si>
  <si>
    <t>43220</t>
  </si>
  <si>
    <t>Greenview Upper Elementary School</t>
  </si>
  <si>
    <t>1825 S Green Rd, South Euclid, Ohio, 44121</t>
  </si>
  <si>
    <t>1825 S Green Rd</t>
  </si>
  <si>
    <t>Greenville Senior High School</t>
  </si>
  <si>
    <t>100 Greenwave Way, Greenville, Ohio, 45331</t>
  </si>
  <si>
    <t>100 Greenwave Way</t>
  </si>
  <si>
    <t>Greenville Middle School</t>
  </si>
  <si>
    <t>Greenwood Early Learning Center</t>
  </si>
  <si>
    <t>2250 Graybill Rd, Green, Ohio, 44232</t>
  </si>
  <si>
    <t>2250 Graybill Rd</t>
  </si>
  <si>
    <t>Green</t>
  </si>
  <si>
    <t>44232</t>
  </si>
  <si>
    <t>Grove Patterson Academy Elementary School</t>
  </si>
  <si>
    <t>3020 Marvin Ave, Toledo, Ohio, 43606</t>
  </si>
  <si>
    <t>3020 Marvin Ave</t>
  </si>
  <si>
    <t>Groveport Elementary School</t>
  </si>
  <si>
    <t>715 Main St, Groveport, Ohio, 43125</t>
  </si>
  <si>
    <t>715 Main St</t>
  </si>
  <si>
    <t>Groveport Madison High School</t>
  </si>
  <si>
    <t>4475 S Hamilton Rd, Groveport, Ohio, 43125</t>
  </si>
  <si>
    <t>4475 S Hamilton Rd</t>
  </si>
  <si>
    <t>Groveport Madison Middle School Central</t>
  </si>
  <si>
    <t>751 Main St, Groveport, Ohio, 43125</t>
  </si>
  <si>
    <t>751 Main St</t>
  </si>
  <si>
    <t>Grover Hill Elementary School</t>
  </si>
  <si>
    <t>101 Monroe Street, Grover Hill, Ohio, 45849</t>
  </si>
  <si>
    <t>101 Monroe Street</t>
  </si>
  <si>
    <t>Grover Hill</t>
  </si>
  <si>
    <t>45849</t>
  </si>
  <si>
    <t>Gurney Elementary School</t>
  </si>
  <si>
    <t>1155 Bell Rd, Chagrin Falls, Ohio, 44022</t>
  </si>
  <si>
    <t>1155 Bell Rd</t>
  </si>
  <si>
    <t>Badger Elementary School</t>
  </si>
  <si>
    <t>William S Guy Middle School</t>
  </si>
  <si>
    <t>Riverview Elementary School</t>
  </si>
  <si>
    <t>845 Madison Ave, Painesville, Ohio, 44077</t>
  </si>
  <si>
    <t>845 Madison Ave</t>
  </si>
  <si>
    <t>South Elementary</t>
  </si>
  <si>
    <t>38234 State Route 93, Hamden, Ohio, 45634</t>
  </si>
  <si>
    <t>38234 State Route 93</t>
  </si>
  <si>
    <t>Hamden</t>
  </si>
  <si>
    <t>45634</t>
  </si>
  <si>
    <t>Hamersville Elementary School</t>
  </si>
  <si>
    <t>1950 State Route 125, Hamersville, Ohio, 45130</t>
  </si>
  <si>
    <t>1950 State Route 125</t>
  </si>
  <si>
    <t>Hamersville</t>
  </si>
  <si>
    <t>45130</t>
  </si>
  <si>
    <t>Hamilton STEM Academy (K-6)</t>
  </si>
  <si>
    <t>2047 Hamilton Ave, Columbus, Ohio, 43211</t>
  </si>
  <si>
    <t>2047 Hamilton Ave</t>
  </si>
  <si>
    <t>745 Rathmell Rd, Columbus, Ohio, 43207</t>
  </si>
  <si>
    <t>745 Rathmell Rd</t>
  </si>
  <si>
    <t>Leverette Elementary School</t>
  </si>
  <si>
    <t>445 E Manhattan Blvd, Toledo, Ohio, 43608</t>
  </si>
  <si>
    <t>445 E Manhattan Blvd</t>
  </si>
  <si>
    <t>Hamilton Township High School</t>
  </si>
  <si>
    <t>1105 Rathmell Rd, Columbus, Ohio, 43207</t>
  </si>
  <si>
    <t>1105 Rathmell Rd</t>
  </si>
  <si>
    <t>Hanby Building Elementary School</t>
  </si>
  <si>
    <t>56 S State St, Westerville, Ohio, 43081</t>
  </si>
  <si>
    <t>56 S State St</t>
  </si>
  <si>
    <t>The Early Learning Academy</t>
  </si>
  <si>
    <t>2314 Hancock St, Sandusky, Ohio, 44870</t>
  </si>
  <si>
    <t>2314 Hancock St</t>
  </si>
  <si>
    <t>Hannah Gibbons-Nottingham Elementary School</t>
  </si>
  <si>
    <t>1401 Larchmont Rd, Cleveland, Ohio, 44110</t>
  </si>
  <si>
    <t>1401 Larchmont Rd</t>
  </si>
  <si>
    <t>Hannan Trace Elementary School</t>
  </si>
  <si>
    <t>9345 State Route 218, Crown City, Ohio, 45623</t>
  </si>
  <si>
    <t>9345 State Route 218</t>
  </si>
  <si>
    <t>Crown City</t>
  </si>
  <si>
    <t>45623</t>
  </si>
  <si>
    <t>South Gallia High School</t>
  </si>
  <si>
    <t>55 Rebel Dr, Crown City, Ohio, 45623</t>
  </si>
  <si>
    <t>55 Rebel Dr</t>
  </si>
  <si>
    <t>River Elementary School</t>
  </si>
  <si>
    <t>52558 River High School Road, Hannibal, Ohio, 43931</t>
  </si>
  <si>
    <t>52558 River High School Road</t>
  </si>
  <si>
    <t>Hannibal</t>
  </si>
  <si>
    <t>43931</t>
  </si>
  <si>
    <t>Harter Elementary School</t>
  </si>
  <si>
    <t>317 Raff Rd NW, Canton, Ohio, 44708</t>
  </si>
  <si>
    <t>317 Raff Rd NW</t>
  </si>
  <si>
    <t>Kenton Elementary School</t>
  </si>
  <si>
    <t>631 Silver Street, Kenton, Ohio, 43326</t>
  </si>
  <si>
    <t>631 Silver Street</t>
  </si>
  <si>
    <t>Hardin Houston Elementary School</t>
  </si>
  <si>
    <t>Houston High School</t>
  </si>
  <si>
    <t>Hardin Northern Elementary School</t>
  </si>
  <si>
    <t>Hardin Northern High School</t>
  </si>
  <si>
    <t>Harding Middle School</t>
  </si>
  <si>
    <t>2002 Sunset Blvd, Steubenville, Ohio, 43952</t>
  </si>
  <si>
    <t>2002 Sunset Blvd</t>
  </si>
  <si>
    <t>East Portsmouth Elementary</t>
  </si>
  <si>
    <t>5929 Harding Ave, Sciotoville, Ohio, 45662</t>
  </si>
  <si>
    <t>5929 Harding Ave</t>
  </si>
  <si>
    <t>Sciotoville</t>
  </si>
  <si>
    <t>Harding Elementary School</t>
  </si>
  <si>
    <t>1903 Cordova Ave, Youngstown, Ohio, 44504</t>
  </si>
  <si>
    <t>1903 Cordova Ave</t>
  </si>
  <si>
    <t>44504</t>
  </si>
  <si>
    <t>Harding High School</t>
  </si>
  <si>
    <t>1500 Harding Hwy E, Marion, Ohio, 43302</t>
  </si>
  <si>
    <t>1500 Harding Hwy E</t>
  </si>
  <si>
    <t>Warren G Harding High School</t>
  </si>
  <si>
    <t>860 Elm Rd NE, Warren, Ohio, 44483</t>
  </si>
  <si>
    <t>860 Elm Rd NE</t>
  </si>
  <si>
    <t>Harman Elementary School</t>
  </si>
  <si>
    <t>735 Harman Ave, Dayton, Ohio, 45419</t>
  </si>
  <si>
    <t>735 Harman Ave</t>
  </si>
  <si>
    <t>Marietta Elementary School</t>
  </si>
  <si>
    <t>242 N 7th St, Marietta, Ohio, 45750</t>
  </si>
  <si>
    <t>242 N 7th St</t>
  </si>
  <si>
    <t>Miller Elementary School</t>
  </si>
  <si>
    <t>646 S Chillicothe Rd, Aurora, Ohio, 44202</t>
  </si>
  <si>
    <t>646 S Chillicothe Rd</t>
  </si>
  <si>
    <t>Harris/Jackson Community Learning Center</t>
  </si>
  <si>
    <t>1085 Clifton Ave, Akron, Ohio, 44310</t>
  </si>
  <si>
    <t>1085 Clifton Ave</t>
  </si>
  <si>
    <t>Harrison Elementary School</t>
  </si>
  <si>
    <t>600 E Broadway St, Harrison, Ohio, 45030</t>
  </si>
  <si>
    <t>600 E Broadway St</t>
  </si>
  <si>
    <t>250 Knightsbridge Dr, Hamilton, Ohio, 45011</t>
  </si>
  <si>
    <t>250 Knightsbridge Dr</t>
  </si>
  <si>
    <t>Virginia Stevenson Elementary School</t>
  </si>
  <si>
    <t>805 Old Harshman Rd, Dayton, Ohio, 45431</t>
  </si>
  <si>
    <t>805 Old Harshman Rd</t>
  </si>
  <si>
    <t>STEAMM Academy</t>
  </si>
  <si>
    <t>1824 3rd St SE, Canton, Ohio, 44707</t>
  </si>
  <si>
    <t>1824 3rd St SE</t>
  </si>
  <si>
    <t>Hartwell School</t>
  </si>
  <si>
    <t>8320 Vine St, Cincinnati, Ohio, 45216</t>
  </si>
  <si>
    <t>8320 Vine St</t>
  </si>
  <si>
    <t>Harvard Elementary School</t>
  </si>
  <si>
    <t>1949 Glendale Ave, Toledo, Ohio, 43614</t>
  </si>
  <si>
    <t>1949 Glendale Ave</t>
  </si>
  <si>
    <t>Harvey High School</t>
  </si>
  <si>
    <t>200 W Walnut Ave, Painesville, Ohio, 44077</t>
  </si>
  <si>
    <t>200 W Walnut Ave</t>
  </si>
  <si>
    <t>Harvey Rice Elementary School</t>
  </si>
  <si>
    <t>2730 East 116th, Cleveland, Ohio, 44120</t>
  </si>
  <si>
    <t>2730 East 116th</t>
  </si>
  <si>
    <t>Hastings Middle School</t>
  </si>
  <si>
    <t>1850 Hastings Ln, Upper Arlington, Ohio, 43220</t>
  </si>
  <si>
    <t>1850 Hastings Ln</t>
  </si>
  <si>
    <t>Hatton Community Learning Center</t>
  </si>
  <si>
    <t>1933 Baker Ave, Akron, Ohio, 44312</t>
  </si>
  <si>
    <t>1933 Baker Ave</t>
  </si>
  <si>
    <t>Hawkins Elementary School</t>
  </si>
  <si>
    <t>5550 W Bancroft St, Toledo, Ohio, 43615</t>
  </si>
  <si>
    <t>5550 W Bancroft St</t>
  </si>
  <si>
    <t>43615</t>
  </si>
  <si>
    <t>Hawthorne Elementary School</t>
  </si>
  <si>
    <t>5001 Farview Rd, Columbus, Ohio, 43231</t>
  </si>
  <si>
    <t>5001 Farview Rd</t>
  </si>
  <si>
    <t>43231</t>
  </si>
  <si>
    <t>Hillsdale PK-6</t>
  </si>
  <si>
    <t>Hayward Middle School</t>
  </si>
  <si>
    <t>1700 Clifton Ave, Springfield, Ohio, 45505</t>
  </si>
  <si>
    <t>1700 Clifton Ave</t>
  </si>
  <si>
    <t>Hazel Harvey Elementary School</t>
  </si>
  <si>
    <t>165 Brooklyn Ave, Doylestown, Ohio, 44230</t>
  </si>
  <si>
    <t>165 Brooklyn Ave</t>
  </si>
  <si>
    <t>Heath High School</t>
  </si>
  <si>
    <t>300 Licking View Dr, Heath, Ohio, 43056</t>
  </si>
  <si>
    <t>300 Licking View Dr</t>
  </si>
  <si>
    <t>George Hays-Jennie Porter School</t>
  </si>
  <si>
    <t>1030 Cutter St, Cincinnati, Ohio, 45203</t>
  </si>
  <si>
    <t>1030 Cutter St</t>
  </si>
  <si>
    <t>45203</t>
  </si>
  <si>
    <t>Lakewood Elementary School</t>
  </si>
  <si>
    <t>9380 Lancer Rd, Hebron, Ohio, 43025</t>
  </si>
  <si>
    <t>9380 Lancer Rd</t>
  </si>
  <si>
    <t>Cleveland Heights High School</t>
  </si>
  <si>
    <t>13263 Cedar Rd, Cleveland Heights, Ohio, 44118</t>
  </si>
  <si>
    <t>13263 Cedar Rd</t>
  </si>
  <si>
    <t>Herberich Primary Elementary School</t>
  </si>
  <si>
    <t>2645 Smith Rd, Fairlawn, Ohio, 44333</t>
  </si>
  <si>
    <t>2645 Smith Rd</t>
  </si>
  <si>
    <t>Heritage Hill Elementary School</t>
  </si>
  <si>
    <t>11961 Chesterdale Rd, Cincinnati, Ohio, 45246</t>
  </si>
  <si>
    <t>11961 Chesterdale Rd</t>
  </si>
  <si>
    <t>Heskett Middle School</t>
  </si>
  <si>
    <t>5771 Perkins Rd, Bedford, Ohio, 44146</t>
  </si>
  <si>
    <t>5771 Perkins Rd</t>
  </si>
  <si>
    <t>Heywood Elementary School</t>
  </si>
  <si>
    <t>260 S Ridge Ave, Troy, Ohio, 45373</t>
  </si>
  <si>
    <t>260 S Ridge Ave</t>
  </si>
  <si>
    <t>Hiawatha Elementary School</t>
  </si>
  <si>
    <t>3020 Photos Dr, Toledo, Ohio, 43613</t>
  </si>
  <si>
    <t>3020 Photos Dr</t>
  </si>
  <si>
    <t>Hicksville Elementary School</t>
  </si>
  <si>
    <t>Hicksville High School</t>
  </si>
  <si>
    <t>Southeastern Middle School</t>
  </si>
  <si>
    <t>Washington Primary Elementary School</t>
  </si>
  <si>
    <t>800 N Sunset Dr, Piqua, Ohio, 45356</t>
  </si>
  <si>
    <t>800 N Sunset Dr</t>
  </si>
  <si>
    <t>40 S Highland Ave, Columbus, Ohio, 43223</t>
  </si>
  <si>
    <t>40 S Highland Ave</t>
  </si>
  <si>
    <t>1843 Graham Rd, Stow, Ohio, 44224</t>
  </si>
  <si>
    <t>1843 Graham Rd</t>
  </si>
  <si>
    <t>Highland High School</t>
  </si>
  <si>
    <t>4150 Ridge Rd, Medina, Ohio, 44256</t>
  </si>
  <si>
    <t>4150 Ridge Rd</t>
  </si>
  <si>
    <t>1300 State Route 314, Marengo, Ohio, 43334</t>
  </si>
  <si>
    <t>1300 State Route 314</t>
  </si>
  <si>
    <t>Sam Salem Community Learning Center</t>
  </si>
  <si>
    <t>1222 W Waterloo Rd, Akron, Ohio, 44314</t>
  </si>
  <si>
    <t>1222 W Waterloo Rd</t>
  </si>
  <si>
    <t>44314</t>
  </si>
  <si>
    <t>Hiland High School</t>
  </si>
  <si>
    <t>4400 State Route 39, Millersburg, Ohio, 44654</t>
  </si>
  <si>
    <t>4400 State Route 39</t>
  </si>
  <si>
    <t>David Hill Community Learning Center</t>
  </si>
  <si>
    <t>1060 E Archwood Ave, Akron, Ohio, 44306</t>
  </si>
  <si>
    <t>1060 E Archwood Ave</t>
  </si>
  <si>
    <t>Richfield Elementary School</t>
  </si>
  <si>
    <t>3080 Revere Rd, Richfield, Ohio, 44286</t>
  </si>
  <si>
    <t>3080 Revere Rd</t>
  </si>
  <si>
    <t>Scioto Darby Elementary School</t>
  </si>
  <si>
    <t>5380 Scioto Darby Rd, Hilliard, Ohio, 43026</t>
  </si>
  <si>
    <t>5380 Scioto Darby Rd</t>
  </si>
  <si>
    <t>Hilliard Davidson High School</t>
  </si>
  <si>
    <t>5100 Davidson Rd, Hilliard, Ohio, 43026</t>
  </si>
  <si>
    <t>5100 Davidson Rd</t>
  </si>
  <si>
    <t>Hilliard Heritage Middle School</t>
  </si>
  <si>
    <t>5670 Scioto Darby Rd, Hilliard, Ohio, 43026</t>
  </si>
  <si>
    <t>5670 Scioto Darby Rd</t>
  </si>
  <si>
    <t>Hills Elementary School</t>
  </si>
  <si>
    <t>2281 Wilson Ave, Mingo Junction, Ohio, 43938</t>
  </si>
  <si>
    <t>2281 Wilson Ave</t>
  </si>
  <si>
    <t>Mingo Junction</t>
  </si>
  <si>
    <t>43938</t>
  </si>
  <si>
    <t>Hillsboro High School</t>
  </si>
  <si>
    <t>550 US Route 62, Hillsboro, Ohio, 45133</t>
  </si>
  <si>
    <t>550 US Route 62</t>
  </si>
  <si>
    <t>Hillsdale 7-12</t>
  </si>
  <si>
    <t>Independence Primary School</t>
  </si>
  <si>
    <t>7600 Hillside Rd, Independence, Ohio, 44131</t>
  </si>
  <si>
    <t>7600 Hillside Rd</t>
  </si>
  <si>
    <t>Hillside Middle School</t>
  </si>
  <si>
    <t>1 Educational Park Dr, Seven Hills, Ohio, 44131</t>
  </si>
  <si>
    <t>1 Educational Park Dr</t>
  </si>
  <si>
    <t>Seven Hills</t>
  </si>
  <si>
    <t>Hilltonia Middle School</t>
  </si>
  <si>
    <t>2345 W Mound St, Columbus, Ohio, 43204</t>
  </si>
  <si>
    <t>2345 W Mound St</t>
  </si>
  <si>
    <t>Hilltop Elementary School</t>
  </si>
  <si>
    <t>425 Oliver Rd, Wyoming, Ohio, 45215</t>
  </si>
  <si>
    <t>425 Oliver Rd</t>
  </si>
  <si>
    <t>24524 Hilltop Dr, Beachwood, Ohio, 44122</t>
  </si>
  <si>
    <t>24524 Hilltop Dr</t>
  </si>
  <si>
    <t>Hilltop High School</t>
  </si>
  <si>
    <t>Hill View Elementary School</t>
  </si>
  <si>
    <t>5424 Whiteford Rd, Sylvania, Ohio, 43560</t>
  </si>
  <si>
    <t>5424 Whiteford Rd</t>
  </si>
  <si>
    <t>Hinckley Elementary School</t>
  </si>
  <si>
    <t>1157 Ridge Rd, Hinckley, Ohio, 44233</t>
  </si>
  <si>
    <t>1157 Ridge Rd</t>
  </si>
  <si>
    <t>Hinckley</t>
  </si>
  <si>
    <t>44233</t>
  </si>
  <si>
    <t>Evanston Academy</t>
  </si>
  <si>
    <t>1835 Fairfax Ave, Cincinnati, Ohio, 45207</t>
  </si>
  <si>
    <t>1835 Fairfax Ave</t>
  </si>
  <si>
    <t>45207</t>
  </si>
  <si>
    <t>Holden Elementary School</t>
  </si>
  <si>
    <t>132 W School St, Kent, Ohio, 44240</t>
  </si>
  <si>
    <t>132 W School St</t>
  </si>
  <si>
    <t>Dr John Hole Elementary School</t>
  </si>
  <si>
    <t>180 W Whipp Rd, Dayton, Ohio, 45459</t>
  </si>
  <si>
    <t>180 W Whipp Rd</t>
  </si>
  <si>
    <t>Holgate Elementary School</t>
  </si>
  <si>
    <t>Holgate High School</t>
  </si>
  <si>
    <t>Holland Elementary School</t>
  </si>
  <si>
    <t>7001 Madison Ave, Holland, Ohio, 43528</t>
  </si>
  <si>
    <t>7001 Madison Ave</t>
  </si>
  <si>
    <t>West Carrollton Intermediate School</t>
  </si>
  <si>
    <t>4100 S Dixie Dr, Dayton, Ohio, 45439</t>
  </si>
  <si>
    <t>4100 S Dixie Dr</t>
  </si>
  <si>
    <t>45439</t>
  </si>
  <si>
    <t>Roy E Holmes Elementary School</t>
  </si>
  <si>
    <t>1350 W Truesdell St, Wilmington, Ohio, 45177</t>
  </si>
  <si>
    <t>1350 W Truesdell St</t>
  </si>
  <si>
    <t>Wynford Elementary School</t>
  </si>
  <si>
    <t>3300 Holmes Center Rd, Bucyrus, Ohio, 44820</t>
  </si>
  <si>
    <t>3300 Holmes Center Rd</t>
  </si>
  <si>
    <t>Holmesville Elementary School</t>
  </si>
  <si>
    <t>8141 Jackson Street, Holmesville, Ohio, 44633</t>
  </si>
  <si>
    <t>8141 Jackson Street</t>
  </si>
  <si>
    <t>Holmesville</t>
  </si>
  <si>
    <t>44633</t>
  </si>
  <si>
    <t>Hook Elementary School</t>
  </si>
  <si>
    <t>729 Trade Sq W, Troy, Ohio, 45373</t>
  </si>
  <si>
    <t>729 Trade Sq W</t>
  </si>
  <si>
    <t>Mt. Healthy South Elementary School</t>
  </si>
  <si>
    <t>1743 Adams Rd, Cincinnati, Ohio, 45231</t>
  </si>
  <si>
    <t>1743 Adams Rd</t>
  </si>
  <si>
    <t>Hoover High School</t>
  </si>
  <si>
    <t>Hopewell-Loudon Local Elementary School</t>
  </si>
  <si>
    <t>181 N County Road 7, Bascom, Ohio, 44809</t>
  </si>
  <si>
    <t>181 N County Road 7</t>
  </si>
  <si>
    <t>Bascom</t>
  </si>
  <si>
    <t>Hopewell-Loudon Local High School</t>
  </si>
  <si>
    <t>Hopewell Early Childhood School</t>
  </si>
  <si>
    <t>8300 Cox Rd, West Chester, Ohio, 45069</t>
  </si>
  <si>
    <t>8300 Cox Rd</t>
  </si>
  <si>
    <t>West Chester</t>
  </si>
  <si>
    <t>45069</t>
  </si>
  <si>
    <t>Hopkins Elementary School</t>
  </si>
  <si>
    <t>7565 Hopkins Rd, Mentor, Ohio, 44060</t>
  </si>
  <si>
    <t>7565 Hopkins Rd</t>
  </si>
  <si>
    <t>Horace Mann Elementary School</t>
  </si>
  <si>
    <t>715 Krebs Ave, Dayton, Ohio, 45419</t>
  </si>
  <si>
    <t>715 Krebs Ave</t>
  </si>
  <si>
    <t>Howland High School</t>
  </si>
  <si>
    <t>200 Shaffer Dr NE, Warren, Ohio, 44484</t>
  </si>
  <si>
    <t>200 Shaffer Dr NE</t>
  </si>
  <si>
    <t>Howland Middle School</t>
  </si>
  <si>
    <t>8100 South St SE, Warren, Ohio, 44484</t>
  </si>
  <si>
    <t>8100 South St SE</t>
  </si>
  <si>
    <t>Hubbard High School</t>
  </si>
  <si>
    <t>350 Hall Ave, Hubbard, Ohio, 44425</t>
  </si>
  <si>
    <t>350 Hall Ave</t>
  </si>
  <si>
    <t>Huber Ridge Elementary School</t>
  </si>
  <si>
    <t>5757 Buenos Aires Blvd, Westerville, Ohio, 43081</t>
  </si>
  <si>
    <t>5757 Buenos Aires Blvd</t>
  </si>
  <si>
    <t>Ellsworth Hill Elementary School</t>
  </si>
  <si>
    <t>7750 Stow Rd, Hudson, Ohio, 44236</t>
  </si>
  <si>
    <t>7750 Stow Rd</t>
  </si>
  <si>
    <t>Hudson Middle School</t>
  </si>
  <si>
    <t>83 N Oviatt St, Hudson, Ohio, 44236</t>
  </si>
  <si>
    <t>83 N Oviatt St</t>
  </si>
  <si>
    <t>Hudson High School</t>
  </si>
  <si>
    <t>2500 Hudson Aurora Rd, Hudson, Ohio, 44236</t>
  </si>
  <si>
    <t>2500 Hudson Aurora Rd</t>
  </si>
  <si>
    <t>Hunter Elementary School</t>
  </si>
  <si>
    <t>4418 State Route 122, Franklin, Ohio, 45005</t>
  </si>
  <si>
    <t>4418 State Route 122</t>
  </si>
  <si>
    <t>Huntington Elementary School</t>
  </si>
  <si>
    <t>1931 Huntington Cir, Brunswick, Ohio, 44212</t>
  </si>
  <si>
    <t>1931 Huntington Cir</t>
  </si>
  <si>
    <t>Elm Street Elementary School</t>
  </si>
  <si>
    <t>585 Elm St, Painesville, Ohio, 44077</t>
  </si>
  <si>
    <t>585 Elm St</t>
  </si>
  <si>
    <t>Huntington High School</t>
  </si>
  <si>
    <t>A J Jordak Elementary School</t>
  </si>
  <si>
    <t>16000 E High St # 188, Middlefield, Ohio, 44062</t>
  </si>
  <si>
    <t>16000 E High St # 188</t>
  </si>
  <si>
    <t>Huron High School</t>
  </si>
  <si>
    <t xml:space="preserve">Huy/A.G. Bell Elementary School </t>
  </si>
  <si>
    <t>1545 Huy Rd, Columbus, Ohio, 43224</t>
  </si>
  <si>
    <t>1545 Huy Rd</t>
  </si>
  <si>
    <t>Hyre Community Learning Center</t>
  </si>
  <si>
    <t>2385 Wedgewood Dr, Akron, Ohio, 44312</t>
  </si>
  <si>
    <t>2385 Wedgewood Dr</t>
  </si>
  <si>
    <t>Northmor Elementary School</t>
  </si>
  <si>
    <t>7819 State Route 19, Galion, Ohio, 44833</t>
  </si>
  <si>
    <t>7819 State Route 19</t>
  </si>
  <si>
    <t>Independence High School</t>
  </si>
  <si>
    <t>6001 Archwood Rd, Independence, Ohio, 44131</t>
  </si>
  <si>
    <t>6001 Archwood Rd</t>
  </si>
  <si>
    <t>Independence Middle School</t>
  </si>
  <si>
    <t>6111 Archwood Rd, Independence, Ohio, 44131</t>
  </si>
  <si>
    <t>6111 Archwood Rd</t>
  </si>
  <si>
    <t>Indian Hill High School</t>
  </si>
  <si>
    <t>6865 Drake Rd, Cincinnati, Ohio, 45243</t>
  </si>
  <si>
    <t>6865 Drake Rd</t>
  </si>
  <si>
    <t>Indian Lake Middle School</t>
  </si>
  <si>
    <t>8920 County Road 91, Lewistown, Ohio, 43333</t>
  </si>
  <si>
    <t>8920 County Road 91</t>
  </si>
  <si>
    <t>Indian Lake High School</t>
  </si>
  <si>
    <t>Indian Riffle Elementary School</t>
  </si>
  <si>
    <t>3090 Glengarry Dr, Kettering, Ohio, 45420</t>
  </si>
  <si>
    <t>3090 Glengarry Dr</t>
  </si>
  <si>
    <t>Indian Run Elementary School</t>
  </si>
  <si>
    <t>80 W Bridge St, Dublin, Ohio, 43017</t>
  </si>
  <si>
    <t>80 W Bridge St</t>
  </si>
  <si>
    <t>Indian Springs Elementary School</t>
  </si>
  <si>
    <t>50 E Henderson Rd, Columbus, Ohio, 43214</t>
  </si>
  <si>
    <t>50 E Henderson Rd</t>
  </si>
  <si>
    <t>Greenon Jr. High School</t>
  </si>
  <si>
    <t>Indian Valley High School</t>
  </si>
  <si>
    <t>253 S Walnut St, Gnadenhutten, Ohio, 44629</t>
  </si>
  <si>
    <t>253 S Walnut St</t>
  </si>
  <si>
    <t>Indianola Informal K-8 School</t>
  </si>
  <si>
    <t>251 E Weber Rd, Columbus, Ohio, 43202</t>
  </si>
  <si>
    <t>251 E Weber Rd</t>
  </si>
  <si>
    <t>Innes Community Learning Center</t>
  </si>
  <si>
    <t>1999 East Ave, Akron, Ohio, 44314</t>
  </si>
  <si>
    <t>1999 East Ave</t>
  </si>
  <si>
    <t>Ironton High School</t>
  </si>
  <si>
    <t>1701 S 7th St, Ironton, Ohio, 45638</t>
  </si>
  <si>
    <t>1701 S 7th St</t>
  </si>
  <si>
    <t>610 W 20th St, Lorain, Ohio, 44052</t>
  </si>
  <si>
    <t>610 W 20th St</t>
  </si>
  <si>
    <t>Isham Memorial Elementary School</t>
  </si>
  <si>
    <t>325 Sunset Blvd, Wadsworth, Ohio, 44281</t>
  </si>
  <si>
    <t>325 Sunset Blvd</t>
  </si>
  <si>
    <t>J F Burns Elementary School</t>
  </si>
  <si>
    <t>8471 Columbia Rd, Kings Mills, Ohio, 45034</t>
  </si>
  <si>
    <t>8471 Columbia Rd</t>
  </si>
  <si>
    <t>Jackman Elementary School</t>
  </si>
  <si>
    <t>2010 Northover Rd, Toledo, Ohio, 43613</t>
  </si>
  <si>
    <t>2010 Northover Rd</t>
  </si>
  <si>
    <t>Jackson Center Elementary School</t>
  </si>
  <si>
    <t>Jackson Center High School</t>
  </si>
  <si>
    <t>McComb Local Jr/Sr High School</t>
  </si>
  <si>
    <t>Jackson-Milton Middle School</t>
  </si>
  <si>
    <t>Jackson High School</t>
  </si>
  <si>
    <t>500 Vaughn St, Jackson, Ohio, 45640</t>
  </si>
  <si>
    <t>500 Vaughn St</t>
  </si>
  <si>
    <t>Lakota Middle School</t>
  </si>
  <si>
    <t>7600 Fulton Dr NW, Massillon, Ohio, 44646</t>
  </si>
  <si>
    <t>7600 Fulton Dr NW</t>
  </si>
  <si>
    <t>Jackson-Milton High School</t>
  </si>
  <si>
    <t>Whittier Primary School</t>
  </si>
  <si>
    <t>733 Wyandot St, Findlay, Ohio, 45840</t>
  </si>
  <si>
    <t>733 Wyandot St</t>
  </si>
  <si>
    <t>James Conger Elementary School</t>
  </si>
  <si>
    <t>10 Channing St, Delaware, Ohio, 43015</t>
  </si>
  <si>
    <t>10 Channing St</t>
  </si>
  <si>
    <t>Jasper Elementary School</t>
  </si>
  <si>
    <t>3185 Jasper Rd, Piketon, Ohio, 45661</t>
  </si>
  <si>
    <t>3185 Jasper Rd</t>
  </si>
  <si>
    <t>Jefferson Area Sr High School</t>
  </si>
  <si>
    <t>207 W Mulberry St, Jefferson, Ohio, 44047</t>
  </si>
  <si>
    <t>207 W Mulberry St</t>
  </si>
  <si>
    <t>Jefferson Ave Elementary School</t>
  </si>
  <si>
    <t>4895 Jefferson Ave, Shadyside, Ohio, 43947</t>
  </si>
  <si>
    <t>4895 Jefferson Ave</t>
  </si>
  <si>
    <t>Jefferson Elementary School</t>
  </si>
  <si>
    <t>136 Carpenter Rd, Gahanna, Ohio, 43230</t>
  </si>
  <si>
    <t>136 Carpenter Rd</t>
  </si>
  <si>
    <t>Jefferson Elementary</t>
  </si>
  <si>
    <t>204 W Mulberry St, Jefferson, Ohio, 44047</t>
  </si>
  <si>
    <t>204 W Mulberry St</t>
  </si>
  <si>
    <t>Norwood Elementary School</t>
  </si>
  <si>
    <t>899 Norwood Dr, West Jefferson, Ohio, 43162</t>
  </si>
  <si>
    <t>899 Norwood Dr</t>
  </si>
  <si>
    <t>National Trail Elementary School</t>
  </si>
  <si>
    <t>Jefferson Primary School</t>
  </si>
  <si>
    <t>204 Fairlawn Pl, Findlay, Ohio, 45840</t>
  </si>
  <si>
    <t>204 Fairlawn Pl</t>
  </si>
  <si>
    <t>Chardon Hills Elementary School</t>
  </si>
  <si>
    <t>1750 E 234th St, Euclid, Ohio, 44117</t>
  </si>
  <si>
    <t>1750 E 234th St</t>
  </si>
  <si>
    <t>44117</t>
  </si>
  <si>
    <t>Dresden Elementary School</t>
  </si>
  <si>
    <t>1318 Main St, Dresden, Ohio, 43821</t>
  </si>
  <si>
    <t>1318 Main St</t>
  </si>
  <si>
    <t>35980 Lake Shore Blvd, Eastlake, Ohio, 44095</t>
  </si>
  <si>
    <t>35980 Lake Shore Blvd</t>
  </si>
  <si>
    <t>Bataan Memorial Intermediate School</t>
  </si>
  <si>
    <t>525 W 6th St, Port Clinton, Ohio, 43452</t>
  </si>
  <si>
    <t>525 W 6th St</t>
  </si>
  <si>
    <t>2805 Oakridge Dr, Dayton, Ohio, 45417</t>
  </si>
  <si>
    <t>2805 Oakridge Dr</t>
  </si>
  <si>
    <t>Jefferson Junior High School</t>
  </si>
  <si>
    <t>5530 Whitmer Dr, Toledo, Ohio, 43613</t>
  </si>
  <si>
    <t>5530 Whitmer Dr</t>
  </si>
  <si>
    <t>Van Wert Elementary School</t>
  </si>
  <si>
    <t>10992 State Route 118, Van Wert, Ohio, 45891</t>
  </si>
  <si>
    <t>10992 State Route 118</t>
  </si>
  <si>
    <t>Jefferson Jr./Sr. High School</t>
  </si>
  <si>
    <t>2701 S Union Rd, Dayton, Ohio, 45417</t>
  </si>
  <si>
    <t>2701 S Union Rd</t>
  </si>
  <si>
    <t>Jefferson High School</t>
  </si>
  <si>
    <t>9890 State Route 152, Richmond, Ohio, 43944</t>
  </si>
  <si>
    <t>9890 State Route 152</t>
  </si>
  <si>
    <t>Richmond</t>
  </si>
  <si>
    <t>43944</t>
  </si>
  <si>
    <t>Jennings Community Learning Center</t>
  </si>
  <si>
    <t>227 E Tallmadge Ave, Akron, Ohio, 44310</t>
  </si>
  <si>
    <t>227 E Tallmadge Ave</t>
  </si>
  <si>
    <t>West Elementary School</t>
  </si>
  <si>
    <t>1490 Climbing Fig Dr., Blacklick, Ohio, 43004</t>
  </si>
  <si>
    <t>1490 Climbing Fig Dr.</t>
  </si>
  <si>
    <t>Blacklick</t>
  </si>
  <si>
    <t>43004</t>
  </si>
  <si>
    <t>Jerusalem Elementary School</t>
  </si>
  <si>
    <t>535 S Yondota Rd, Curtice, Ohio, 43412</t>
  </si>
  <si>
    <t>535 S Yondota Rd</t>
  </si>
  <si>
    <t>Curtice</t>
  </si>
  <si>
    <t>43412</t>
  </si>
  <si>
    <t>John E Gregg Elementary School</t>
  </si>
  <si>
    <t>212 County Road 75a, Bergholz, Ohio, 43908</t>
  </si>
  <si>
    <t>212 County Road 75a</t>
  </si>
  <si>
    <t>Bergholz</t>
  </si>
  <si>
    <t>43908</t>
  </si>
  <si>
    <t>John Foster Dulles Elementary School</t>
  </si>
  <si>
    <t>6481 Bridgetown Rd, Cincinnati, Ohio, 45248</t>
  </si>
  <si>
    <t>6481 Bridgetown Rd</t>
  </si>
  <si>
    <t>Cleveland Early College High</t>
  </si>
  <si>
    <t>2075 Stokes Blvd, Cleveland, Ohio, 44106</t>
  </si>
  <si>
    <t>2075 Stokes Blvd</t>
  </si>
  <si>
    <t>John Muir Elementary School</t>
  </si>
  <si>
    <t>5531 W 24th St, Parma, Ohio, 44134</t>
  </si>
  <si>
    <t>5531 W 24th St</t>
  </si>
  <si>
    <t>John R Lea Middle School</t>
  </si>
  <si>
    <t>9130 Dover Rd, Apple Creek, Ohio, 44606</t>
  </si>
  <si>
    <t>9130 Dover Rd</t>
  </si>
  <si>
    <t>Barberton Primary School</t>
  </si>
  <si>
    <t>1151 Shannon Ave, Barberton, Ohio, 44203</t>
  </si>
  <si>
    <t>1151 Shannon Ave</t>
  </si>
  <si>
    <t>Johnson Park Middle School</t>
  </si>
  <si>
    <t>1130 S Waverly St, Columbus, Ohio, 43227</t>
  </si>
  <si>
    <t>1130 S Waverly St</t>
  </si>
  <si>
    <t>43227</t>
  </si>
  <si>
    <t>Johnstown Middle School</t>
  </si>
  <si>
    <t>401 S Oregon St, Johnstown, Ohio, 43031</t>
  </si>
  <si>
    <t>401 S Oregon St</t>
  </si>
  <si>
    <t>Johnstown High School</t>
  </si>
  <si>
    <t>445 S Main St, Johnstown, Ohio, 43031</t>
  </si>
  <si>
    <t>445 S Main St</t>
  </si>
  <si>
    <t>Jonathan Alder High School</t>
  </si>
  <si>
    <t>9200 US Route 42 S, Plain City, Ohio, 43064</t>
  </si>
  <si>
    <t>9200 US Route 42 S</t>
  </si>
  <si>
    <t>Jones Leadership Academy of Business</t>
  </si>
  <si>
    <t>430 Nebraska Ave, Toledo, Ohio, 43604</t>
  </si>
  <si>
    <t>430 Nebraska Ave</t>
  </si>
  <si>
    <t>Jones Middle School</t>
  </si>
  <si>
    <t>2100 Arlington Ave, Upper Arlington, Ohio, 43221</t>
  </si>
  <si>
    <t>2100 Arlington Ave</t>
  </si>
  <si>
    <t>Junction City Elementary School</t>
  </si>
  <si>
    <t>307 Poplar Street, Junction City, Ohio, 43748</t>
  </si>
  <si>
    <t>307 Poplar Street</t>
  </si>
  <si>
    <t>Junction City</t>
  </si>
  <si>
    <t>43748</t>
  </si>
  <si>
    <t>Fairless Middle School</t>
  </si>
  <si>
    <t>11836 Navarre Rd SW, Navarre, Ohio, 44662</t>
  </si>
  <si>
    <t>11836 Navarre Rd SW</t>
  </si>
  <si>
    <t>Navarre</t>
  </si>
  <si>
    <t>44662</t>
  </si>
  <si>
    <t>Kae Avenue Elementary School</t>
  </si>
  <si>
    <t>4738 Kae Ave, Whitehall, Ohio, 43213</t>
  </si>
  <si>
    <t>4738 Kae Ave</t>
  </si>
  <si>
    <t>Kalida Elementary School</t>
  </si>
  <si>
    <t>208 North Fourth Street, Kalida, Ohio, 45853</t>
  </si>
  <si>
    <t>208 North Fourth Street</t>
  </si>
  <si>
    <t>Kalida High School</t>
  </si>
  <si>
    <t>301 N Third St, Kalida, Ohio, 45853</t>
  </si>
  <si>
    <t>301 N Third St</t>
  </si>
  <si>
    <t>Kelleys Island Elementary School</t>
  </si>
  <si>
    <t>Kelleys Island High School</t>
  </si>
  <si>
    <t>Kemp Elementary School</t>
  </si>
  <si>
    <t>1923 Gondert Ave, Dayton, Ohio, 45403</t>
  </si>
  <si>
    <t>1923 Gondert Ave</t>
  </si>
  <si>
    <t>45403</t>
  </si>
  <si>
    <t>J F Kennedy Elementary School</t>
  </si>
  <si>
    <t>5030 Polen Dr, Kettering, Ohio, 45440</t>
  </si>
  <si>
    <t>5030 Polen Dr</t>
  </si>
  <si>
    <t>45440</t>
  </si>
  <si>
    <t>Kensington Intermediate Elementary School</t>
  </si>
  <si>
    <t>20140 Lake Rd, Rocky River, Ohio, 44116</t>
  </si>
  <si>
    <t>20140 Lake Rd</t>
  </si>
  <si>
    <t>Kenston High School</t>
  </si>
  <si>
    <t>9500 Bainbridge Rd, Chagrin Falls, Ohio, 44023</t>
  </si>
  <si>
    <t>9500 Bainbridge Rd</t>
  </si>
  <si>
    <t>Kenston Middle School</t>
  </si>
  <si>
    <t>17425 Snyder Rd, Chagrin Falls, Ohio, 44023</t>
  </si>
  <si>
    <t>17425 Snyder Rd</t>
  </si>
  <si>
    <t>731 E Home Rd, Springfield, Ohio, 45503</t>
  </si>
  <si>
    <t>731 E Home Rd</t>
  </si>
  <si>
    <t>45503</t>
  </si>
  <si>
    <t>Arrowood Elementary</t>
  </si>
  <si>
    <t>1588 Pawnee Dr, Xenia, Ohio, 45385</t>
  </si>
  <si>
    <t>1588 Pawnee Dr</t>
  </si>
  <si>
    <t>Kenton High School</t>
  </si>
  <si>
    <t>200 Harding Ave, Kenton, Ohio, 43326</t>
  </si>
  <si>
    <t>200 Harding Ave</t>
  </si>
  <si>
    <t>Kenton Middle School</t>
  </si>
  <si>
    <t>300 Oriental St, Kenton, Ohio, 43326</t>
  </si>
  <si>
    <t>300 Oriental St</t>
  </si>
  <si>
    <t>Ecole Kenwood French Immersion</t>
  </si>
  <si>
    <t>3770 Shattuck Ave, Columbus, Ohio, 43220</t>
  </si>
  <si>
    <t>3770 Shattuck Ave</t>
  </si>
  <si>
    <t>Kenwood Elementary School</t>
  </si>
  <si>
    <t>710 Kenwood Ave, Bowling Green, Ohio, 43402</t>
  </si>
  <si>
    <t>710 Kenwood Ave</t>
  </si>
  <si>
    <t>Kenwood Elementary</t>
  </si>
  <si>
    <t>1421 Nagley St, Springfield, Ohio, 45505</t>
  </si>
  <si>
    <t>1421 Nagley St</t>
  </si>
  <si>
    <t>Kettering Middle School</t>
  </si>
  <si>
    <t>3000 Glengarry Dr, Kettering, Ohio, 45420</t>
  </si>
  <si>
    <t>3000 Glengarry Dr</t>
  </si>
  <si>
    <t>Kettering Fairmont High School</t>
  </si>
  <si>
    <t>3301 Shroyer Rd, Kettering, Ohio, 45429</t>
  </si>
  <si>
    <t>3301 Shroyer Rd</t>
  </si>
  <si>
    <t>Keyser Elementary School</t>
  </si>
  <si>
    <t>3900 Hill Ave, Toledo, Ohio, 43607</t>
  </si>
  <si>
    <t>3900 Hill Ave</t>
  </si>
  <si>
    <t>43607</t>
  </si>
  <si>
    <t>Keystone High School</t>
  </si>
  <si>
    <t>580 Opportunity Way, Lagrange, Ohio, 44050</t>
  </si>
  <si>
    <t>580 Opportunity Way</t>
  </si>
  <si>
    <t>Kilgour School</t>
  </si>
  <si>
    <t>1339 Herschel Ave, Cincinnati, Ohio, 45208</t>
  </si>
  <si>
    <t>1339 Herschel Ave</t>
  </si>
  <si>
    <t>45208</t>
  </si>
  <si>
    <t>Killbuck Elementary School</t>
  </si>
  <si>
    <t>299 School St, Killbuck, Ohio, 44637</t>
  </si>
  <si>
    <t>299 School St</t>
  </si>
  <si>
    <t>Killbuck</t>
  </si>
  <si>
    <t>44637</t>
  </si>
  <si>
    <t>Kinder Elementary School</t>
  </si>
  <si>
    <t>536 E Central Ave, Miamisburg, Ohio, 45342</t>
  </si>
  <si>
    <t>536 E Central Ave</t>
  </si>
  <si>
    <t>King Community Learning Center</t>
  </si>
  <si>
    <t>805 Memorial Pkwy, Akron, Ohio, 44303</t>
  </si>
  <si>
    <t>805 Memorial Pkwy</t>
  </si>
  <si>
    <t>44303</t>
  </si>
  <si>
    <t>Kings Junior High School</t>
  </si>
  <si>
    <t>5620 Columbia Rd, Kings Mills, Ohio, 45034</t>
  </si>
  <si>
    <t>5620 Columbia Rd</t>
  </si>
  <si>
    <t>Kings Mills Elementary School</t>
  </si>
  <si>
    <t>1780 King Ave, Kings Mills, Ohio, 45034</t>
  </si>
  <si>
    <t>1780 King Ave</t>
  </si>
  <si>
    <t>Zane Trace Middle School</t>
  </si>
  <si>
    <t>Kingsville Elementary School</t>
  </si>
  <si>
    <t>5875 State Route 193, Kingsville, Ohio, 44048</t>
  </si>
  <si>
    <t>5875 State Route 193</t>
  </si>
  <si>
    <t>Kingsville</t>
  </si>
  <si>
    <t>44048</t>
  </si>
  <si>
    <t>Kirkersville Elementary School</t>
  </si>
  <si>
    <t>8808 Watkins Rd SW, Etna, Ohio, 43062</t>
  </si>
  <si>
    <t>8808 Watkins Rd SW</t>
  </si>
  <si>
    <t>Etna</t>
  </si>
  <si>
    <t>The Bridgeport School DIstrict - Middle School</t>
  </si>
  <si>
    <t>Kirtland Elementary School</t>
  </si>
  <si>
    <t>9140 Chillicothe Rd, Kirtland, Ohio, 44094</t>
  </si>
  <si>
    <t>9140 Chillicothe Rd</t>
  </si>
  <si>
    <t>Kirtland High School</t>
  </si>
  <si>
    <t>9150 Chillicothe Rd, Kirtland, Ohio, 44094</t>
  </si>
  <si>
    <t>9150 Chillicothe Rd</t>
  </si>
  <si>
    <t>Kirtland Middle School</t>
  </si>
  <si>
    <t>9152 Chillicothe Rd, Kirtland, Ohio, 44094</t>
  </si>
  <si>
    <t>9152 Chillicothe Rd</t>
  </si>
  <si>
    <t>Knollwood Elementary School</t>
  </si>
  <si>
    <t>4975 Oster Rd, Sheffield Village, Ohio, 44054</t>
  </si>
  <si>
    <t>4975 Oster Rd</t>
  </si>
  <si>
    <t>West Branch Early Learning Center</t>
  </si>
  <si>
    <t>14405 Pricetown Rd, Salem, Ohio, 44460</t>
  </si>
  <si>
    <t>14405 Pricetown Rd</t>
  </si>
  <si>
    <t>Kramer Elementary School</t>
  </si>
  <si>
    <t>400 W Sycamore St, Oxford, Ohio, 45056</t>
  </si>
  <si>
    <t>400 W Sycamore St</t>
  </si>
  <si>
    <t>Krout 2-3 Elementary</t>
  </si>
  <si>
    <t>20 Glenn St, Tiffin, Ohio, 44883</t>
  </si>
  <si>
    <t>20 Glenn St</t>
  </si>
  <si>
    <t>River Valley High School</t>
  </si>
  <si>
    <t>8785 State Route 160, Bidwell, Ohio, 45614</t>
  </si>
  <si>
    <t>8785 State Route 160</t>
  </si>
  <si>
    <t>Kyle Elementary School</t>
  </si>
  <si>
    <t>501 S Plum St, Troy, Ohio, 45373</t>
  </si>
  <si>
    <t>501 S Plum St</t>
  </si>
  <si>
    <t>Lacroft Elementary School</t>
  </si>
  <si>
    <t>2460 Boring Ln, East Liverpool, Ohio, 43920</t>
  </si>
  <si>
    <t>2460 Boring Ln</t>
  </si>
  <si>
    <t>Cleveland School of Architecture &amp; Design</t>
  </si>
  <si>
    <t>Lagonda Elementary School</t>
  </si>
  <si>
    <t>800 E McCreight Ave, Springfield, Ohio, 45503</t>
  </si>
  <si>
    <t>800 E McCreight Ave</t>
  </si>
  <si>
    <t>Keystone Middle School</t>
  </si>
  <si>
    <t>501 Opportunity Way, Lagrange, Ohio, 44050</t>
  </si>
  <si>
    <t>501 Opportunity Way</t>
  </si>
  <si>
    <t>Lake Cable Elementary School</t>
  </si>
  <si>
    <t>5335 Villa Padova Dr NW, Canton, Ohio, 44718</t>
  </si>
  <si>
    <t>5335 Villa Padova Dr NW</t>
  </si>
  <si>
    <t>44718</t>
  </si>
  <si>
    <t>Lake Elementary School</t>
  </si>
  <si>
    <t>28150 Lemoyne Rd, Millbury, Ohio, 43447</t>
  </si>
  <si>
    <t>28150 Lemoyne Rd</t>
  </si>
  <si>
    <t>Lake High School</t>
  </si>
  <si>
    <t>28080 Lemoyne Rd, Millbury, Ohio, 43447</t>
  </si>
  <si>
    <t>28080 Lemoyne Rd</t>
  </si>
  <si>
    <t>Lake Middle School</t>
  </si>
  <si>
    <t>28100 Lemoyne Rd, Millbury, Ohio, 43447</t>
  </si>
  <si>
    <t>28100 Lemoyne Rd</t>
  </si>
  <si>
    <t>Winton Woods Primary</t>
  </si>
  <si>
    <t>Admiral King Elementary School</t>
  </si>
  <si>
    <t>720 Washington Ave, Lorain, Ohio, 44052</t>
  </si>
  <si>
    <t>720 Washington Ave</t>
  </si>
  <si>
    <t>Indian Lake Elementary School</t>
  </si>
  <si>
    <t>8770 Co Rd 91, Lewistown, Ohio, 43333</t>
  </si>
  <si>
    <t>8770 Co Rd 91</t>
  </si>
  <si>
    <t>Lakeview High School</t>
  </si>
  <si>
    <t>Lakeville Elementary School</t>
  </si>
  <si>
    <t>14059 State Route 226, Lakeville, Ohio, 44638</t>
  </si>
  <si>
    <t>14059 State Route 226</t>
  </si>
  <si>
    <t>Lakeville</t>
  </si>
  <si>
    <t>44638</t>
  </si>
  <si>
    <t>Lakewood High School</t>
  </si>
  <si>
    <t>14100 Franklin Blvd, Lakewood, Ohio, 44107</t>
  </si>
  <si>
    <t>14100 Franklin Blvd</t>
  </si>
  <si>
    <t>9331 Lancer Rd, Hebron, Ohio, 43025</t>
  </si>
  <si>
    <t>9331 Lancer Rd</t>
  </si>
  <si>
    <t>Lakewood Middle School</t>
  </si>
  <si>
    <t>5222 National Rd SE, Hebron, Ohio, 43025</t>
  </si>
  <si>
    <t>5222 National Rd SE</t>
  </si>
  <si>
    <t>Lakota Elementary School</t>
  </si>
  <si>
    <t>Liberty Junior School</t>
  </si>
  <si>
    <t>7055 Dutchland Blvd, Liberty Township, Ohio, 45044</t>
  </si>
  <si>
    <t>7055 Dutchland Blvd</t>
  </si>
  <si>
    <t>Lakota West High School</t>
  </si>
  <si>
    <t>8940 Union Centre Blvd, West Chester, Ohio, 45069</t>
  </si>
  <si>
    <t>8940 Union Centre Blvd</t>
  </si>
  <si>
    <t>Lakota High School</t>
  </si>
  <si>
    <t>Lancaster High School</t>
  </si>
  <si>
    <t>1312 Granville Pike, Lancaster, Ohio, 43130</t>
  </si>
  <si>
    <t>1312 Granville Pike</t>
  </si>
  <si>
    <t>Lander Elementary</t>
  </si>
  <si>
    <t>1714 Lander Rd, Cleveland, Ohio, 44124</t>
  </si>
  <si>
    <t>1714 Lander Rd</t>
  </si>
  <si>
    <t>Twin Valley South Middle School</t>
  </si>
  <si>
    <t>Larchmont Elementary School</t>
  </si>
  <si>
    <t>1515 Slater St, Toledo, Ohio, 43612</t>
  </si>
  <si>
    <t>1515 Slater St</t>
  </si>
  <si>
    <t>43612</t>
  </si>
  <si>
    <t>Larkmoor Elementary School</t>
  </si>
  <si>
    <t>1201 Nebraska, Lorain, Ohio, 44052</t>
  </si>
  <si>
    <t>1201 Nebraska</t>
  </si>
  <si>
    <t>Maple Elementary School</t>
  </si>
  <si>
    <t>560 W Jackson St, Painesville, Ohio, 44077</t>
  </si>
  <si>
    <t>560 W Jackson St</t>
  </si>
  <si>
    <t>League Elementary School</t>
  </si>
  <si>
    <t>16 E League St, Norwalk, Ohio, 44857</t>
  </si>
  <si>
    <t>16 E League St</t>
  </si>
  <si>
    <t>LaBrae Middle School</t>
  </si>
  <si>
    <t>LaBrae High School</t>
  </si>
  <si>
    <t>Leawood Elementary School</t>
  </si>
  <si>
    <t>1677 S Hamilton Rd, Columbus, Ohio, 43227</t>
  </si>
  <si>
    <t>1677 S Hamilton Rd</t>
  </si>
  <si>
    <t>Lebanon High School</t>
  </si>
  <si>
    <t>1916 Drake Rd, Lebanon, Ohio, 45036</t>
  </si>
  <si>
    <t>1916 Drake Rd</t>
  </si>
  <si>
    <t>Ledgeview Elementary School</t>
  </si>
  <si>
    <t>9130 Shepard Rd, Macedonia, Ohio, 44056</t>
  </si>
  <si>
    <t>9130 Shepard Rd</t>
  </si>
  <si>
    <t>Macedonia</t>
  </si>
  <si>
    <t>44056</t>
  </si>
  <si>
    <t>Lee Burneson Middle School</t>
  </si>
  <si>
    <t>2260 Dover Center Rd, Westlake, Ohio, 44145</t>
  </si>
  <si>
    <t>2260 Dover Center Rd</t>
  </si>
  <si>
    <t>Leetonia Jr./Sr. High School</t>
  </si>
  <si>
    <t>Leggett Community Learning Center</t>
  </si>
  <si>
    <t>333 E Thornton St, Akron, Ohio, 44311</t>
  </si>
  <si>
    <t>333 E Thornton St</t>
  </si>
  <si>
    <t>44311</t>
  </si>
  <si>
    <t>Leipsic Elementary School</t>
  </si>
  <si>
    <t>Leipsic High School</t>
  </si>
  <si>
    <t>Falls-Lenox Primary Elementary School</t>
  </si>
  <si>
    <t>26450 Bagley Rd, Olmsted Falls, Ohio, 44138</t>
  </si>
  <si>
    <t>26450 Bagley Rd</t>
  </si>
  <si>
    <t>Leona Ave Middle School</t>
  </si>
  <si>
    <t>3795 Leona Ave, Shadyside, Ohio, 43947</t>
  </si>
  <si>
    <t>3795 Leona Ave</t>
  </si>
  <si>
    <t>Parkside Elementary School</t>
  </si>
  <si>
    <t>12428 Concord Hambden Rd, Concord Twp, Ohio, 44077</t>
  </si>
  <si>
    <t>12428 Concord Hambden Rd</t>
  </si>
  <si>
    <t>Concord Twp</t>
  </si>
  <si>
    <t>Tri-County North Elementary School</t>
  </si>
  <si>
    <t>Lexington Elementary School</t>
  </si>
  <si>
    <t>12333 Atwater Ave NE, Alliance, Ohio, 44601</t>
  </si>
  <si>
    <t>12333 Atwater Ave NE</t>
  </si>
  <si>
    <t>Lexington High School</t>
  </si>
  <si>
    <t>Lewis F Mayer Middle School</t>
  </si>
  <si>
    <t>21200 Campus Drive, Fairview Park, Ohio, 44126</t>
  </si>
  <si>
    <t>21200 Campus Drive</t>
  </si>
  <si>
    <t>Liberty Center Elementary School</t>
  </si>
  <si>
    <t>Liberty Center High School</t>
  </si>
  <si>
    <t>Liberty Early Childhood School</t>
  </si>
  <si>
    <t>6040 Princeton Rd, Liberty Twp, Ohio, 45011</t>
  </si>
  <si>
    <t>6040 Princeton Rd</t>
  </si>
  <si>
    <t>Liberty Twp</t>
  </si>
  <si>
    <t>Liberty High School</t>
  </si>
  <si>
    <t>1 Leopard Way, Youngstown, Ohio, 44505</t>
  </si>
  <si>
    <t>1 Leopard Way</t>
  </si>
  <si>
    <t>Liberty Union Elementary School</t>
  </si>
  <si>
    <t>1000 S Main St, Baltimore, Ohio, 43105</t>
  </si>
  <si>
    <t>1000 S Main St</t>
  </si>
  <si>
    <t>Liberty Union High School</t>
  </si>
  <si>
    <t>500 W Washington St, Baltimore, Ohio, 43105</t>
  </si>
  <si>
    <t>500 W Washington St</t>
  </si>
  <si>
    <t>Liberty-Benton Elementary School</t>
  </si>
  <si>
    <t>9250 County Road 9, Findlay, Ohio, 45840</t>
  </si>
  <si>
    <t>9250 County Road 9</t>
  </si>
  <si>
    <t>Liberty-Benton High School</t>
  </si>
  <si>
    <t>Jackson Middle School</t>
  </si>
  <si>
    <t>21 Tropic St, Jackson, Ohio, 45640</t>
  </si>
  <si>
    <t>21 Tropic St</t>
  </si>
  <si>
    <t>Licking Heights High School</t>
  </si>
  <si>
    <t>4101 Summit Rd SW, Pataskala, Ohio, 43062</t>
  </si>
  <si>
    <t>4101 Summit Rd SW</t>
  </si>
  <si>
    <t>Licking Valley Middle School</t>
  </si>
  <si>
    <t>Licking Valley High School</t>
  </si>
  <si>
    <t>100 Hainsview Dr, Newark, Ohio, 43055</t>
  </si>
  <si>
    <t>100 Hainsview Dr</t>
  </si>
  <si>
    <t>Barberton Middle School</t>
  </si>
  <si>
    <t>477 4th St NW, Barberton, Ohio, 44203</t>
  </si>
  <si>
    <t>477 4th St NW</t>
  </si>
  <si>
    <t>Van Wert Middle School</t>
  </si>
  <si>
    <t>10694 State Route 118, Van Wert, Ohio, 45891</t>
  </si>
  <si>
    <t>10694 State Route 118</t>
  </si>
  <si>
    <t>Lincoln Elementary School</t>
  </si>
  <si>
    <t>3131 Bailey Rd, Cuyahoga Falls, Ohio, 44221</t>
  </si>
  <si>
    <t>3131 Bailey Rd</t>
  </si>
  <si>
    <t>Arbor Elementary School</t>
  </si>
  <si>
    <t>20400 Arbor Avenue, Euclid, Ohio, 44119</t>
  </si>
  <si>
    <t>20400 Arbor Avenue</t>
  </si>
  <si>
    <t>44119</t>
  </si>
  <si>
    <t>Niles Primary School</t>
  </si>
  <si>
    <t>960 Frederick St, Niles, Ohio, 44446</t>
  </si>
  <si>
    <t>960 Frederick St</t>
  </si>
  <si>
    <t>Wickliffe Lower School</t>
  </si>
  <si>
    <t>2255 Rockefeller Rd, Wickliffe, Ohio, 44092</t>
  </si>
  <si>
    <t>2255 Rockefeller Rd</t>
  </si>
  <si>
    <t>280 N Lyman St, Wadsworth, Ohio, 44281</t>
  </si>
  <si>
    <t>280 N Lyman St</t>
  </si>
  <si>
    <t>1500 Tibbetts Ave, Springfield, Ohio, 45505</t>
  </si>
  <si>
    <t>1500 Tibbetts Ave</t>
  </si>
  <si>
    <t>15615 Clifton Blvd, Lakewood, Ohio, 44107</t>
  </si>
  <si>
    <t>15615 Clifton Blvd</t>
  </si>
  <si>
    <t>261 Helmbright Dr, Gahanna, Ohio, 43230</t>
  </si>
  <si>
    <t>261 Helmbright Dr</t>
  </si>
  <si>
    <t>Lincoln High School</t>
  </si>
  <si>
    <t>140 S Hamilton Rd, Gahanna, Ohio, 43230</t>
  </si>
  <si>
    <t>140 S Hamilton Rd</t>
  </si>
  <si>
    <t>Lincoln Heights Elementary School</t>
  </si>
  <si>
    <t>1113 Adams St, Cincinnati, Ohio, 45215</t>
  </si>
  <si>
    <t>1113 Adams St</t>
  </si>
  <si>
    <t>Gahanna East Middle School</t>
  </si>
  <si>
    <t>730 Clotts Rd, Gahanna, Ohio, 43230</t>
  </si>
  <si>
    <t>730 Clotts Rd</t>
  </si>
  <si>
    <t>Lincoln Park Elementary School</t>
  </si>
  <si>
    <t>579 E Markison Ave, Columbus, Ohio, 43207</t>
  </si>
  <si>
    <t>579 E Markison Ave</t>
  </si>
  <si>
    <t>Lincolnview Jr/Sr High School</t>
  </si>
  <si>
    <t>Lindbergh Elementary School</t>
  </si>
  <si>
    <t>2541 Lindbergh Dr, Columbus, Ohio, 43223</t>
  </si>
  <si>
    <t>2541 Lindbergh Dr</t>
  </si>
  <si>
    <t>Linden STEM Academy (K-6)</t>
  </si>
  <si>
    <t>2626 Cleveland Ave, Columbus, Ohio, 43211</t>
  </si>
  <si>
    <t>2626 Cleveland Ave</t>
  </si>
  <si>
    <t>Linden-McKinley STEM Academy</t>
  </si>
  <si>
    <t>1320 Duxberry Ave, Columbus, Ohio, 43211</t>
  </si>
  <si>
    <t>1320 Duxberry Ave</t>
  </si>
  <si>
    <t>Litchfield Community Learning Center</t>
  </si>
  <si>
    <t>Warren Elementary School</t>
  </si>
  <si>
    <t>60 Warrior Dr, Vincent, Ohio, 45784</t>
  </si>
  <si>
    <t>60 Warrior Dr</t>
  </si>
  <si>
    <t>Little Miami High School</t>
  </si>
  <si>
    <t>3001 E US 22-3, Morrow, Ohio, 45152</t>
  </si>
  <si>
    <t>3001 E US 22-3</t>
  </si>
  <si>
    <t>45152</t>
  </si>
  <si>
    <t>Little Miami Middle School</t>
  </si>
  <si>
    <t>5290 Morrow Cozaddale Rd, Morrow, Ohio, 45152</t>
  </si>
  <si>
    <t>5290 Morrow Cozaddale Rd</t>
  </si>
  <si>
    <t>Buckeye Intermediate School</t>
  </si>
  <si>
    <t>3140 Columbia Rd, Medina, Ohio, 44256</t>
  </si>
  <si>
    <t>3140 Columbia Rd</t>
  </si>
  <si>
    <t>Livingston Elementary School</t>
  </si>
  <si>
    <t>825 E Livingston Ave, Columbus, Ohio, 43205</t>
  </si>
  <si>
    <t>825 E Livingston Ave</t>
  </si>
  <si>
    <t>Loveland Early Childhood Center</t>
  </si>
  <si>
    <t>6740 Loveland Miamiville Rd, Loveland, Ohio, 45140</t>
  </si>
  <si>
    <t>6740 Loveland Miamiville Rd</t>
  </si>
  <si>
    <t>Lockland Elementary School</t>
  </si>
  <si>
    <t>125 S Cooper Ave, Lockland, Ohio, 45215</t>
  </si>
  <si>
    <t>125 S Cooper Ave</t>
  </si>
  <si>
    <t>Lockland</t>
  </si>
  <si>
    <t>Lockland Junior Senior High School</t>
  </si>
  <si>
    <t>249 W Forrer St, Lockland, Ohio, 45215</t>
  </si>
  <si>
    <t>249 W Forrer St</t>
  </si>
  <si>
    <t>Rodger O. Borror Middle School</t>
  </si>
  <si>
    <t>275 Thorne Ave, Wilmington, Ohio, 45177</t>
  </si>
  <si>
    <t>275 Thorne Ave</t>
  </si>
  <si>
    <t>Logan Elm High School</t>
  </si>
  <si>
    <t>9511 Tarlton Rd, Circleville, Ohio, 43113</t>
  </si>
  <si>
    <t>9511 Tarlton Rd</t>
  </si>
  <si>
    <t>Benjamin Logan High School</t>
  </si>
  <si>
    <t>6609 State Route 47 E, Bellefontaine, Ohio, 43311</t>
  </si>
  <si>
    <t>6609 State Route 47 E</t>
  </si>
  <si>
    <t>Logan High School</t>
  </si>
  <si>
    <t>14470 State Route 328, Logan, Ohio, 43138</t>
  </si>
  <si>
    <t>14470 State Route 328</t>
  </si>
  <si>
    <t>Lohr Elementary School</t>
  </si>
  <si>
    <t>5300 Richville Dr SW, Navarre, Ohio, 44662</t>
  </si>
  <si>
    <t>5300 Richville Dr SW</t>
  </si>
  <si>
    <t>Lomond Elementary School</t>
  </si>
  <si>
    <t>17917 Lomond Blvd, Shaker Heights, Ohio, 44122</t>
  </si>
  <si>
    <t>17917 Lomond Blvd</t>
  </si>
  <si>
    <t>London High School</t>
  </si>
  <si>
    <t>336 Elm St, London, Ohio, 43140</t>
  </si>
  <si>
    <t>336 Elm St</t>
  </si>
  <si>
    <t>Southeastern Elementary School</t>
  </si>
  <si>
    <t>Longcoy Elementary School</t>
  </si>
  <si>
    <t>1069 Elno Ave, Kent, Ohio, 44240</t>
  </si>
  <si>
    <t>1069 Elno Ave</t>
  </si>
  <si>
    <t>Longfellow Primary School</t>
  </si>
  <si>
    <t>1250 Park St, Sidney, Ohio, 45365</t>
  </si>
  <si>
    <t>1250 Park St</t>
  </si>
  <si>
    <t>Longfellow Elementary School</t>
  </si>
  <si>
    <t>35200 Stevens Blvd, Eastlake, Ohio, 44095</t>
  </si>
  <si>
    <t>35200 Stevens Blvd</t>
  </si>
  <si>
    <t>1955 W Laskey Rd, Toledo, Ohio, 43613</t>
  </si>
  <si>
    <t>1955 W Laskey Rd</t>
  </si>
  <si>
    <t>Dayton Digital Academy</t>
  </si>
  <si>
    <t>354 Mound St, Dayton, Ohio, 45402</t>
  </si>
  <si>
    <t>354 Mound St</t>
  </si>
  <si>
    <t>Lordstown Elementary School</t>
  </si>
  <si>
    <t>1776 Salt Springs Rd, Warren, Ohio, 44481</t>
  </si>
  <si>
    <t>1776 Salt Springs Rd</t>
  </si>
  <si>
    <t>Lordstown High School</t>
  </si>
  <si>
    <t>Loudonville High School</t>
  </si>
  <si>
    <t>421 Campus Ave, Loudonville, Ohio, 44842</t>
  </si>
  <si>
    <t>421 Campus Ave</t>
  </si>
  <si>
    <t>Mary Church Terrell</t>
  </si>
  <si>
    <t>3595 Bosworth Rd, Cleveland, Ohio, 44111</t>
  </si>
  <si>
    <t>3595 Bosworth Rd</t>
  </si>
  <si>
    <t xml:space="preserve">Franklin D. Roosevelt  </t>
  </si>
  <si>
    <t>800 Linn Dr, Cleveland, Ohio, 44108</t>
  </si>
  <si>
    <t>800 Linn Dr</t>
  </si>
  <si>
    <t>Louisa May Alcott Elementary School</t>
  </si>
  <si>
    <t>10308 Baltic Rd, Cleveland, Ohio, 44102</t>
  </si>
  <si>
    <t>10308 Baltic Rd</t>
  </si>
  <si>
    <t>Louisville Elementary School</t>
  </si>
  <si>
    <t>415 N Nickelplate St, Louisville, Ohio, 44641</t>
  </si>
  <si>
    <t>415 N Nickelplate St</t>
  </si>
  <si>
    <t>Louisville High School</t>
  </si>
  <si>
    <t>1201 S Nickelplate St, Louisville, Ohio, 44641</t>
  </si>
  <si>
    <t>1201 S Nickelplate St</t>
  </si>
  <si>
    <t>Louisville Middle School</t>
  </si>
  <si>
    <t>1300 S Chapel St, Louisville, Ohio, 44641</t>
  </si>
  <si>
    <t>1300 S Chapel St</t>
  </si>
  <si>
    <t>Loveland Middle School</t>
  </si>
  <si>
    <t>801 S Lebanon Rd, Loveland, Ohio, 45140</t>
  </si>
  <si>
    <t>801 S Lebanon Rd</t>
  </si>
  <si>
    <t>Loveland High School</t>
  </si>
  <si>
    <t>1 Tiger Trl, Loveland, Ohio, 45140</t>
  </si>
  <si>
    <t>1 Tiger Trl</t>
  </si>
  <si>
    <t>Loveland Primary School</t>
  </si>
  <si>
    <t>550 Loveland Madeira Rd, Loveland, Ohio, 45140</t>
  </si>
  <si>
    <t>550 Loveland Madeira Rd</t>
  </si>
  <si>
    <t>Stevan Dohanos Elementary School</t>
  </si>
  <si>
    <t>1625 E 32nd St, Lorain, Ohio, 44055</t>
  </si>
  <si>
    <t>1625 E 32nd St</t>
  </si>
  <si>
    <t>Lowell Elementary School</t>
  </si>
  <si>
    <t>305 Market St, Lowell, Ohio, 45744</t>
  </si>
  <si>
    <t>305 Market St</t>
  </si>
  <si>
    <t>Lowell</t>
  </si>
  <si>
    <t>45744</t>
  </si>
  <si>
    <t>Lowellville High School</t>
  </si>
  <si>
    <t>Lucas Elementary School</t>
  </si>
  <si>
    <t>Lucas High School</t>
  </si>
  <si>
    <t>5 1st Ave, Lucas, Ohio, 44843</t>
  </si>
  <si>
    <t>5 1st Ave</t>
  </si>
  <si>
    <t>Eastwood Elementary School</t>
  </si>
  <si>
    <t>4700 Sugar Ridge Rd, Pemberville, Ohio, 43450</t>
  </si>
  <si>
    <t>4700 Sugar Ridge Rd</t>
  </si>
  <si>
    <t>Kean Elementary School</t>
  </si>
  <si>
    <t>432 Oldman Rd, Wooster, Ohio, 44691</t>
  </si>
  <si>
    <t>432 Oldman Rd</t>
  </si>
  <si>
    <t>Lutz Elementary School</t>
  </si>
  <si>
    <t>1929 Buckland Ave, Fremont, Ohio, 43420</t>
  </si>
  <si>
    <t>1929 Buckland Ave</t>
  </si>
  <si>
    <t>Lynchburg-Clay High School</t>
  </si>
  <si>
    <t>6762 State Route 134, Lynchburg, Ohio, 45142</t>
  </si>
  <si>
    <t>6762 State Route 134</t>
  </si>
  <si>
    <t>John P. Parker School</t>
  </si>
  <si>
    <t>5051 Anderson Pl, Cincinnati, Ohio, 45227</t>
  </si>
  <si>
    <t>5051 Anderson Pl</t>
  </si>
  <si>
    <t>Spinning Hills Middle School (5-6)</t>
  </si>
  <si>
    <t>5001 Eastman Ave, Dayton, Ohio, 45432</t>
  </si>
  <si>
    <t>5001 Eastman Ave</t>
  </si>
  <si>
    <t>Maddux Elementary School</t>
  </si>
  <si>
    <t>943 Rosetree Ln, Cincinnati, Ohio, 45230</t>
  </si>
  <si>
    <t>943 Rosetree Ln</t>
  </si>
  <si>
    <t>45230</t>
  </si>
  <si>
    <t>Madeira High School</t>
  </si>
  <si>
    <t>Madison Middle School</t>
  </si>
  <si>
    <t>6079 Middle Ridge Rd, Madison, Ohio, 44057</t>
  </si>
  <si>
    <t>6079 Middle Ridge Rd</t>
  </si>
  <si>
    <t>Madison Elementary School</t>
  </si>
  <si>
    <t>4600 Madison School Dr, Columbus, Ohio, 43232</t>
  </si>
  <si>
    <t>4600 Madison School Dr</t>
  </si>
  <si>
    <t>Licking Valley Elementary School</t>
  </si>
  <si>
    <t>1510 Licking Valley Rd NE, Newark, Ohio, 43055</t>
  </si>
  <si>
    <t>1510 Licking Valley Rd NE</t>
  </si>
  <si>
    <t>Madison Junior High</t>
  </si>
  <si>
    <t>5797 W Alexandria Rd, Middletown, Ohio, 45042</t>
  </si>
  <si>
    <t>5797 W Alexandria Rd</t>
  </si>
  <si>
    <t>Madison High School</t>
  </si>
  <si>
    <t>Buckeye Trail Elementary</t>
  </si>
  <si>
    <t>65553 Wintergreen Rd, Lore City, Ohio, 43755</t>
  </si>
  <si>
    <t>65553 Wintergreen Rd</t>
  </si>
  <si>
    <t>1419 Grace St, Mansfield, Ohio, 44905</t>
  </si>
  <si>
    <t>1419 Grace St</t>
  </si>
  <si>
    <t>3100 Burns Rd, Madison, Ohio, 44057</t>
  </si>
  <si>
    <t>3100 Burns Rd</t>
  </si>
  <si>
    <t>Madison South Elementary School</t>
  </si>
  <si>
    <t>700 S Illinois Ave, Mansfield, Ohio, 44907</t>
  </si>
  <si>
    <t>700 S Illinois Ave</t>
  </si>
  <si>
    <t>Madison-Plains High School</t>
  </si>
  <si>
    <t>800 Linson Rd, London, Ohio, 43140</t>
  </si>
  <si>
    <t>800 Linson Rd</t>
  </si>
  <si>
    <t>600 Esley Ln, Mansfield, Ohio, 44905</t>
  </si>
  <si>
    <t>600 Esley Ln</t>
  </si>
  <si>
    <t>Trotwood-Madison High School</t>
  </si>
  <si>
    <t>4440 N Union Rd, Trotwood, Ohio, 45426</t>
  </si>
  <si>
    <t>4440 N Union Rd</t>
  </si>
  <si>
    <t>Mccormick Middle School</t>
  </si>
  <si>
    <t>627 S Main St, Wellington, Ohio, 44090</t>
  </si>
  <si>
    <t>627 S Main St</t>
  </si>
  <si>
    <t>Main Elementary School</t>
  </si>
  <si>
    <t>2942 Dayton Xenia Rd, Beavercreek, Ohio, 45434</t>
  </si>
  <si>
    <t>2942 Dayton Xenia Rd</t>
  </si>
  <si>
    <t>Maize Road Elementary School</t>
  </si>
  <si>
    <t>4360 Maize Rd, Columbus, Ohio, 43224</t>
  </si>
  <si>
    <t>4360 Maize Rd</t>
  </si>
  <si>
    <t>Mansfield Middle School</t>
  </si>
  <si>
    <t>Patrick Henry Elementary School</t>
  </si>
  <si>
    <t>E076 County Road 7, Hamler, Ohio, 43524</t>
  </si>
  <si>
    <t>E076 County Road 7</t>
  </si>
  <si>
    <t>Malvern Elementary School</t>
  </si>
  <si>
    <t>Malvern High School</t>
  </si>
  <si>
    <t>Manchester Middle School</t>
  </si>
  <si>
    <t>760 W Nimisila Rd, Akron, Ohio, 44319</t>
  </si>
  <si>
    <t>760 W Nimisila Rd</t>
  </si>
  <si>
    <t>Manchester High School</t>
  </si>
  <si>
    <t>437 W Nimisila Rd, Akron, Ohio, 44319</t>
  </si>
  <si>
    <t>437 W Nimisila Rd</t>
  </si>
  <si>
    <t>Mann Elementary School</t>
  </si>
  <si>
    <t>521 Mount Joy St, Springfield, Ohio, 45505</t>
  </si>
  <si>
    <t>521 Mount Joy St</t>
  </si>
  <si>
    <t>Mansfield Senior High School</t>
  </si>
  <si>
    <t>Maple Dale Elementary School</t>
  </si>
  <si>
    <t>6100 Hagewa Dr, Cincinnati, Ohio, 45242</t>
  </si>
  <si>
    <t>6100 Hagewa Dr</t>
  </si>
  <si>
    <t>24101 Maple Ridge Rd, North Olmsted, Ohio, 44070</t>
  </si>
  <si>
    <t>24101 Maple Ridge Rd</t>
  </si>
  <si>
    <t>Katherine Thomas Elementary School</t>
  </si>
  <si>
    <t>9032 Maple Grove Rd, Windham, Ohio, 44288</t>
  </si>
  <si>
    <t>9032 Maple Grove Rd</t>
  </si>
  <si>
    <t>Maple Heights High School</t>
  </si>
  <si>
    <t>1 Mustang Way, Maple Heights, Ohio, 44137</t>
  </si>
  <si>
    <t>1 Mustang Way</t>
  </si>
  <si>
    <t>Maple Leaf Elementary School</t>
  </si>
  <si>
    <t>5764 Turney Rd, Garfield Heights, Ohio, 44125</t>
  </si>
  <si>
    <t>5764 Turney Rd</t>
  </si>
  <si>
    <t>Maplehurst Elementary School</t>
  </si>
  <si>
    <t>195 Saint Marys St, Norwalk, Ohio, 44857</t>
  </si>
  <si>
    <t>195 Saint Marys St</t>
  </si>
  <si>
    <t>Mapleton High School</t>
  </si>
  <si>
    <t>1 Mountie Dr, Ashland, Ohio, 44805</t>
  </si>
  <si>
    <t>1 Mountie Dr</t>
  </si>
  <si>
    <t>Maplewood Elementary School</t>
  </si>
  <si>
    <t>6769 Maplewood Ave, Sylvania, Ohio, 43560</t>
  </si>
  <si>
    <t>6769 Maplewood Ave</t>
  </si>
  <si>
    <t>Maplewood High School</t>
  </si>
  <si>
    <t>4174 Greenville Rd, Cortland, Ohio, 44410</t>
  </si>
  <si>
    <t>4174 Greenville Rd</t>
  </si>
  <si>
    <t>Margaretta High School</t>
  </si>
  <si>
    <t>209 Lowell St, Castalia, Ohio, 44824</t>
  </si>
  <si>
    <t>209 Lowell St</t>
  </si>
  <si>
    <t>Mariemont High School</t>
  </si>
  <si>
    <t>1 Warrior Way, Cincinnati, Ohio, 45227</t>
  </si>
  <si>
    <t>1 Warrior Way</t>
  </si>
  <si>
    <t>Marietta High School</t>
  </si>
  <si>
    <t>208 Davis Ave, Marietta, Ohio, 45750</t>
  </si>
  <si>
    <t>208 Davis Ave</t>
  </si>
  <si>
    <t>Marion Local Elementary School</t>
  </si>
  <si>
    <t>Marion-Franklin High School</t>
  </si>
  <si>
    <t>1265 Koebel Rd, Columbus, Ohio, 43207</t>
  </si>
  <si>
    <t>1265 Koebel Rd</t>
  </si>
  <si>
    <t>Marion Local High School</t>
  </si>
  <si>
    <t>1901 State Route 716, Maria Stein, Ohio, 45860</t>
  </si>
  <si>
    <t>1901 State Route 716</t>
  </si>
  <si>
    <t>Marion L Steele High School</t>
  </si>
  <si>
    <t>450 Washington St, Amherst, Ohio, 44001</t>
  </si>
  <si>
    <t>450 Washington St</t>
  </si>
  <si>
    <t>Mark Twain Elementary School</t>
  </si>
  <si>
    <t>822 N 9th St, Miamisburg, Ohio, 45342</t>
  </si>
  <si>
    <t>822 N 9th St</t>
  </si>
  <si>
    <t>Marlington High School</t>
  </si>
  <si>
    <t>10450 Moulin Ave NE, Alliance, Ohio, 44601</t>
  </si>
  <si>
    <t>10450 Moulin Ave NE</t>
  </si>
  <si>
    <t>Union Elementary School</t>
  </si>
  <si>
    <t>390 W Walker St, Upper Sandusky, Ohio, 43351</t>
  </si>
  <si>
    <t>390 W Walker St</t>
  </si>
  <si>
    <t>Marshall STEMM Academy</t>
  </si>
  <si>
    <t>415 Colburn St, Toledo, Ohio, 43609</t>
  </si>
  <si>
    <t>415 Colburn St</t>
  </si>
  <si>
    <t>Green  Elementary School</t>
  </si>
  <si>
    <t>Martins Ferry High School</t>
  </si>
  <si>
    <t>5000 Ayers Lime Stone Rd, Martins Ferry, Ohio, 43935</t>
  </si>
  <si>
    <t>5000 Ayers Lime Stone Rd</t>
  </si>
  <si>
    <t>Mary B Martin School</t>
  </si>
  <si>
    <t>8200 Brookline Ave, Cleveland, Ohio, 44103</t>
  </si>
  <si>
    <t>8200 Brookline Ave</t>
  </si>
  <si>
    <t>Minerva Elementary School</t>
  </si>
  <si>
    <t>130 Bonnieview Ave, Minerva, Ohio, 44657</t>
  </si>
  <si>
    <t>130 Bonnieview Ave</t>
  </si>
  <si>
    <t xml:space="preserve">Mary M Bethune </t>
  </si>
  <si>
    <t>11815 Moulton Ave, Cleveland, Ohio, 44106</t>
  </si>
  <si>
    <t>11815 Moulton Ave</t>
  </si>
  <si>
    <t>Maryland Elementary School</t>
  </si>
  <si>
    <t>2754 Maryland Ave, Bexley, Ohio, 43209</t>
  </si>
  <si>
    <t>2754 Maryland Ave</t>
  </si>
  <si>
    <t>Marysville High School</t>
  </si>
  <si>
    <t>800 Amrine Mill Rd, Marysville, Ohio, 43040</t>
  </si>
  <si>
    <t>800 Amrine Mill Rd</t>
  </si>
  <si>
    <t>Bunsold Middle School</t>
  </si>
  <si>
    <t>14198 State Route 4, Marysville, Ohio, 43040</t>
  </si>
  <si>
    <t>14198 State Route 4</t>
  </si>
  <si>
    <t>Mason Community Learning Center</t>
  </si>
  <si>
    <t>700 E Exchange St, Akron, Ohio, 44306</t>
  </si>
  <si>
    <t>700 E Exchange St</t>
  </si>
  <si>
    <t>Symmes Valley Elementary School</t>
  </si>
  <si>
    <t>14860 State Route 141, Willow Wood, Ohio, 45696</t>
  </si>
  <si>
    <t>14860 State Route 141</t>
  </si>
  <si>
    <t>Matamoras Elementary School</t>
  </si>
  <si>
    <t>1000 Stover Dr, New Matamoras, Ohio, 45767</t>
  </si>
  <si>
    <t>1000 Stover Dr</t>
  </si>
  <si>
    <t>Mathews High School</t>
  </si>
  <si>
    <t>4429 Warren Sharon Rd, Vienna, Ohio, 44473</t>
  </si>
  <si>
    <t>4429 Warren Sharon Rd</t>
  </si>
  <si>
    <t>Maude Marshall Elementary School</t>
  </si>
  <si>
    <t>3260 Oxford Millville Rd, Oxford, Ohio, 45056</t>
  </si>
  <si>
    <t>3260 Oxford Millville Rd</t>
  </si>
  <si>
    <t>Maumee Middle School</t>
  </si>
  <si>
    <t>900 Gibbs St, Maumee, Ohio, 43537</t>
  </si>
  <si>
    <t>900 Gibbs St</t>
  </si>
  <si>
    <t>Maumee High School</t>
  </si>
  <si>
    <t>1147 Saco St, Maumee, Ohio, 43537</t>
  </si>
  <si>
    <t>1147 Saco St</t>
  </si>
  <si>
    <t>Max S Hayes High School</t>
  </si>
  <si>
    <t>2211 W 65th St, Cleveland, Ohio, 44102</t>
  </si>
  <si>
    <t>2211 W 65th St</t>
  </si>
  <si>
    <t>Mayfield Elementary School</t>
  </si>
  <si>
    <t>3325 Burbank Ave, Middletown, Ohio, 45044</t>
  </si>
  <si>
    <t>3325 Burbank Ave</t>
  </si>
  <si>
    <t>Westfield/Robinson Achievement</t>
  </si>
  <si>
    <t>1505 Jefferson Avenue, Toledo, Ohio, 43604</t>
  </si>
  <si>
    <t>1505 Jefferson Avenue</t>
  </si>
  <si>
    <t>Mayfield Center Elementary School</t>
  </si>
  <si>
    <t>6625 Wilson Mills Rd, Mayfield, Ohio, 44143</t>
  </si>
  <si>
    <t>6625 Wilson Mills Rd</t>
  </si>
  <si>
    <t>Mayfield</t>
  </si>
  <si>
    <t>Mayfield High School</t>
  </si>
  <si>
    <t>6116 Wilson Mills Rd, Cleveland, Ohio, 44143</t>
  </si>
  <si>
    <t>6116 Wilson Mills Rd</t>
  </si>
  <si>
    <t>Maysville High School</t>
  </si>
  <si>
    <t>3725 Panther Drive, Zanesville, Ohio, 43701</t>
  </si>
  <si>
    <t>3725 Panther Drive</t>
  </si>
  <si>
    <t>Central Elementary</t>
  </si>
  <si>
    <t>507 Jefferson Ave, Mc Arthur, Ohio, 45651</t>
  </si>
  <si>
    <t>507 Jefferson Ave</t>
  </si>
  <si>
    <t>McEbright Community Learning Center</t>
  </si>
  <si>
    <t>349 Cole Ave, Akron, Ohio, 44301</t>
  </si>
  <si>
    <t>349 Cole Ave</t>
  </si>
  <si>
    <t>St. Marys Middle School</t>
  </si>
  <si>
    <t>2250 St Rt 66 N, Saint Marys, Ohio, 45885</t>
  </si>
  <si>
    <t>2250 St Rt 66 N</t>
  </si>
  <si>
    <t>McClain High School</t>
  </si>
  <si>
    <t>McComb Local Elementary School</t>
  </si>
  <si>
    <t>McCormick Middle School</t>
  </si>
  <si>
    <t>325 Ohio St, Huron, Ohio, 44839</t>
  </si>
  <si>
    <t>325 Ohio St</t>
  </si>
  <si>
    <t>McDonald High School</t>
  </si>
  <si>
    <t>McGregor Intermediate School</t>
  </si>
  <si>
    <t>2339 17th St SW, Canton, Ohio, 44706</t>
  </si>
  <si>
    <t>2339 17th St SW</t>
  </si>
  <si>
    <t>44706</t>
  </si>
  <si>
    <t>Mcgregor Elementary School</t>
  </si>
  <si>
    <t>3535 Mcgregor Ln, Toledo, Ohio, 43623</t>
  </si>
  <si>
    <t>3535 Mcgregor Ln</t>
  </si>
  <si>
    <t>43623</t>
  </si>
  <si>
    <t>McGuffey Elementary School</t>
  </si>
  <si>
    <t>130 Green Wave Dr, Newark, Ohio, 43055</t>
  </si>
  <si>
    <t>130 Green Wave Dr</t>
  </si>
  <si>
    <t>Columbus Alternative High School</t>
  </si>
  <si>
    <t>2632 Mcguffey Rd, Columbus, Ohio, 43211</t>
  </si>
  <si>
    <t>2632 Mcguffey Rd</t>
  </si>
  <si>
    <t>McKinley STEMM Academy</t>
  </si>
  <si>
    <t>3344 Westland Ave, Toledo, Ohio, 43613</t>
  </si>
  <si>
    <t>3344 Westland Ave</t>
  </si>
  <si>
    <t>McKinley Elementary School</t>
  </si>
  <si>
    <t>829 Colorado Dr, Xenia, Ohio, 45385</t>
  </si>
  <si>
    <t>829 Colorado Dr</t>
  </si>
  <si>
    <t>1215 W Clifton Blvd, Lakewood, Ohio, 44107</t>
  </si>
  <si>
    <t>1215 W Clifton Blvd</t>
  </si>
  <si>
    <t>Mckinley Elementary School</t>
  </si>
  <si>
    <t>602 Plum St, Fairport Harbor, Ohio, 44077</t>
  </si>
  <si>
    <t>602 Plum St</t>
  </si>
  <si>
    <t>441 E Chestnut St, Lisbon, Ohio, 44432</t>
  </si>
  <si>
    <t>441 E Chestnut St</t>
  </si>
  <si>
    <t>McKinley High School</t>
  </si>
  <si>
    <t>616 Dragon Dr, Niles, Ohio, 44446</t>
  </si>
  <si>
    <t>616 Dragon Dr</t>
  </si>
  <si>
    <t>2323 17th St NW, Canton, Ohio, 44708</t>
  </si>
  <si>
    <t>2323 17th St NW</t>
  </si>
  <si>
    <t>Mckinley High School</t>
  </si>
  <si>
    <t>225 E Indiana Ave, Sebring, Ohio, 44672</t>
  </si>
  <si>
    <t>225 E Indiana Ave</t>
  </si>
  <si>
    <t>McMullen Elementary School</t>
  </si>
  <si>
    <t>224 E Bustle St, Loudonville, Ohio, 44842</t>
  </si>
  <si>
    <t>224 E Bustle St</t>
  </si>
  <si>
    <t>McTigue Elementary School</t>
  </si>
  <si>
    <t>5555 Nebraska Ave, Toledo, Ohio, 43615</t>
  </si>
  <si>
    <t>5555 Nebraska Ave</t>
  </si>
  <si>
    <t>Meadowbrook High School</t>
  </si>
  <si>
    <t>58615 Marietta Rd, Byesville, Ohio, 43723</t>
  </si>
  <si>
    <t>58615 Marietta Rd</t>
  </si>
  <si>
    <t>Valerie Elementary School</t>
  </si>
  <si>
    <t>3871 Yellowstone Ave, Dayton, Ohio, 45416</t>
  </si>
  <si>
    <t>3871 Yellowstone Ave</t>
  </si>
  <si>
    <t>Meadowdale High School</t>
  </si>
  <si>
    <t>3873 Whitestone Ct, Dayton, Ohio, 45416</t>
  </si>
  <si>
    <t>3873 Whitestone Ct</t>
  </si>
  <si>
    <t>Meadowlawn Elementary School</t>
  </si>
  <si>
    <t>1313 E Strub Rd, Sandusky, Ohio, 44870</t>
  </si>
  <si>
    <t>1313 E Strub Rd</t>
  </si>
  <si>
    <t>Meadowvale Elementary School</t>
  </si>
  <si>
    <t>2755 Edgebrook Dr, Toledo, Ohio, 43613</t>
  </si>
  <si>
    <t>2755 Edgebrook Dr</t>
  </si>
  <si>
    <t>Dohron Wilson Elementary School</t>
  </si>
  <si>
    <t>Mechanicsburg High School</t>
  </si>
  <si>
    <t>Medill Elementary School</t>
  </si>
  <si>
    <t>1160 Sheridan Dr, Lancaster, Ohio, 43130</t>
  </si>
  <si>
    <t>1160 Sheridan Dr</t>
  </si>
  <si>
    <t>Claggett Middle School</t>
  </si>
  <si>
    <t>420 E Union St, Medina, Ohio, 44256</t>
  </si>
  <si>
    <t>420 E Union St</t>
  </si>
  <si>
    <t>Medina Middle School</t>
  </si>
  <si>
    <t>1425 Huy Rd, Columbus, Ohio, 43224</t>
  </si>
  <si>
    <t>1425 Huy Rd</t>
  </si>
  <si>
    <t>Medina High School</t>
  </si>
  <si>
    <t>777 E Union St, Medina, Ohio, 44256</t>
  </si>
  <si>
    <t>777 E Union St</t>
  </si>
  <si>
    <t>Meigs High School</t>
  </si>
  <si>
    <t>42091 Pomeroy Pike, Pomeroy, Ohio, 45769</t>
  </si>
  <si>
    <t>42091 Pomeroy Pike</t>
  </si>
  <si>
    <t>Melridge Elementary School</t>
  </si>
  <si>
    <t>6689 Melridge Dr, Painesville, Ohio, 44077</t>
  </si>
  <si>
    <t>6689 Melridge Dr</t>
  </si>
  <si>
    <t>Melrose Elementary School</t>
  </si>
  <si>
    <t>1641 Sunset Ln, Wooster, Ohio, 44691</t>
  </si>
  <si>
    <t>1641 Sunset Ln</t>
  </si>
  <si>
    <t>Memorial High School</t>
  </si>
  <si>
    <t>St Marys Memorial High School</t>
  </si>
  <si>
    <t>Memorial Junior High School</t>
  </si>
  <si>
    <t>1250 Professor Rd, Cleveland, Ohio, 44124</t>
  </si>
  <si>
    <t>1250 Professor Rd</t>
  </si>
  <si>
    <t>Memorial Middle School</t>
  </si>
  <si>
    <t>8979 Mentor Ave, Mentor, Ohio, 44060</t>
  </si>
  <si>
    <t>8979 Mentor Ave</t>
  </si>
  <si>
    <t>Wright Brothers Elementary School</t>
  </si>
  <si>
    <t>5758 Harshmanville Rd, Huber Heights, Ohio, 45424</t>
  </si>
  <si>
    <t>5758 Harshmanville Rd</t>
  </si>
  <si>
    <t>Mentor High School</t>
  </si>
  <si>
    <t>6477 Center St, Mentor, Ohio, 44060</t>
  </si>
  <si>
    <t>6477 Center St</t>
  </si>
  <si>
    <t>Mercer Elementary School</t>
  </si>
  <si>
    <t>23325 Wimbledon Rd, Shaker Heights, Ohio, 44122</t>
  </si>
  <si>
    <t>23325 Wimbledon Rd</t>
  </si>
  <si>
    <t>Merwin Elementary School</t>
  </si>
  <si>
    <t>1040 Gaskins Rd, Cincinnati, Ohio, 45245</t>
  </si>
  <si>
    <t>1040 Gaskins Rd</t>
  </si>
  <si>
    <t>Mesopotamia Elementary School</t>
  </si>
  <si>
    <t>4466 Kinsman Road, Mesopotamia, Ohio, 44439</t>
  </si>
  <si>
    <t>4466 Kinsman Road</t>
  </si>
  <si>
    <t>Mesopotamia</t>
  </si>
  <si>
    <t>44439</t>
  </si>
  <si>
    <t>Evergreen Middle School</t>
  </si>
  <si>
    <t>Miami East Junior High School</t>
  </si>
  <si>
    <t>4025 N State Route 589, Casstown, Ohio, 45312</t>
  </si>
  <si>
    <t>4025 N State Route 589</t>
  </si>
  <si>
    <t>Miami East High School</t>
  </si>
  <si>
    <t>3925 N State Route 589, Casstown, Ohio, 45312</t>
  </si>
  <si>
    <t>3925 N State Route 589</t>
  </si>
  <si>
    <t>Milford Preschool and Extended Day</t>
  </si>
  <si>
    <t>1039 State Route 28, Milford, Ohio, 45150</t>
  </si>
  <si>
    <t>1039 State Route 28</t>
  </si>
  <si>
    <t>Madeira Elementary School</t>
  </si>
  <si>
    <t>7840 Thomas Dr, Cincinnati, Ohio, 45243</t>
  </si>
  <si>
    <t>7840 Thomas Dr</t>
  </si>
  <si>
    <t>Miami Trace High School</t>
  </si>
  <si>
    <t>300 Bloomingburg New Holland Rd NE, Washington Court House, Ohio, 43160</t>
  </si>
  <si>
    <t>300 Bloomingburg New Holland Rd NE</t>
  </si>
  <si>
    <t>Miamisburg High School</t>
  </si>
  <si>
    <t>1860 Belvo Rd, Miamisburg, Ohio, 45342</t>
  </si>
  <si>
    <t>1860 Belvo Rd</t>
  </si>
  <si>
    <t>Miami Whitewater Elementary School</t>
  </si>
  <si>
    <t>9850 West Rd, Harrison, Ohio, 45030</t>
  </si>
  <si>
    <t>9850 West Rd</t>
  </si>
  <si>
    <t>Athens Middle School</t>
  </si>
  <si>
    <t>51 W State St - 55, Athens, Ohio, 45701</t>
  </si>
  <si>
    <t>51 W State St - 55</t>
  </si>
  <si>
    <t>Newcomerstown Middle School</t>
  </si>
  <si>
    <t>325 W State St, Newcomerstown, Ohio, 43832</t>
  </si>
  <si>
    <t>325 W State St</t>
  </si>
  <si>
    <t>Highland Middle School</t>
  </si>
  <si>
    <t>Oakwood Middle School</t>
  </si>
  <si>
    <t>2300 Schneider St NE, Canton, Ohio, 44721</t>
  </si>
  <si>
    <t>2300 Schneider St NE</t>
  </si>
  <si>
    <t>Big Creek Elementary School</t>
  </si>
  <si>
    <t>7247 Big Creek Pkwy, Middleburg Hts, Ohio, 44130</t>
  </si>
  <si>
    <t>7247 Big Creek Pkwy</t>
  </si>
  <si>
    <t>Middleburg Hts</t>
  </si>
  <si>
    <t>Middletown High School</t>
  </si>
  <si>
    <t>601 N Breiel Blvd, Middletown, Ohio, 45042</t>
  </si>
  <si>
    <t>601 N Breiel Blvd</t>
  </si>
  <si>
    <t>Berea-Midpark High School</t>
  </si>
  <si>
    <t>165 E Bagley Rd, Berea, Ohio, 44017</t>
  </si>
  <si>
    <t>165 E Bagley Rd</t>
  </si>
  <si>
    <t>Midvale Elementary School</t>
  </si>
  <si>
    <t>4259 W. State Street, Midvale, Ohio, 44653</t>
  </si>
  <si>
    <t>4259 W. State Street</t>
  </si>
  <si>
    <t>Midvale</t>
  </si>
  <si>
    <t>44653</t>
  </si>
  <si>
    <t>Midview High School</t>
  </si>
  <si>
    <t>38199 Capel Rd, Grafton, Ohio, 44044</t>
  </si>
  <si>
    <t>38199 Capel Rd</t>
  </si>
  <si>
    <t>Midview Middle School</t>
  </si>
  <si>
    <t>12865 Grafton Rd, Grafton, Ohio, 44044</t>
  </si>
  <si>
    <t>12865 Grafton Rd</t>
  </si>
  <si>
    <t>Midway School</t>
  </si>
  <si>
    <t>3156 Glenmore Ave, Cincinnati, Ohio, 45211</t>
  </si>
  <si>
    <t>3156 Glenmore Ave</t>
  </si>
  <si>
    <t>Mifflin Elementary School</t>
  </si>
  <si>
    <t>441 Reed Rd, Mansfield, Ohio, 44903</t>
  </si>
  <si>
    <t>441 Reed Rd</t>
  </si>
  <si>
    <t>44903</t>
  </si>
  <si>
    <t>Cassady Alternative Elementary School</t>
  </si>
  <si>
    <t>2500 N Cassady Ave, Columbus, Ohio, 43219</t>
  </si>
  <si>
    <t>2500 N Cassady Ave</t>
  </si>
  <si>
    <t>Mifflin High School</t>
  </si>
  <si>
    <t>3245 Oak Spring St, Columbus, Ohio, 43219</t>
  </si>
  <si>
    <t>3245 Oak Spring St</t>
  </si>
  <si>
    <t>Edison Elementary School (formerly Milan Elem)</t>
  </si>
  <si>
    <t>Miles School</t>
  </si>
  <si>
    <t>11918 Miles Ave, Cleveland, Ohio, 44105</t>
  </si>
  <si>
    <t>11918 Miles Ave</t>
  </si>
  <si>
    <t>Miles Park School</t>
  </si>
  <si>
    <t>4090 E 93rd St, Cleveland, Ohio, 44105</t>
  </si>
  <si>
    <t>4090 E 93rd St</t>
  </si>
  <si>
    <t>Stonebrook-White Montessori</t>
  </si>
  <si>
    <t>1000 E 92nd St, Cleveland, Ohio, 44108</t>
  </si>
  <si>
    <t>1000 E 92nd St</t>
  </si>
  <si>
    <t>Fairbanks Elementary School</t>
  </si>
  <si>
    <t>11140 State Route 38, Milford Center, Ohio, 43045</t>
  </si>
  <si>
    <t>11140 State Route 38</t>
  </si>
  <si>
    <t>Milford Sr High School</t>
  </si>
  <si>
    <t>1 Eagles Way, Milford, Ohio, 45150</t>
  </si>
  <si>
    <t>1 Eagles Way</t>
  </si>
  <si>
    <t>Milford Junior High School</t>
  </si>
  <si>
    <t>5735 Pleasant Hill Rd, Milford, Ohio, 45150</t>
  </si>
  <si>
    <t>5735 Pleasant Hill Rd</t>
  </si>
  <si>
    <t>Miller Avenue Elementary School</t>
  </si>
  <si>
    <t>840 Miller Ave SW, Sugarcreek, Ohio, 44681</t>
  </si>
  <si>
    <t>840 Miller Ave SW</t>
  </si>
  <si>
    <t>Miller City Elementary School</t>
  </si>
  <si>
    <t>200 N Main St, Miller City, Ohio, 45864</t>
  </si>
  <si>
    <t>200 N Main St</t>
  </si>
  <si>
    <t>Miller City High School</t>
  </si>
  <si>
    <t>B L Miller Elementary School</t>
  </si>
  <si>
    <t>506 W Virginia Ave, Sebring, Ohio, 44672</t>
  </si>
  <si>
    <t>506 W Virginia Ave</t>
  </si>
  <si>
    <t>Miller High School</t>
  </si>
  <si>
    <t>10397 State Route 155 SE, Corning, Ohio, 43730</t>
  </si>
  <si>
    <t>10397 State Route 155 SE</t>
  </si>
  <si>
    <t>Millersburg Elementary School</t>
  </si>
  <si>
    <t>430 E Jackson St, Millersburg, Ohio, 44654</t>
  </si>
  <si>
    <t>430 E Jackson St</t>
  </si>
  <si>
    <t>Millridge Elementary School</t>
  </si>
  <si>
    <t>962 Millridge Rd, Cleveland, Ohio, 44143</t>
  </si>
  <si>
    <t>962 Millridge Rd</t>
  </si>
  <si>
    <t>Herbert Mills Elementary School</t>
  </si>
  <si>
    <t>6826 Retton Rd, Reynoldsburg, Ohio, 43068</t>
  </si>
  <si>
    <t>6826 Retton Rd</t>
  </si>
  <si>
    <t>Mills Lawn Elementary School</t>
  </si>
  <si>
    <t>200 S Walnut St, Yellow Springs, Ohio, 45387</t>
  </si>
  <si>
    <t>200 S Walnut St</t>
  </si>
  <si>
    <t>Ethel M. Taylor Academy</t>
  </si>
  <si>
    <t>1930 Fricke Road, Cincinnati, Ohio, 45225</t>
  </si>
  <si>
    <t>1930 Fricke Road</t>
  </si>
  <si>
    <t>45225</t>
  </si>
  <si>
    <t>Milton-Union Middle School</t>
  </si>
  <si>
    <t>7630 Milton Potsdam Rd, West Milton, Ohio, 45383</t>
  </si>
  <si>
    <t>7630 Milton Potsdam Rd</t>
  </si>
  <si>
    <t>Milton-Union High School</t>
  </si>
  <si>
    <t>7640 Milton Potsdam Rd, West Milton, Ohio, 45383</t>
  </si>
  <si>
    <t>7640 Milton Potsdam Rd</t>
  </si>
  <si>
    <t>Milton-Union Elementary School</t>
  </si>
  <si>
    <t>7620 Milton Potsdam Rd, West Milton, Ohio, 45383</t>
  </si>
  <si>
    <t>7620 Milton Potsdam Rd</t>
  </si>
  <si>
    <t>Tuscarawas Valley Primary</t>
  </si>
  <si>
    <t>8647 1st St NE, Mineral City, Ohio, 44656</t>
  </si>
  <si>
    <t>8647 1st St NE</t>
  </si>
  <si>
    <t>Mineral City</t>
  </si>
  <si>
    <t>Mineral Ridge High School</t>
  </si>
  <si>
    <t>Minerva Middle School</t>
  </si>
  <si>
    <t>600 E Line St, Minerva, Ohio, 44657</t>
  </si>
  <si>
    <t>600 E Line St</t>
  </si>
  <si>
    <t>Minerva High School</t>
  </si>
  <si>
    <t>501 Almeda Ave, Minerva, Ohio, 44657</t>
  </si>
  <si>
    <t>501 Almeda Ave</t>
  </si>
  <si>
    <t>Mines Elementary School</t>
  </si>
  <si>
    <t>850 Howland Wilson Rd NE, Warren, Ohio, 44484</t>
  </si>
  <si>
    <t>850 Howland Wilson Rd NE</t>
  </si>
  <si>
    <t>Minford Primary Elementary School</t>
  </si>
  <si>
    <t>215 Falcon Rd, Minford, Ohio, 45653</t>
  </si>
  <si>
    <t>215 Falcon Rd</t>
  </si>
  <si>
    <t>Minford High School</t>
  </si>
  <si>
    <t>Indian Creek Middle School Grades 7 &amp; 8</t>
  </si>
  <si>
    <t>2379 Wilson Ave., Mingo Junction, Ohio, 43938</t>
  </si>
  <si>
    <t>2379 Wilson Ave.</t>
  </si>
  <si>
    <t>Minster Jr/Sr High School</t>
  </si>
  <si>
    <t>100 E 7th St, Minster, Ohio, 45865</t>
  </si>
  <si>
    <t>100 E 7th St</t>
  </si>
  <si>
    <t>Mississinawa Valley JR/SR High School</t>
  </si>
  <si>
    <t>Tuslaw Middle School</t>
  </si>
  <si>
    <t>1723 Manchester Ave NW, Massillon, Ohio, 44647</t>
  </si>
  <si>
    <t>1723 Manchester Ave NW</t>
  </si>
  <si>
    <t>Mogadore High School</t>
  </si>
  <si>
    <t>130 S Cleveland Ave, Mogadore, Ohio, 44260</t>
  </si>
  <si>
    <t>130 S Cleveland Ave</t>
  </si>
  <si>
    <t>Mohawk High School</t>
  </si>
  <si>
    <t>605 State Highway 231, Sycamore, Ohio, 44882</t>
  </si>
  <si>
    <t>605 State Highway 231</t>
  </si>
  <si>
    <t>Columbus Africentric Early College ES</t>
  </si>
  <si>
    <t>3223 Allegheny Ave, Columbus, Ohio, 43209</t>
  </si>
  <si>
    <t>3223 Allegheny Ave</t>
  </si>
  <si>
    <t>Moler Elementary School</t>
  </si>
  <si>
    <t>1201 Moler Rd, Columbus, Ohio, 43207</t>
  </si>
  <si>
    <t>1201 Moler Rd</t>
  </si>
  <si>
    <t>Monac Elementary School</t>
  </si>
  <si>
    <t>3845 Clawson Ave, Toledo, Ohio, 43623</t>
  </si>
  <si>
    <t>3845 Clawson Ave</t>
  </si>
  <si>
    <t>Monclova Elementary School</t>
  </si>
  <si>
    <t>8035 Monclova Rd, Monclova, Ohio, 43542</t>
  </si>
  <si>
    <t>8035 Monclova Rd</t>
  </si>
  <si>
    <t>Monclova</t>
  </si>
  <si>
    <t>43542</t>
  </si>
  <si>
    <t>Monfort Heights Elementary School</t>
  </si>
  <si>
    <t>3711 W Fork Rd, Cincinnati, Ohio, 45247</t>
  </si>
  <si>
    <t>3711 W Fork Rd</t>
  </si>
  <si>
    <t>45247</t>
  </si>
  <si>
    <t>Monroe Primary School</t>
  </si>
  <si>
    <t>225 Macready Ave, Monroe, Ohio, 45050</t>
  </si>
  <si>
    <t>225 Macready Ave</t>
  </si>
  <si>
    <t>National Trail Middle School</t>
  </si>
  <si>
    <t>Monroe Elementary School</t>
  </si>
  <si>
    <t>5000 State Route 38 NW, London, Ohio, 43140</t>
  </si>
  <si>
    <t>5000 State Route 38 NW</t>
  </si>
  <si>
    <t>2117 Laurel Lindale Rd, New Richmond, Ohio, 45157</t>
  </si>
  <si>
    <t>2117 Laurel Lindale Rd</t>
  </si>
  <si>
    <t>Monroeville Elementary School</t>
  </si>
  <si>
    <t>Monroeville High School</t>
  </si>
  <si>
    <t>Monterey Elementary School</t>
  </si>
  <si>
    <t>3811 Hoover Rd, Grove City, Ohio, 43123</t>
  </si>
  <si>
    <t>3811 Hoover Rd</t>
  </si>
  <si>
    <t>Montgomery Elementary School</t>
  </si>
  <si>
    <t>9609 Montgomery Rd, Cincinnati, Ohio, 45242</t>
  </si>
  <si>
    <t>9609 Montgomery Rd</t>
  </si>
  <si>
    <t>Taft Intermediate School</t>
  </si>
  <si>
    <t>825 Smith Rd, Ashland, Ohio, 44805</t>
  </si>
  <si>
    <t>825 Smith Rd</t>
  </si>
  <si>
    <t>Monticello Elementary School</t>
  </si>
  <si>
    <t>6523 Alter Rd, Huber Heights, Ohio, 45424</t>
  </si>
  <si>
    <t>6523 Alter Rd</t>
  </si>
  <si>
    <t>Monticello Middle School</t>
  </si>
  <si>
    <t>3665 Monticello Blvd, Cleveland Heights, Ohio, 44121</t>
  </si>
  <si>
    <t>3665 Monticello Blvd</t>
  </si>
  <si>
    <t>Montpelier Elementary School</t>
  </si>
  <si>
    <t>Montpelier High School</t>
  </si>
  <si>
    <t>Montrose Elementary School</t>
  </si>
  <si>
    <t>2555 E Main St, Bexley, Ohio, 43209</t>
  </si>
  <si>
    <t>2555 E Main St</t>
  </si>
  <si>
    <t>Kettering Early Childhood Education Center</t>
  </si>
  <si>
    <t>2600 Holman St, Dayton, Ohio, 45439</t>
  </si>
  <si>
    <t>2600 Holman St</t>
  </si>
  <si>
    <t>Morgan Elementary School</t>
  </si>
  <si>
    <t>3427 Chapel Rd, Hamilton, Ohio, 45013</t>
  </si>
  <si>
    <t>3427 Chapel Rd</t>
  </si>
  <si>
    <t>Morgan High School</t>
  </si>
  <si>
    <t>800 Raider Dr, Mc Connelsville, Ohio, 43756</t>
  </si>
  <si>
    <t>800 Raider Dr</t>
  </si>
  <si>
    <t>Northridge Elementary School</t>
  </si>
  <si>
    <t>Morrison Gordon Elementary School</t>
  </si>
  <si>
    <t>793 W Union St, Athens, Ohio, 45701</t>
  </si>
  <si>
    <t>793 W Union St</t>
  </si>
  <si>
    <t>Morton Middle School</t>
  </si>
  <si>
    <t>8555 Peters Pike, Vandalia, Ohio, 45377</t>
  </si>
  <si>
    <t>8555 Peters Pike</t>
  </si>
  <si>
    <t>Mound Elementary School</t>
  </si>
  <si>
    <t>5935 Ackley Rd, Cleveland, Ohio, 44105</t>
  </si>
  <si>
    <t>5935 Ackley Rd</t>
  </si>
  <si>
    <t>1108 Range Ave, Miamisburg, Ohio, 45342</t>
  </si>
  <si>
    <t>1108 Range Ave</t>
  </si>
  <si>
    <t>Mt. Airy School</t>
  </si>
  <si>
    <t>5730 Colerain Ave, Cincinnati, Ohio, 45239</t>
  </si>
  <si>
    <t>5730 Colerain Ave</t>
  </si>
  <si>
    <t>Mount Eaton Elementary School</t>
  </si>
  <si>
    <t>8746 Market Street, Mount Eaton, Ohio, 44659</t>
  </si>
  <si>
    <t>8746 Market Street</t>
  </si>
  <si>
    <t>Mount Eaton</t>
  </si>
  <si>
    <t>44659</t>
  </si>
  <si>
    <t>Mt Gilead High School</t>
  </si>
  <si>
    <t>338 W Park Ave, Mount Gilead, Ohio, 43338</t>
  </si>
  <si>
    <t>338 W Park Ave</t>
  </si>
  <si>
    <t>Park Avenue Elementary School</t>
  </si>
  <si>
    <t>335 W Park Ave, Mount Gilead, Ohio, 43338</t>
  </si>
  <si>
    <t>335 W Park Ave</t>
  </si>
  <si>
    <t>Mt Gilead Middle School</t>
  </si>
  <si>
    <t>324 W Park Ave, Mount Gilead, Ohio, 43338</t>
  </si>
  <si>
    <t>324 W Park Ave</t>
  </si>
  <si>
    <t>Mt Healthy High School</t>
  </si>
  <si>
    <t>8101 Hamilton Ave, Cincinnati, Ohio, 45231</t>
  </si>
  <si>
    <t>8101 Hamilton Ave</t>
  </si>
  <si>
    <t>Mt Hope Elementary School</t>
  </si>
  <si>
    <t>8242 State Route 241, Mt. Hope, Ohio, 44660</t>
  </si>
  <si>
    <t>8242 State Route 241</t>
  </si>
  <si>
    <t>Mt. Hope</t>
  </si>
  <si>
    <t>44660</t>
  </si>
  <si>
    <t>Chillicothe Primary School</t>
  </si>
  <si>
    <t>235 Cherry St, Chillicothe, Ohio, 45601</t>
  </si>
  <si>
    <t>235 Cherry St</t>
  </si>
  <si>
    <t>Western Brown High School</t>
  </si>
  <si>
    <t>476 W Main St, Mount Orab, Ohio, 45154</t>
  </si>
  <si>
    <t>476 W Main St</t>
  </si>
  <si>
    <t>The School of One</t>
  </si>
  <si>
    <t>3575 W 130th St, Cleveland, Ohio, 44111</t>
  </si>
  <si>
    <t>3575 W 130th St</t>
  </si>
  <si>
    <t>Mount Vernon High School</t>
  </si>
  <si>
    <t>300 Yellow Jacket Drive, Mount Vernon, Ohio, 43050</t>
  </si>
  <si>
    <t>300 Yellow Jacket Drive</t>
  </si>
  <si>
    <t>Mt. Washington School</t>
  </si>
  <si>
    <t>1730 Mears Ave, Cincinnati, Ohio, 45230</t>
  </si>
  <si>
    <t>1730 Mears Ave</t>
  </si>
  <si>
    <t>Tallmadge Elementary School</t>
  </si>
  <si>
    <t>480 East Ave, Tallmadge, Ohio, 44278</t>
  </si>
  <si>
    <t>480 East Ave</t>
  </si>
  <si>
    <t>John McIntire Elementary School</t>
  </si>
  <si>
    <t>1275 Roosevelt Ave, Zanesville, Ohio, 43701</t>
  </si>
  <si>
    <t>1275 Roosevelt Ave</t>
  </si>
  <si>
    <t>Munson Elementary School</t>
  </si>
  <si>
    <t>12687 Bass Lake Rd, Chardon, Ohio, 44024</t>
  </si>
  <si>
    <t>12687 Bass Lake Rd</t>
  </si>
  <si>
    <t>Muraski Elementary School</t>
  </si>
  <si>
    <t>20270 Royalton Rd, Strongsville, Ohio, 44149</t>
  </si>
  <si>
    <t>20270 Royalton Rd</t>
  </si>
  <si>
    <t>44149</t>
  </si>
  <si>
    <t>North Avondale Montessori School</t>
  </si>
  <si>
    <t>615 Clinton Springs Ave, Cincinnati, Ohio, 45229</t>
  </si>
  <si>
    <t>615 Clinton Springs Ave</t>
  </si>
  <si>
    <t>45229</t>
  </si>
  <si>
    <t>North Baltimore High School</t>
  </si>
  <si>
    <t>2012 Tiger Dr, North Baltimore, Ohio, 45872</t>
  </si>
  <si>
    <t>2012 Tiger Dr</t>
  </si>
  <si>
    <t>North Canton Middle School</t>
  </si>
  <si>
    <t>605 Fair Oaks Ave SW, North Canton, Ohio, 44720</t>
  </si>
  <si>
    <t>605 Fair Oaks Ave SW</t>
  </si>
  <si>
    <t>North Central Junior/High School</t>
  </si>
  <si>
    <t>North College Hill High School</t>
  </si>
  <si>
    <t>1620 W Galbraith Rd, Cincinnati, Ohio, 45239</t>
  </si>
  <si>
    <t>1620 W Galbraith Rd</t>
  </si>
  <si>
    <t>South Range Elementary School</t>
  </si>
  <si>
    <t>South Range High School</t>
  </si>
  <si>
    <t>North Linden Elementary School</t>
  </si>
  <si>
    <t>1718 E Cooke Rd, Columbus, Ohio, 43224</t>
  </si>
  <si>
    <t>1718 E Cooke Rd</t>
  </si>
  <si>
    <t>North Elementary School</t>
  </si>
  <si>
    <t>1941 Red Bird Rd, Madison, Ohio, 44057</t>
  </si>
  <si>
    <t>1941 Red Bird Rd</t>
  </si>
  <si>
    <t>North Nimishillen Elementary School</t>
  </si>
  <si>
    <t>7337 Easton St, Louisville, Ohio, 44641</t>
  </si>
  <si>
    <t>7337 Easton St</t>
  </si>
  <si>
    <t>North Olmsted High School</t>
  </si>
  <si>
    <t>27301 Butternut Ridge Rd, North Olmsted, Ohio, 44070</t>
  </si>
  <si>
    <t>27301 Butternut Ridge Rd</t>
  </si>
  <si>
    <t>North Olmsted Middle School</t>
  </si>
  <si>
    <t>27401 Butternut Ridge Rd, North Olmsted, Ohio, 44070</t>
  </si>
  <si>
    <t>27401 Butternut Ridge Rd</t>
  </si>
  <si>
    <t>North Ridgeville High School</t>
  </si>
  <si>
    <t>34600 Bainbridge Rd, North Ridgeville, Ohio, 44039</t>
  </si>
  <si>
    <t>34600 Bainbridge Rd</t>
  </si>
  <si>
    <t>North Ridgeville Academic Center</t>
  </si>
  <si>
    <t>William Crawford Intermediate Schools</t>
  </si>
  <si>
    <t>North Union Middle School</t>
  </si>
  <si>
    <t>12555 Mulvane Rd, Richwood, Ohio, 43344</t>
  </si>
  <si>
    <t>12555 Mulvane Rd</t>
  </si>
  <si>
    <t>North Union High School</t>
  </si>
  <si>
    <t>401 N Franklin St, Richwood, Ohio, 43344</t>
  </si>
  <si>
    <t>401 N Franklin St</t>
  </si>
  <si>
    <t>Napoleon Junior/Senior High School</t>
  </si>
  <si>
    <t>701 Briarheath Ave Ste 123, Napoleon, Ohio, 43545</t>
  </si>
  <si>
    <t>701 Briarheath Ave Ste 123</t>
  </si>
  <si>
    <t>Nashport Elementary School</t>
  </si>
  <si>
    <t>3775 Creamery Rd, Nashport, Ohio, 43830</t>
  </si>
  <si>
    <t>3775 Creamery Rd</t>
  </si>
  <si>
    <t>Nashport</t>
  </si>
  <si>
    <t>43830</t>
  </si>
  <si>
    <t>Nashville Elementary School</t>
  </si>
  <si>
    <t>13495 State Route 39, Big Prairie, Ohio, 44611</t>
  </si>
  <si>
    <t>13495 State Route 39</t>
  </si>
  <si>
    <t>Big Prairie</t>
  </si>
  <si>
    <t>44611</t>
  </si>
  <si>
    <t>Nathan Hale School</t>
  </si>
  <si>
    <t>3588 Martin Luther King Dr, Cleveland, Ohio, 44105</t>
  </si>
  <si>
    <t>3588 Martin Luther King Dr</t>
  </si>
  <si>
    <t>National Trail High School</t>
  </si>
  <si>
    <t>Navarre Elementary School</t>
  </si>
  <si>
    <t>800 Kingston Ave, Toledo, Ohio, 43605</t>
  </si>
  <si>
    <t>800 Kingston Ave</t>
  </si>
  <si>
    <t>Mathews Junior High School</t>
  </si>
  <si>
    <t>Special Education Center</t>
  </si>
  <si>
    <t>1490 E Main St, Columbus, Ohio, 43205</t>
  </si>
  <si>
    <t>1490 E Main St</t>
  </si>
  <si>
    <t>Nelsonville-York High School</t>
  </si>
  <si>
    <t>1 Buckeye Dr, Nelsonville, Ohio, 45764</t>
  </si>
  <si>
    <t>1 Buckeye Dr</t>
  </si>
  <si>
    <t>Nelsonville-York Junior High School</t>
  </si>
  <si>
    <t>3 Buckeye Dr, Nelsonville, Ohio, 45764</t>
  </si>
  <si>
    <t>3 Buckeye Dr</t>
  </si>
  <si>
    <t>Nevin Coppock Elementary School</t>
  </si>
  <si>
    <t>525 N Hyatt St, Tipp City, Ohio, 45371</t>
  </si>
  <si>
    <t>525 N Hyatt St</t>
  </si>
  <si>
    <t>New Bremen Elementary School</t>
  </si>
  <si>
    <t>New Bremen High School</t>
  </si>
  <si>
    <t>Mt. Healthy North Elementary School</t>
  </si>
  <si>
    <t>2170 Struble Rd, Cincinnati, Ohio, 45231</t>
  </si>
  <si>
    <t>2170 Struble Rd</t>
  </si>
  <si>
    <t>Miller City Middle School</t>
  </si>
  <si>
    <t>New Concord Elementary School</t>
  </si>
  <si>
    <t>4 Stormont St, New Concord, Ohio, 43762</t>
  </si>
  <si>
    <t>4 Stormont St</t>
  </si>
  <si>
    <t>New Knoxville Elementary School</t>
  </si>
  <si>
    <t>345 N Main St, New Knoxville, Ohio, 45871</t>
  </si>
  <si>
    <t>345 N Main St</t>
  </si>
  <si>
    <t>New Knoxville High School</t>
  </si>
  <si>
    <t>Dixie Elementary School</t>
  </si>
  <si>
    <t>1150 W Main St, New Lebanon, Ohio, 45345</t>
  </si>
  <si>
    <t>1150 W Main St</t>
  </si>
  <si>
    <t>Dixie Middle School</t>
  </si>
  <si>
    <t>200 S Fuls Rd, New Lebanon, Ohio, 45345</t>
  </si>
  <si>
    <t>200 S Fuls Rd</t>
  </si>
  <si>
    <t>New Lexington Elementary School</t>
  </si>
  <si>
    <t>2550 Panther Dr NE, New Lexington, Ohio, 43764</t>
  </si>
  <si>
    <t>2550 Panther Dr NE</t>
  </si>
  <si>
    <t>New Lexington Middle School</t>
  </si>
  <si>
    <t>2549 Panther Dr NE, New Lexington, Ohio, 43764</t>
  </si>
  <si>
    <t>2549 Panther Dr NE</t>
  </si>
  <si>
    <t>New London Elementary School</t>
  </si>
  <si>
    <t>1 Wildcat Dr, New London, Ohio, 44851</t>
  </si>
  <si>
    <t>1 Wildcat Dr</t>
  </si>
  <si>
    <t>New London High School</t>
  </si>
  <si>
    <t>Tri-Village High School</t>
  </si>
  <si>
    <t>New Miami Elementary School</t>
  </si>
  <si>
    <t>New Miami  High School</t>
  </si>
  <si>
    <t>Springfield Elementary School</t>
  </si>
  <si>
    <t>11419 Youngstown Pittsburgh Rd, New Middletown, Ohio, 44442</t>
  </si>
  <si>
    <t>11419 Youngstown Pittsburgh Rd</t>
  </si>
  <si>
    <t>New Philadelphia High School</t>
  </si>
  <si>
    <t>343 Ray Ave NW, New Philadelphia, Ohio, 44663</t>
  </si>
  <si>
    <t>343 Ray Ave NW</t>
  </si>
  <si>
    <t>New Richmond High School</t>
  </si>
  <si>
    <t>1131 Bethel New Richmond Rd, New Richmond, Ohio, 45157</t>
  </si>
  <si>
    <t>1131 Bethel New Richmond Rd</t>
  </si>
  <si>
    <t>New Richmond Middle School</t>
  </si>
  <si>
    <t>1141 Bethel New Richmond Rd, New Richmond, Ohio, 45157</t>
  </si>
  <si>
    <t>1141 Bethel New Richmond Rd</t>
  </si>
  <si>
    <t>New Riegel Elementary School</t>
  </si>
  <si>
    <t>New Riegel High School</t>
  </si>
  <si>
    <t>New Vienna Elementary School</t>
  </si>
  <si>
    <t>301 E Church St, New Vienna, Ohio, 45159</t>
  </si>
  <si>
    <t>301 E Church St</t>
  </si>
  <si>
    <t>New Vienna</t>
  </si>
  <si>
    <t>45159</t>
  </si>
  <si>
    <t>3407 Middleton Rd, Columbiana, Ohio, 44408</t>
  </si>
  <si>
    <t>3407 Middleton Rd</t>
  </si>
  <si>
    <t>Newark High School</t>
  </si>
  <si>
    <t>314 Granville St, Newark, Ohio, 43055</t>
  </si>
  <si>
    <t>314 Granville St</t>
  </si>
  <si>
    <t>Newcomerstown High School</t>
  </si>
  <si>
    <t>1 Woody Hayes Drive, Newcomerstown, Ohio, 43832</t>
  </si>
  <si>
    <t>1 Woody Hayes Drive</t>
  </si>
  <si>
    <t>Newport Elementary School</t>
  </si>
  <si>
    <t>100 Harrison St, Newport, Ohio, 45768</t>
  </si>
  <si>
    <t>100 Harrison St</t>
  </si>
  <si>
    <t>Newport</t>
  </si>
  <si>
    <t>45768</t>
  </si>
  <si>
    <t>Newton D Baker School</t>
  </si>
  <si>
    <t>3690 W 159th St, Cleveland, Ohio, 44111</t>
  </si>
  <si>
    <t>3690 W 159th St</t>
  </si>
  <si>
    <t>Newton Elementary School</t>
  </si>
  <si>
    <t>6645 Mount Vernon Rd, Newark, Ohio, 43055</t>
  </si>
  <si>
    <t>6645 Mount Vernon Rd</t>
  </si>
  <si>
    <t>Newton Falls High School</t>
  </si>
  <si>
    <t>907 Milton Blvd, Newton Falls, Ohio, 44444</t>
  </si>
  <si>
    <t>907 Milton Blvd</t>
  </si>
  <si>
    <t>Newton High School</t>
  </si>
  <si>
    <t>2600 Bartels Rd, Cincinnati, Ohio, 45244</t>
  </si>
  <si>
    <t>2600 Bartels Rd</t>
  </si>
  <si>
    <t>45244</t>
  </si>
  <si>
    <t>Fairview Middle School</t>
  </si>
  <si>
    <t>Circleville Elementary School</t>
  </si>
  <si>
    <t>100 Tiger Drive, Circleville, Ohio, 43113</t>
  </si>
  <si>
    <t>100 Tiger Drive</t>
  </si>
  <si>
    <t>Noble Elementary School</t>
  </si>
  <si>
    <t>1293 Ardoon St, Cleveland Heights, Ohio, 44121</t>
  </si>
  <si>
    <t>1293 Ardoon St</t>
  </si>
  <si>
    <t>Noble 4-5 Elementary</t>
  </si>
  <si>
    <t>130 Minerva St, Tiffin, Ohio, 44883</t>
  </si>
  <si>
    <t>130 Minerva St</t>
  </si>
  <si>
    <t>Nolley Elementary School</t>
  </si>
  <si>
    <t>6285 Renninger Rd, Akron, Ohio, 44319</t>
  </si>
  <si>
    <t>6285 Renninger Rd</t>
  </si>
  <si>
    <t>Nordonia Middle School</t>
  </si>
  <si>
    <t>73 Leonard Ave, Northfield, Ohio, 44067</t>
  </si>
  <si>
    <t>73 Leonard Ave</t>
  </si>
  <si>
    <t>Nordonia High School</t>
  </si>
  <si>
    <t>8006 S Bedford Rd, Macedonia, Ohio, 44056</t>
  </si>
  <si>
    <t>8006 S Bedford Rd</t>
  </si>
  <si>
    <t>Normandy Elementary School</t>
  </si>
  <si>
    <t>401 Normandy Ridge Rd, Dayton, Ohio, 45459</t>
  </si>
  <si>
    <t>401 Normandy Ridge Rd</t>
  </si>
  <si>
    <t>26920 Normandy Rd, Bay Village, Ohio, 44140</t>
  </si>
  <si>
    <t>26920 Normandy Rd</t>
  </si>
  <si>
    <t>Normandy High School</t>
  </si>
  <si>
    <t>2500 W Pleasant Valley Rd, Parma, Ohio, 44134</t>
  </si>
  <si>
    <t>2500 W Pleasant Valley Rd</t>
  </si>
  <si>
    <t>Fairfield North Elementary School</t>
  </si>
  <si>
    <t>6116 Morris Rd, Hamilton, Ohio, 45011</t>
  </si>
  <si>
    <t>6116 Morris Rd</t>
  </si>
  <si>
    <t>Waverly Junior High School</t>
  </si>
  <si>
    <t>3 Tiger Drive, Waverly, Ohio, 45690</t>
  </si>
  <si>
    <t>3 Tiger Drive</t>
  </si>
  <si>
    <t>90 Maine Blvd, East Liverpool, Ohio, 43920</t>
  </si>
  <si>
    <t>90 Maine Blvd</t>
  </si>
  <si>
    <t>Orrville Elementary School</t>
  </si>
  <si>
    <t>605 Mineral Springs St, Orrville, Ohio, 44667</t>
  </si>
  <si>
    <t>605 Mineral Springs St</t>
  </si>
  <si>
    <t>Lincolnview Elementary School</t>
  </si>
  <si>
    <t>Crestline Preschool</t>
  </si>
  <si>
    <t>Tuslaw Elementary School</t>
  </si>
  <si>
    <t>1920 Manchester Ave NW, Massillon, Ohio, 44647</t>
  </si>
  <si>
    <t>1920 Manchester Ave NW</t>
  </si>
  <si>
    <t>North High School</t>
  </si>
  <si>
    <t>985 Gorge Blvd, Akron, Ohio, 44310</t>
  </si>
  <si>
    <t>985 Gorge Blvd</t>
  </si>
  <si>
    <t>34041 Stevens Blvd, Eastlake, Ohio, 44095</t>
  </si>
  <si>
    <t>34041 Stevens Blvd</t>
  </si>
  <si>
    <t>M L King Elementary School</t>
  </si>
  <si>
    <t>2724 Mariner Ave, Youngstown, Ohio, 44505</t>
  </si>
  <si>
    <t>2724 Mariner Ave</t>
  </si>
  <si>
    <t>Northeastern Middle/High School</t>
  </si>
  <si>
    <t>140 W Main St, South Vienna, Ohio, 45369</t>
  </si>
  <si>
    <t>140 W Main St</t>
  </si>
  <si>
    <t>South Vienna</t>
  </si>
  <si>
    <t>45369</t>
  </si>
  <si>
    <t>Clermont Northeastern Middle School</t>
  </si>
  <si>
    <t>2792 US Highway 50, Batavia, Ohio, 45103</t>
  </si>
  <si>
    <t>2792 US Highway 50</t>
  </si>
  <si>
    <t>Northfield Elementary School</t>
  </si>
  <si>
    <t>9370 Olde 8 Rd, Northfield, Ohio, 44067</t>
  </si>
  <si>
    <t>9370 Olde 8 Rd</t>
  </si>
  <si>
    <t>Northland High School</t>
  </si>
  <si>
    <t>1919 Northcliff Dr, Columbus, Ohio, 43229</t>
  </si>
  <si>
    <t>1919 Northcliff Dr</t>
  </si>
  <si>
    <t>Northmont High School</t>
  </si>
  <si>
    <t>4916 National Rd, Clayton, Ohio, 45315</t>
  </si>
  <si>
    <t>4916 National Rd</t>
  </si>
  <si>
    <t>Clayton</t>
  </si>
  <si>
    <t>Northmont Middle School</t>
  </si>
  <si>
    <t>4810 National Rd, Clayton, Ohio, 45315</t>
  </si>
  <si>
    <t>4810 National Rd</t>
  </si>
  <si>
    <t>Northmoor Elementary School</t>
  </si>
  <si>
    <t>4421 Old Salem Rd, Englewood, Ohio, 45322</t>
  </si>
  <si>
    <t>4421 Old Salem Rd</t>
  </si>
  <si>
    <t>Northmor High School</t>
  </si>
  <si>
    <t>Northridge High School</t>
  </si>
  <si>
    <t>6066 Johnstown Utica Rd, Johnstown, Ohio, 43031</t>
  </si>
  <si>
    <t>6066 Johnstown Utica Rd</t>
  </si>
  <si>
    <t>Claymont Intermediate School</t>
  </si>
  <si>
    <t>220 N 3rd St, Dennison, Ohio, 44621</t>
  </si>
  <si>
    <t>220 N 3rd St</t>
  </si>
  <si>
    <t>Northtowne Elementary School</t>
  </si>
  <si>
    <t>4767 Northtowne Blvd, Columbus, Ohio, 43229</t>
  </si>
  <si>
    <t>4767 Northtowne Blvd</t>
  </si>
  <si>
    <t>Robert C Lindsey Elementary School</t>
  </si>
  <si>
    <t>11844 Caves Rd, Chesterland, Ohio, 44026</t>
  </si>
  <si>
    <t>11844 Caves Rd</t>
  </si>
  <si>
    <t>Northview Primary School</t>
  </si>
  <si>
    <t>133 Lexington Ave, Findlay, Ohio, 45840</t>
  </si>
  <si>
    <t>133 Lexington Ave</t>
  </si>
  <si>
    <t>Northwest High School</t>
  </si>
  <si>
    <t>914 Mohawk Dr, Mc Dermott, Ohio, 45652</t>
  </si>
  <si>
    <t>914 Mohawk Dr</t>
  </si>
  <si>
    <t>8580 Erie Ave NW, Canal Fulton, Ohio, 44614</t>
  </si>
  <si>
    <t>8580 Erie Ave NW</t>
  </si>
  <si>
    <t>Northwestern Elementary School</t>
  </si>
  <si>
    <t>Northwestern High School</t>
  </si>
  <si>
    <t>7473 N Elyria Rd, West Salem, Ohio, 44287</t>
  </si>
  <si>
    <t>7473 N Elyria Rd</t>
  </si>
  <si>
    <t>Northwestern Junior/Senior High School</t>
  </si>
  <si>
    <t>5650 Troy Rd, Springfield, Ohio, 45502</t>
  </si>
  <si>
    <t>5650 Troy Rd</t>
  </si>
  <si>
    <t>Greenwood Elementary School</t>
  </si>
  <si>
    <t>760 Northlawn Dr, Toledo, Ohio, 43612</t>
  </si>
  <si>
    <t>760 Northlawn Dr</t>
  </si>
  <si>
    <t>Northwood Elementary School</t>
  </si>
  <si>
    <t>600 Lemoyne Rd, Northwood, Ohio, 43619</t>
  </si>
  <si>
    <t>600 Lemoyne Rd</t>
  </si>
  <si>
    <t>Northwood High School</t>
  </si>
  <si>
    <t>Northwood Middle School</t>
  </si>
  <si>
    <t>570 Abbe Rd N, Elyria, Ohio, 44035</t>
  </si>
  <si>
    <t>570 Abbe Rd N</t>
  </si>
  <si>
    <t>Norton High School</t>
  </si>
  <si>
    <t>1 Panther Way, Norton, Ohio, 44203</t>
  </si>
  <si>
    <t>1 Panther Way</t>
  </si>
  <si>
    <t>Norton Elementary School</t>
  </si>
  <si>
    <t>3390 S Cleveland Massillon Rd, Norton, Ohio, 44203</t>
  </si>
  <si>
    <t>3390 S Cleveland Massillon Rd</t>
  </si>
  <si>
    <t>Norton Middle School</t>
  </si>
  <si>
    <t>4108 S Cleveland Massillon Rd, Norton, Ohio, 44203</t>
  </si>
  <si>
    <t>4108 S Cleveland Massillon Rd</t>
  </si>
  <si>
    <t>Norton Primary Elementary School</t>
  </si>
  <si>
    <t>3163 Greenwich Rd, Norton, Ohio, 44203</t>
  </si>
  <si>
    <t>3163 Greenwich Rd</t>
  </si>
  <si>
    <t>Norwalk Middle School</t>
  </si>
  <si>
    <t>64 Christie Ave, Norwalk, Ohio, 44857</t>
  </si>
  <si>
    <t>64 Christie Ave</t>
  </si>
  <si>
    <t>Norwalk High School</t>
  </si>
  <si>
    <t>350 Shady Lane Dr, Norwalk, Ohio, 44857</t>
  </si>
  <si>
    <t>350 Shady Lane Dr</t>
  </si>
  <si>
    <t>Norwayne High School</t>
  </si>
  <si>
    <t>Norwood High School</t>
  </si>
  <si>
    <t>2020 Sherman Ave, Norwood, Ohio, 45212</t>
  </si>
  <si>
    <t>2020 Sherman Ave</t>
  </si>
  <si>
    <t>Norwood View Elementary School</t>
  </si>
  <si>
    <t>5328 Carthage Ave, Norwood, Ohio, 45212</t>
  </si>
  <si>
    <t>5328 Carthage Ave</t>
  </si>
  <si>
    <t>Northwest Middle School</t>
  </si>
  <si>
    <t>8614 Erie Ave NW, Canal Fulton, Ohio, 44614</t>
  </si>
  <si>
    <t>8614 Erie Ave NW</t>
  </si>
  <si>
    <t>Oak Intermediate Elementary School</t>
  </si>
  <si>
    <t>Oak Harbor High School</t>
  </si>
  <si>
    <t>11661 W State Route 163, Oak Harbor, Ohio, 43449</t>
  </si>
  <si>
    <t>11661 W State Route 163</t>
  </si>
  <si>
    <t>Oak Hills High School</t>
  </si>
  <si>
    <t>3200 Ebenezer Rd, Cincinnati, Ohio, 45248</t>
  </si>
  <si>
    <t>3200 Ebenezer Rd</t>
  </si>
  <si>
    <t>Oakdale Elementary School</t>
  </si>
  <si>
    <t>1620 E Broadway St, Toledo, Ohio, 43605</t>
  </si>
  <si>
    <t>1620 E Broadway St</t>
  </si>
  <si>
    <t>Oakland Park Alternative Elementary</t>
  </si>
  <si>
    <t>3392 Atwood Ter, Columbus, Ohio, 43224</t>
  </si>
  <si>
    <t>3392 Atwood Ter</t>
  </si>
  <si>
    <t>Oakmont  Elementary School</t>
  </si>
  <si>
    <t>5666 Oakmont Dr, Columbus, Ohio, 43232</t>
  </si>
  <si>
    <t>5666 Oakmont Dr</t>
  </si>
  <si>
    <t>Oakview Elementary School</t>
  </si>
  <si>
    <t>4001 Ackerman Blvd, Kettering, Ohio, 45429</t>
  </si>
  <si>
    <t>4001 Ackerman Blvd</t>
  </si>
  <si>
    <t>GlenOak High School</t>
  </si>
  <si>
    <t>1801 Schneider St NE, Canton, Ohio, 44721</t>
  </si>
  <si>
    <t>1801 Schneider St NE</t>
  </si>
  <si>
    <t>Oakwood High School</t>
  </si>
  <si>
    <t>1200 Far Hills Ave, Dayton, Ohio, 45419</t>
  </si>
  <si>
    <t>1200 Far Hills Ave</t>
  </si>
  <si>
    <t>Langston Middle School</t>
  </si>
  <si>
    <t>150 N Pleasant St, Oberlin, Ohio, 44074</t>
  </si>
  <si>
    <t>150 N Pleasant St</t>
  </si>
  <si>
    <t>Oberlin High School</t>
  </si>
  <si>
    <t>281 N Pleasant St, Oberlin, Ohio, 44074</t>
  </si>
  <si>
    <t>281 N Pleasant St</t>
  </si>
  <si>
    <t>Hamilton Middle School</t>
  </si>
  <si>
    <t>755 Rathmell Rd, Columbus, Ohio, 43207</t>
  </si>
  <si>
    <t>755 Rathmell Rd</t>
  </si>
  <si>
    <t>Olde Sawmill Elementary School</t>
  </si>
  <si>
    <t>2485 Olde Sawmill Blvd, Dublin, Ohio, 43016</t>
  </si>
  <si>
    <t>2485 Olde Sawmill Blvd</t>
  </si>
  <si>
    <t>43016</t>
  </si>
  <si>
    <t>Ohio Avenue Elementary School</t>
  </si>
  <si>
    <t>505 S Ohio Ave, Columbus, Ohio, 43205</t>
  </si>
  <si>
    <t>505 S Ohio Ave</t>
  </si>
  <si>
    <t>Austintown Intermediate School</t>
  </si>
  <si>
    <t>225 Idaho Rd, Youngstown, Ohio, 44515</t>
  </si>
  <si>
    <t>225 Idaho Rd</t>
  </si>
  <si>
    <t>Old Fort Elementary School Bettsville Campus</t>
  </si>
  <si>
    <t>118 Washington St, Bettsville, Ohio, 44815</t>
  </si>
  <si>
    <t>118 Washington St</t>
  </si>
  <si>
    <t>Bettsville</t>
  </si>
  <si>
    <t>44815</t>
  </si>
  <si>
    <t>Old Fort High School</t>
  </si>
  <si>
    <t>7635 N Co Rd 51, Tiffin, Ohio, 44883</t>
  </si>
  <si>
    <t>7635 N Co Rd 51</t>
  </si>
  <si>
    <t>Old Orchard Elementary School</t>
  </si>
  <si>
    <t>2402 Cheltenham Rd, Toledo, Ohio, 43606</t>
  </si>
  <si>
    <t>2402 Cheltenham Rd</t>
  </si>
  <si>
    <t>Buckeye Trail Middle School</t>
  </si>
  <si>
    <t>Olde Orchard Alt Elementary School</t>
  </si>
  <si>
    <t>800 McNaughten Rd, Columbus, Ohio, 43213</t>
  </si>
  <si>
    <t>800 McNaughten Rd</t>
  </si>
  <si>
    <t>Olentangy High School</t>
  </si>
  <si>
    <t>675 Lewis Center Rd, Lewis Center, Ohio, 43035</t>
  </si>
  <si>
    <t>675 Lewis Center Rd</t>
  </si>
  <si>
    <t>Tecumseh  Middle School</t>
  </si>
  <si>
    <t>10000 W National Rd, New Carlisle, Ohio, 45344</t>
  </si>
  <si>
    <t>10000 W National Rd</t>
  </si>
  <si>
    <t>Trotwood-Madison Early Learning Center</t>
  </si>
  <si>
    <t>4400 N Union Rd, Trotwood, Ohio, 45426</t>
  </si>
  <si>
    <t>4400 N Union Rd</t>
  </si>
  <si>
    <t>Oliver Hazard Perry Elementary School</t>
  </si>
  <si>
    <t>18400 Schenely Ave, Cleveland, Ohio, 44119</t>
  </si>
  <si>
    <t>18400 Schenely Ave</t>
  </si>
  <si>
    <t>Olmsted Falls High School</t>
  </si>
  <si>
    <t>26939 Bagley Rd, Olmsted Falls, Ohio, 44138</t>
  </si>
  <si>
    <t>26939 Bagley Rd</t>
  </si>
  <si>
    <t>Olmsted Falls Middle School</t>
  </si>
  <si>
    <t>27045 Bagley Rd, Olmsted Falls, Ohio, 44138</t>
  </si>
  <si>
    <t>27045 Bagley Rd</t>
  </si>
  <si>
    <t>Onaway Elementary School</t>
  </si>
  <si>
    <t>3115 Woodbury Rd, Shaker Heights, Ohio, 44120</t>
  </si>
  <si>
    <t>3115 Woodbury Rd</t>
  </si>
  <si>
    <t>The Sandusky Primary School</t>
  </si>
  <si>
    <t>924 Ontario St, Sandusky, Ohio, 44870</t>
  </si>
  <si>
    <t>924 Ontario St</t>
  </si>
  <si>
    <t>Ontario High School</t>
  </si>
  <si>
    <t>467 Shelby Ontario Rd, Mansfield, Ohio, 44906</t>
  </si>
  <si>
    <t>467 Shelby Ontario Rd</t>
  </si>
  <si>
    <t>Ontario Middle School</t>
  </si>
  <si>
    <t>447 Shelby Ontario Rd, Mansfield, Ohio, 44906</t>
  </si>
  <si>
    <t>447 Shelby Ontario Rd</t>
  </si>
  <si>
    <t>Orange High School</t>
  </si>
  <si>
    <t>Orchard School</t>
  </si>
  <si>
    <t>4200 Bailey Ave, Cleveland, Ohio, 44113</t>
  </si>
  <si>
    <t>4200 Bailey Ave</t>
  </si>
  <si>
    <t>44113</t>
  </si>
  <si>
    <t>North Canton Intermediate School</t>
  </si>
  <si>
    <t>150 Clearmount Ave SE, North Canton, Ohio, 44720</t>
  </si>
  <si>
    <t>150 Clearmount Ave SE</t>
  </si>
  <si>
    <t>Leetonia Elementary K-6</t>
  </si>
  <si>
    <t>Orchard Park Elementary School</t>
  </si>
  <si>
    <t>600 E Dorothy Ln, Kettering, Ohio, 45419</t>
  </si>
  <si>
    <t>600 E Dorothy Ln</t>
  </si>
  <si>
    <t>Orrville High School</t>
  </si>
  <si>
    <t>841 N Ella St, Orrville, Ohio, 44667</t>
  </si>
  <si>
    <t>841 N Ella St</t>
  </si>
  <si>
    <t>Wright Brothers Middle School</t>
  </si>
  <si>
    <t>1361 Huffman Ave, Dayton, Ohio, 45403</t>
  </si>
  <si>
    <t>1361 Huffman Ave</t>
  </si>
  <si>
    <t>Reagan Elementary School</t>
  </si>
  <si>
    <t>850 Jackson Dr, Ashland, Ohio, 44805</t>
  </si>
  <si>
    <t>850 Jackson Dr</t>
  </si>
  <si>
    <t>The Sandusky Intermediate School</t>
  </si>
  <si>
    <t>2020 Hayes Ave, Sandusky, Ohio, 44870</t>
  </si>
  <si>
    <t>2020 Hayes Ave</t>
  </si>
  <si>
    <t>Buckeye Valley West Elementary School</t>
  </si>
  <si>
    <t>4340 State Route 257 S, Ostrander, Ohio, 43061</t>
  </si>
  <si>
    <t>4340 State Route 257 S</t>
  </si>
  <si>
    <t>Ostrander</t>
  </si>
  <si>
    <t>43061</t>
  </si>
  <si>
    <t>Otis Elementary School</t>
  </si>
  <si>
    <t>718 N Brush St, Fremont, Ohio, 43420</t>
  </si>
  <si>
    <t>718 N Brush St</t>
  </si>
  <si>
    <t>Otsego High School</t>
  </si>
  <si>
    <t>18505 Tontogany Creek Rd Ste 2, Bowling Green, Ohio, 43402</t>
  </si>
  <si>
    <t>18505 Tontogany Creek Rd Ste 2</t>
  </si>
  <si>
    <t>Ottawa Elementary School</t>
  </si>
  <si>
    <t>123 Putnam Pkwy, Ottawa, Ohio, 45875</t>
  </si>
  <si>
    <t>123 Putnam Pkwy</t>
  </si>
  <si>
    <t>Ottawa Hills Elementary School</t>
  </si>
  <si>
    <t>3602 Indian Rd, Toledo, Ohio, 43606</t>
  </si>
  <si>
    <t>3602 Indian Rd</t>
  </si>
  <si>
    <t>Ottawa Hills High School</t>
  </si>
  <si>
    <t>2532 Evergreen Rd, Toledo, Ohio, 43606</t>
  </si>
  <si>
    <t>2532 Evergreen Rd</t>
  </si>
  <si>
    <t>Ottawa River Elementary School</t>
  </si>
  <si>
    <t>4747 290th St, Toledo, Ohio, 43611</t>
  </si>
  <si>
    <t>4747 290th St</t>
  </si>
  <si>
    <t>Ottawa-Glandorf High School</t>
  </si>
  <si>
    <t>Ottoville Elementary School</t>
  </si>
  <si>
    <t>650 W Third St, Ottoville, Ohio, 45876</t>
  </si>
  <si>
    <t>650 W Third St</t>
  </si>
  <si>
    <t>Ottoville High School</t>
  </si>
  <si>
    <t>Overlook Elementary School</t>
  </si>
  <si>
    <t>650 Broad St, Wadsworth, Ohio, 44281</t>
  </si>
  <si>
    <t>650 Broad St</t>
  </si>
  <si>
    <t>Clermont Northeastern Elementary School</t>
  </si>
  <si>
    <t>5347 Hutchinson Rd, Batavia, Ohio, 45103</t>
  </si>
  <si>
    <t>5347 Hutchinson Rd</t>
  </si>
  <si>
    <t>Oxford Elementary School</t>
  </si>
  <si>
    <t>939 Quilliams Rd, Cleveland Heights, Ohio, 44121</t>
  </si>
  <si>
    <t>939 Quilliams Rd</t>
  </si>
  <si>
    <t>Oyler School</t>
  </si>
  <si>
    <t>2121 Hatmaker St, Cincinnati, Ohio, 45204</t>
  </si>
  <si>
    <t>2121 Hatmaker St</t>
  </si>
  <si>
    <t>45204</t>
  </si>
  <si>
    <t>Paint Valley High School</t>
  </si>
  <si>
    <t>Fairborn Intermediate School</t>
  </si>
  <si>
    <t>1020 S Maple Ave, Fairborn, Ohio, 45324</t>
  </si>
  <si>
    <t>1020 S Maple Ave</t>
  </si>
  <si>
    <t>Pandora-Gilboa Elementary School</t>
  </si>
  <si>
    <t>Pandora-Gilboa High School</t>
  </si>
  <si>
    <t>Park Elementary School</t>
  </si>
  <si>
    <t>111 Goodrich Ct, Chardon, Ohio, 44024</t>
  </si>
  <si>
    <t>111 Goodrich Ct</t>
  </si>
  <si>
    <t>Swanton Elementary School</t>
  </si>
  <si>
    <t>111 Crestwood Dr, Swanton, Ohio, 43558</t>
  </si>
  <si>
    <t>111 Crestwood Dr</t>
  </si>
  <si>
    <t>Park Layne Elementary School</t>
  </si>
  <si>
    <t>12355 Dille Rd, New Carlisle, Ohio, 45344</t>
  </si>
  <si>
    <t>12355 Dille Rd</t>
  </si>
  <si>
    <t>Western Elementary School</t>
  </si>
  <si>
    <t>Parkmoor Elementary School</t>
  </si>
  <si>
    <t>1711 Penworth Dr, Columbus, Ohio, 43229</t>
  </si>
  <si>
    <t>1711 Penworth Dr</t>
  </si>
  <si>
    <t>Dover Intermediate School</t>
  </si>
  <si>
    <t>2240 Dover Center Rd, Westlake, Ohio, 44145</t>
  </si>
  <si>
    <t>2240 Dover Center Rd</t>
  </si>
  <si>
    <t>Gilles-Sweet Elementary School</t>
  </si>
  <si>
    <t>4320 West 220 Street, Fairview Park, Ohio, 44126</t>
  </si>
  <si>
    <t>4320 West 220 Street</t>
  </si>
  <si>
    <t>Parkview Elementary School</t>
  </si>
  <si>
    <t>773 Parkview Dr, Wooster, Ohio, 44691</t>
  </si>
  <si>
    <t>773 Parkview Dr</t>
  </si>
  <si>
    <t>Alliance Early Learning School</t>
  </si>
  <si>
    <t>285 W Oxford St, Alliance, Ohio, 44601</t>
  </si>
  <si>
    <t>285 W Oxford St</t>
  </si>
  <si>
    <t>Parkway Middle School</t>
  </si>
  <si>
    <t>Parkway High School</t>
  </si>
  <si>
    <t>Northwood Intermediate School</t>
  </si>
  <si>
    <t>1152 Saint Marys Rd, Sidney, Ohio, 45365</t>
  </si>
  <si>
    <t>1152 Saint Marys Rd</t>
  </si>
  <si>
    <t>Parkwood Elementary School</t>
  </si>
  <si>
    <t>1791 Wilene Dr, Beavercreek, Ohio, 45432</t>
  </si>
  <si>
    <t>1791 Wilene Dr</t>
  </si>
  <si>
    <t>Parsons Elementary School</t>
  </si>
  <si>
    <t>3231 Lee Ellen Pl, Columbus, Ohio, 43207</t>
  </si>
  <si>
    <t>3231 Lee Ellen Pl</t>
  </si>
  <si>
    <t>Pataskala Elementary School</t>
  </si>
  <si>
    <t>395 S High St, Pataskala, Ohio, 43062</t>
  </si>
  <si>
    <t>395 S High St</t>
  </si>
  <si>
    <t>Stephanie Tubbs Jones</t>
  </si>
  <si>
    <t>11901 Durant Ave, Cleveland, Ohio, 44108</t>
  </si>
  <si>
    <t>11901 Durant Ave</t>
  </si>
  <si>
    <t>Paul L Dunbar Elementary School</t>
  </si>
  <si>
    <t>2159 West 29th, Cleveland, Ohio, 44113</t>
  </si>
  <si>
    <t>2159 West 29th</t>
  </si>
  <si>
    <t>Kenston Intermediate School</t>
  </si>
  <si>
    <t>Paulding Middle School</t>
  </si>
  <si>
    <t>Paulding High School</t>
  </si>
  <si>
    <t>Payne Elementary School</t>
  </si>
  <si>
    <t>501 W Townline St, Payne, Ohio, 45880</t>
  </si>
  <si>
    <t>501 W Townline St</t>
  </si>
  <si>
    <t>Payne</t>
  </si>
  <si>
    <t>45880</t>
  </si>
  <si>
    <t>Wayne Trace High School</t>
  </si>
  <si>
    <t>Peebles Elementary School</t>
  </si>
  <si>
    <t>700 Indian Dr, Peebles, Ohio, 45660</t>
  </si>
  <si>
    <t>700 Indian Dr</t>
  </si>
  <si>
    <t>Peebles</t>
  </si>
  <si>
    <t>45660</t>
  </si>
  <si>
    <t>Peebles High School</t>
  </si>
  <si>
    <t>25719 State Route 41, Peebles, Ohio, 45660</t>
  </si>
  <si>
    <t>25719 State Route 41</t>
  </si>
  <si>
    <t>Wyoming Middle School</t>
  </si>
  <si>
    <t>17 Wyoming Ave, Wyoming, Ohio, 45215</t>
  </si>
  <si>
    <t>17 Wyoming Ave</t>
  </si>
  <si>
    <t>Keystone Elementary School</t>
  </si>
  <si>
    <t>Campbell Elementary School</t>
  </si>
  <si>
    <t>2002 Community Cir, Campbell, Ohio, 44405</t>
  </si>
  <si>
    <t>2002 Community Cir</t>
  </si>
  <si>
    <t>Pennyroyal Elementary School</t>
  </si>
  <si>
    <t>4203 Pennyroyal Rd, Franklin, Ohio, 45005</t>
  </si>
  <si>
    <t>4203 Pennyroyal Rd</t>
  </si>
  <si>
    <t>Orange Inclusive Preschool</t>
  </si>
  <si>
    <t>Briar Middle School</t>
  </si>
  <si>
    <t>3700 South Ave, Sandusky, Ohio, 44870</t>
  </si>
  <si>
    <t>3700 South Ave</t>
  </si>
  <si>
    <t>Perkins High School</t>
  </si>
  <si>
    <t>3714 Campbell St, Sandusky, Ohio, 44870</t>
  </si>
  <si>
    <t>3714 Campbell St</t>
  </si>
  <si>
    <t>Perrin Woods Elementary School</t>
  </si>
  <si>
    <t>431 W John St, Springfield, Ohio, 45506</t>
  </si>
  <si>
    <t>431 W John St</t>
  </si>
  <si>
    <t>6975 East Pike, Zanesville, Ohio, 43701</t>
  </si>
  <si>
    <t>6975 East Pike</t>
  </si>
  <si>
    <t>Perry High School</t>
  </si>
  <si>
    <t>3737 13th St SW, Massillon, Ohio, 44646</t>
  </si>
  <si>
    <t>3737 13th St SW</t>
  </si>
  <si>
    <t>1 Success Blvd, Perry, Ohio, 44081</t>
  </si>
  <si>
    <t>1 Success Blvd</t>
  </si>
  <si>
    <t>Perry Middle School</t>
  </si>
  <si>
    <t>2 Learning Ln, Perry, Ohio, 44081</t>
  </si>
  <si>
    <t>2 Learning Ln</t>
  </si>
  <si>
    <t>Perrysburg Junior High School</t>
  </si>
  <si>
    <t>550 E South Boundary St, Perrysburg, Ohio, 43551</t>
  </si>
  <si>
    <t>550 E South Boundary St</t>
  </si>
  <si>
    <t>Perrysburg High School</t>
  </si>
  <si>
    <t>13385 Roachton Rd, Perrysburg, Ohio, 43551</t>
  </si>
  <si>
    <t>13385 Roachton Rd</t>
  </si>
  <si>
    <t>Pettisville Elementary School</t>
  </si>
  <si>
    <t>Pettisville High School</t>
  </si>
  <si>
    <t>Pfeiffer Elementary School</t>
  </si>
  <si>
    <t>2081 9th St SW, Akron, Ohio, 44314</t>
  </si>
  <si>
    <t>2081 9th St SW</t>
  </si>
  <si>
    <t>Phillips School</t>
  </si>
  <si>
    <t>300 Pike St, Marietta, Ohio, 45750</t>
  </si>
  <si>
    <t>300 Pike St</t>
  </si>
  <si>
    <t>Philo High School</t>
  </si>
  <si>
    <t>4000 Millers Ln, Duncan Falls, Ohio, 43734</t>
  </si>
  <si>
    <t>4000 Millers Ln</t>
  </si>
  <si>
    <t>Pickerington Elementary School</t>
  </si>
  <si>
    <t>775 Long Rd, Pickerington, Ohio, 43147</t>
  </si>
  <si>
    <t>775 Long Rd</t>
  </si>
  <si>
    <t>Pickerington High School Central</t>
  </si>
  <si>
    <t>300 Opportunity Way, Pickerington, Ohio, 43147</t>
  </si>
  <si>
    <t>300 Opportunity Way</t>
  </si>
  <si>
    <t>Pickett Elementary School</t>
  </si>
  <si>
    <t>1144 Blum St, Toledo, Ohio, 43607</t>
  </si>
  <si>
    <t>1144 Blum St</t>
  </si>
  <si>
    <t>Pike Elementary School</t>
  </si>
  <si>
    <t>4533 Peters Creek Rd, Cambridge, Ohio, 43725</t>
  </si>
  <si>
    <t>4533 Peters Creek Rd</t>
  </si>
  <si>
    <t>Piketon Jr/Sr High School</t>
  </si>
  <si>
    <t>Pine Intermediate School</t>
  </si>
  <si>
    <t>4267 Dover Center Rd, North Olmsted, Ohio, 44070</t>
  </si>
  <si>
    <t>4267 Dover Center Rd</t>
  </si>
  <si>
    <t>Frank Elementary School</t>
  </si>
  <si>
    <t>401 W South Boundary St, Perrysburg, Ohio, 43551</t>
  </si>
  <si>
    <t>401 W South Boundary St</t>
  </si>
  <si>
    <t>North Central Elementary School</t>
  </si>
  <si>
    <t>Piqua High School</t>
  </si>
  <si>
    <t>1 Indian Trl, Piqua, Ohio, 45356</t>
  </si>
  <si>
    <t>1 Indian Trl</t>
  </si>
  <si>
    <t>Miami View Elementary School</t>
  </si>
  <si>
    <t>230 Clifton Rd, South Charleston, Ohio, 45368</t>
  </si>
  <si>
    <t>230 Clifton Rd</t>
  </si>
  <si>
    <t>Plain City Elementary School</t>
  </si>
  <si>
    <t>580 S Chillicothe St, Plain City, Ohio, 43064</t>
  </si>
  <si>
    <t>580 S Chillicothe St</t>
  </si>
  <si>
    <t>New Albany Primary School</t>
  </si>
  <si>
    <t>87 N High St, New Albany, Ohio, 43054</t>
  </si>
  <si>
    <t>87 N High St</t>
  </si>
  <si>
    <t>New Albany High School</t>
  </si>
  <si>
    <t>7600 Fodor Rd, New Albany, Ohio, 43054</t>
  </si>
  <si>
    <t>7600 Fodor Rd</t>
  </si>
  <si>
    <t>Pleasant Elementary School</t>
  </si>
  <si>
    <t>1105 Owens Rd W, Marion, Ohio, 43302</t>
  </si>
  <si>
    <t>1105 Owens Rd W</t>
  </si>
  <si>
    <t>Pleasant Middle School</t>
  </si>
  <si>
    <t>1115 Owens Rd W, Marion, Ohio, 43302</t>
  </si>
  <si>
    <t>1115 Owens Rd W</t>
  </si>
  <si>
    <t>16 S Pleasant St, Norwalk, Ohio, 44857</t>
  </si>
  <si>
    <t>16 S Pleasant St</t>
  </si>
  <si>
    <t>Charles L Seipelt Elementary School</t>
  </si>
  <si>
    <t>900 State Route 131, Milford, Ohio, 45150</t>
  </si>
  <si>
    <t>900 State Route 131</t>
  </si>
  <si>
    <t>Pleasant Hill Academy</t>
  </si>
  <si>
    <t>1350 W North Bend Rd, Cincinnati, Ohio, 45224</t>
  </si>
  <si>
    <t>1350 W North Bend Rd</t>
  </si>
  <si>
    <t>Pleasant High School</t>
  </si>
  <si>
    <t>1113 Owens Rd W, Marion, Ohio, 43302</t>
  </si>
  <si>
    <t>1113 Owens Rd W</t>
  </si>
  <si>
    <t>Pleasant Ridge Montessori School</t>
  </si>
  <si>
    <t>5945 Montgomery Rd, Cincinnati, Ohio, 45213</t>
  </si>
  <si>
    <t>5945 Montgomery Rd</t>
  </si>
  <si>
    <t>45213</t>
  </si>
  <si>
    <t>Pleasant Run Elementary School</t>
  </si>
  <si>
    <t>11780 Pippin Rd, Cincinnati, Ohio, 45231</t>
  </si>
  <si>
    <t>11780 Pippin Rd</t>
  </si>
  <si>
    <t>Pleasant Valley Elementary School</t>
  </si>
  <si>
    <t>9906 W Pleasant Valley Rd, Parma, Ohio, 44130</t>
  </si>
  <si>
    <t>9906 W Pleasant Valley Rd</t>
  </si>
  <si>
    <t>Pleasantville Elementary School</t>
  </si>
  <si>
    <t>300 W. Columbus Street, Pleasantville, Ohio, 43148</t>
  </si>
  <si>
    <t>300 W. Columbus Street</t>
  </si>
  <si>
    <t>Pleasantville</t>
  </si>
  <si>
    <t>43148</t>
  </si>
  <si>
    <t>Plymouth High School</t>
  </si>
  <si>
    <t>400 Trux St, Plymouth, Ohio, 44865</t>
  </si>
  <si>
    <t>400 Trux St</t>
  </si>
  <si>
    <t>5795 W Alexandria Rd, Middletown, Ohio, 45042</t>
  </si>
  <si>
    <t>5795 W Alexandria Rd</t>
  </si>
  <si>
    <t>Poland Middle School</t>
  </si>
  <si>
    <t>47 College St, Poland, Ohio, 44514</t>
  </si>
  <si>
    <t>47 College St</t>
  </si>
  <si>
    <t>Poland Seminary High School</t>
  </si>
  <si>
    <t>3199 Dobbins Rd, Poland, Ohio, 44514</t>
  </si>
  <si>
    <t>3199 Dobbins Rd</t>
  </si>
  <si>
    <t>Barberton Intermediate School</t>
  </si>
  <si>
    <t>292 Robinson Ave, Barberton, Ohio, 44203</t>
  </si>
  <si>
    <t>292 Robinson Ave</t>
  </si>
  <si>
    <t>Portage Path Community Learning Center</t>
  </si>
  <si>
    <t>55 S Portage Path, Akron, Ohio, 44303</t>
  </si>
  <si>
    <t>55 S Portage Path</t>
  </si>
  <si>
    <t>Portsmouth Junior High School/Portsmouth High School</t>
  </si>
  <si>
    <t>1225 Gallia St, Portsmouth, Ohio, 45662</t>
  </si>
  <si>
    <t>1225 Gallia St</t>
  </si>
  <si>
    <t>Portsmouth West High School</t>
  </si>
  <si>
    <t>Shawnee Elementary School</t>
  </si>
  <si>
    <t>1841 E Possum Rd, Springfield, Ohio, 45502</t>
  </si>
  <si>
    <t>1841 E Possum Rd</t>
  </si>
  <si>
    <t>Powers Elementary School</t>
  </si>
  <si>
    <t>393 S Lake St, Amherst, Ohio, 44001</t>
  </si>
  <si>
    <t>393 S Lake St</t>
  </si>
  <si>
    <t>Powhatan Elementary School</t>
  </si>
  <si>
    <t>54685 Mount Victory Rd, Powhatan Point, Ohio, 43942</t>
  </si>
  <si>
    <t>54685 Mount Victory Rd</t>
  </si>
  <si>
    <t>Powhatan Point</t>
  </si>
  <si>
    <t>43942</t>
  </si>
  <si>
    <t>Prairie Lincoln Elementary School</t>
  </si>
  <si>
    <t>4900 Amesbury Way, Columbus, Ohio, 43228</t>
  </si>
  <si>
    <t>4900 Amesbury Way</t>
  </si>
  <si>
    <t>Prairie Norton Elementary School</t>
  </si>
  <si>
    <t>105 Norton Rd, Columbus, Ohio, 43228</t>
  </si>
  <si>
    <t>105 Norton Rd</t>
  </si>
  <si>
    <t>Prass Elementary School</t>
  </si>
  <si>
    <t>2601 Parklawn Dr, Kettering, Ohio, 45440</t>
  </si>
  <si>
    <t>2601 Parklawn Dr</t>
  </si>
  <si>
    <t>Preston Elementary School</t>
  </si>
  <si>
    <t>800 Tallmadge Rd, Cuyahoga Falls, Ohio, 44221</t>
  </si>
  <si>
    <t>800 Tallmadge Rd</t>
  </si>
  <si>
    <t>Princeton Community Middle School</t>
  </si>
  <si>
    <t>200 Viking Way, Cincinnati, Ohio, 45246</t>
  </si>
  <si>
    <t>200 Viking Way</t>
  </si>
  <si>
    <t>Princeton High School</t>
  </si>
  <si>
    <t>100 Viking Way, Cincinnati, Ohio, 45246</t>
  </si>
  <si>
    <t>100 Viking Way</t>
  </si>
  <si>
    <t>Eastern Heights Elementary School</t>
  </si>
  <si>
    <t>Elgin Elementary School</t>
  </si>
  <si>
    <t>1250 Keener Rd S, Marion, Ohio, 43302</t>
  </si>
  <si>
    <t>1250 Keener Rd S</t>
  </si>
  <si>
    <t>Port Clinton Middle School</t>
  </si>
  <si>
    <t>807 Jefferson St, Port Clinton, Ohio, 43452</t>
  </si>
  <si>
    <t>807 Jefferson St</t>
  </si>
  <si>
    <t>Port Clinton High School</t>
  </si>
  <si>
    <t>821 Jefferson St, Port Clinton, Ohio, 43452</t>
  </si>
  <si>
    <t>821 Jefferson St</t>
  </si>
  <si>
    <t>Port Washington Elementary School</t>
  </si>
  <si>
    <t>304 E Arch St, Port Washington, Ohio, 43837</t>
  </si>
  <si>
    <t>304 E Arch St</t>
  </si>
  <si>
    <t>Port Washington</t>
  </si>
  <si>
    <t>43837</t>
  </si>
  <si>
    <t>Put-In-Bay Elementary School</t>
  </si>
  <si>
    <t>548 Catawba Ave, Put-In-Bay, Ohio, 43456</t>
  </si>
  <si>
    <t>548 Catawba Ave</t>
  </si>
  <si>
    <t>Put-In-Bay</t>
  </si>
  <si>
    <t>Put-In-Bay High School</t>
  </si>
  <si>
    <t>Putman Elementary School</t>
  </si>
  <si>
    <t>327 E Baldwin St, Blanchester, Ohio, 45107</t>
  </si>
  <si>
    <t>327 E Baldwin St</t>
  </si>
  <si>
    <t>Pymatuning Valley High School</t>
  </si>
  <si>
    <t>R C Waters Elementary School</t>
  </si>
  <si>
    <t>220 E Ottawa St, Oak Harbor, Ohio, 43449</t>
  </si>
  <si>
    <t>220 E Ottawa St</t>
  </si>
  <si>
    <t>Ragersville Elementary School</t>
  </si>
  <si>
    <t>2405 Ragersville Rd SW, Sugarcreek, Ohio, 44681</t>
  </si>
  <si>
    <t>2405 Ragersville Rd SW</t>
  </si>
  <si>
    <t>Rainsboro Elementary School</t>
  </si>
  <si>
    <t>12916 Barrett Mill Rd, Bainbridge, Ohio, 45612</t>
  </si>
  <si>
    <t>12916 Barrett Mill Rd</t>
  </si>
  <si>
    <t>Waterloo Middle School</t>
  </si>
  <si>
    <t>Ransom H Barr Elementary School</t>
  </si>
  <si>
    <t>2000 47th St NE, Canton, Ohio, 44705</t>
  </si>
  <si>
    <t>2000 47th St NE</t>
  </si>
  <si>
    <t>Ravenna High School</t>
  </si>
  <si>
    <t>6589 N Chestnut St, Ravenna, Ohio, 44266</t>
  </si>
  <si>
    <t>6589 N Chestnut St</t>
  </si>
  <si>
    <t>Cory-Rawson Elementary School</t>
  </si>
  <si>
    <t>East High School</t>
  </si>
  <si>
    <t>Raymer Elementary School</t>
  </si>
  <si>
    <t>550 Raymer Blvd, Toledo, Ohio, 43605</t>
  </si>
  <si>
    <t>550 Raymer Blvd</t>
  </si>
  <si>
    <t>Raymond Elementary School</t>
  </si>
  <si>
    <t>21511 Main St, Raymond, Ohio, 43067</t>
  </si>
  <si>
    <t>21511 Main St</t>
  </si>
  <si>
    <t>Raymond</t>
  </si>
  <si>
    <t>43067</t>
  </si>
  <si>
    <t>Reading Junior Senior High School</t>
  </si>
  <si>
    <t>J W Reason Elementary School</t>
  </si>
  <si>
    <t>4790 Cemetery Rd, Hilliard, Ohio, 43026</t>
  </si>
  <si>
    <t>4790 Cemetery Rd</t>
  </si>
  <si>
    <t>South  Elementary School</t>
  </si>
  <si>
    <t>92 E Main St, Madison, Ohio, 44057</t>
  </si>
  <si>
    <t>92 E Main St</t>
  </si>
  <si>
    <t>Redwood Elementary School</t>
  </si>
  <si>
    <t>32967 Redwood Blvd, Avon Lake, Ohio, 44012</t>
  </si>
  <si>
    <t>32967 Redwood Blvd</t>
  </si>
  <si>
    <t>Hubbard Middle School</t>
  </si>
  <si>
    <t>250 Hall Ave, Hubbard, Ohio, 44425</t>
  </si>
  <si>
    <t>250 Hall Ave</t>
  </si>
  <si>
    <t>Georgetown Elementary School</t>
  </si>
  <si>
    <t>935 Mt. Orab Pike, Georgetown, Ohio, 45121</t>
  </si>
  <si>
    <t>935 Mt. Orab Pike</t>
  </si>
  <si>
    <t>Reilly Elementary School</t>
  </si>
  <si>
    <t>491 Reilly Ave, Salem, Ohio, 44460</t>
  </si>
  <si>
    <t>491 Reilly Ave</t>
  </si>
  <si>
    <t>Intermediate Elementary School</t>
  </si>
  <si>
    <t>476 Portland Way N, Galion, Ohio, 44833</t>
  </si>
  <si>
    <t>476 Portland Way N</t>
  </si>
  <si>
    <t>Revere High School</t>
  </si>
  <si>
    <t>3420 Everett Rd, Richfield, Ohio, 44286</t>
  </si>
  <si>
    <t>3420 Everett Rd</t>
  </si>
  <si>
    <t>Reynolds Elementary School</t>
  </si>
  <si>
    <t>5000 Norwich Rd, Toledo, Ohio, 43615</t>
  </si>
  <si>
    <t>5000 Norwich Rd</t>
  </si>
  <si>
    <t>Hannah J Ashton Middle School</t>
  </si>
  <si>
    <t>1482 Jackson St, Reynoldsburg, Ohio, 43068</t>
  </si>
  <si>
    <t>1482 Jackson St</t>
  </si>
  <si>
    <t>Richard Avenue Elementary School</t>
  </si>
  <si>
    <t>3646 Richard Ave, Grove City, Ohio, 43123</t>
  </si>
  <si>
    <t>3646 Richard Ave</t>
  </si>
  <si>
    <t>Richardson Elementary School</t>
  </si>
  <si>
    <t>2226 23rd St, Cuyahoga Falls, Ohio, 44223</t>
  </si>
  <si>
    <t>2226 23rd St</t>
  </si>
  <si>
    <t>Willard Middle School</t>
  </si>
  <si>
    <t>Richmond Heights Elementary School</t>
  </si>
  <si>
    <t>Richmond Heights High School</t>
  </si>
  <si>
    <t>Ridge-Brook Elementary School</t>
  </si>
  <si>
    <t>7915 Manhattan Ave, Parma, Ohio, 44129</t>
  </si>
  <si>
    <t>7915 Manhattan Ave</t>
  </si>
  <si>
    <t>44129</t>
  </si>
  <si>
    <t>Ridgedale Jr/Sr High School</t>
  </si>
  <si>
    <t>3165 Hillman Ford Rd, Morral, Ohio, 43337</t>
  </si>
  <si>
    <t>3165 Hillman Ford Rd</t>
  </si>
  <si>
    <t>Ridgemont Elementary School</t>
  </si>
  <si>
    <t>Ridgeview Elementary School</t>
  </si>
  <si>
    <t>3456 Liberty St, Ashtabula, Ohio, 44004</t>
  </si>
  <si>
    <t>3456 Liberty St</t>
  </si>
  <si>
    <t>Archbold Middle School</t>
  </si>
  <si>
    <t>306 Stryker St, Archbold, Ohio, 43502</t>
  </si>
  <si>
    <t>306 Stryker St</t>
  </si>
  <si>
    <t>Ridgemont High School</t>
  </si>
  <si>
    <t>Ridgewood Elementary School</t>
  </si>
  <si>
    <t>4237 Dublin Rd, Hilliard, Ohio, 43026</t>
  </si>
  <si>
    <t>4237 Dublin Rd</t>
  </si>
  <si>
    <t>Ridgewood High School</t>
  </si>
  <si>
    <t>602 Johnson St, West Lafayette, Ohio, 43845</t>
  </si>
  <si>
    <t>602 Johnson St</t>
  </si>
  <si>
    <t>Ridgeview Middle School</t>
  </si>
  <si>
    <t>4241 Rudy Rd, Columbus, Ohio, 43214</t>
  </si>
  <si>
    <t>4241 Rudy Rd</t>
  </si>
  <si>
    <t>Fostoria Elementary School</t>
  </si>
  <si>
    <t>1202 H L Ford Dr, Fostoria, Ohio, 44830</t>
  </si>
  <si>
    <t>1202 H L Ford Dr</t>
  </si>
  <si>
    <t>Rimer Community Learning Center</t>
  </si>
  <si>
    <t>2370 Manchester Rd, Akron, Ohio, 44314</t>
  </si>
  <si>
    <t>2370 Manchester Rd</t>
  </si>
  <si>
    <t>Rio Grande Elementary School</t>
  </si>
  <si>
    <t>439 Lake Drive, Rio Grande, Ohio, 45674</t>
  </si>
  <si>
    <t>439 Lake Drive</t>
  </si>
  <si>
    <t>Ripley-Union-Lewis-Huntington Senior High School</t>
  </si>
  <si>
    <t>1317 S 2nd St, Ripley, Ohio, 45167</t>
  </si>
  <si>
    <t>1317 S 2nd St</t>
  </si>
  <si>
    <t>Rittman High School</t>
  </si>
  <si>
    <t>Ritzman Community Learning Center</t>
  </si>
  <si>
    <t>629 Canton Rd, Akron, Ohio, 44312</t>
  </si>
  <si>
    <t>629 Canton Rd</t>
  </si>
  <si>
    <t>River High School</t>
  </si>
  <si>
    <t>52560 River High School Rd, Hannibal, Ohio, 43931</t>
  </si>
  <si>
    <t>52560 River High School Rd</t>
  </si>
  <si>
    <t>4280 Marion Mount Gilead Rd, Caledonia, Ohio, 43314</t>
  </si>
  <si>
    <t>4280 Marion Mount Gilead Rd</t>
  </si>
  <si>
    <t>River View High School</t>
  </si>
  <si>
    <t>Riverdale High School</t>
  </si>
  <si>
    <t>Riverside Elementary School</t>
  </si>
  <si>
    <t>500 Chicago St, Toledo, Ohio, 43611</t>
  </si>
  <si>
    <t>500 Chicago St</t>
  </si>
  <si>
    <t>Riverside School</t>
  </si>
  <si>
    <t>14601 Montrose Ave, Cleveland, Ohio, 44111</t>
  </si>
  <si>
    <t>14601 Montrose Ave</t>
  </si>
  <si>
    <t>Riverside Jr/Sr High School</t>
  </si>
  <si>
    <t>Riverside High School</t>
  </si>
  <si>
    <t>240 N River Rd, Munroe Falls, Ohio, 44262</t>
  </si>
  <si>
    <t>240 N River Rd</t>
  </si>
  <si>
    <t>Munroe Falls</t>
  </si>
  <si>
    <t>44262</t>
  </si>
  <si>
    <t>Robert H Jamison School</t>
  </si>
  <si>
    <t>4092 E 146th St, Cleveland, Ohio, 44128</t>
  </si>
  <si>
    <t>4092 E 146th St</t>
  </si>
  <si>
    <t>Stevenson Elementary</t>
  </si>
  <si>
    <t>1065 Oxley Rd, Columbus, Ohio, 43212</t>
  </si>
  <si>
    <t>1065 Oxley Rd</t>
  </si>
  <si>
    <t>Roberts Academy</t>
  </si>
  <si>
    <t>1702 Grand Ave, Cincinnati, Ohio, 45214</t>
  </si>
  <si>
    <t>1702 Grand Ave</t>
  </si>
  <si>
    <t>45214</t>
  </si>
  <si>
    <t>Robinson Elementary School</t>
  </si>
  <si>
    <t>1075 Horace St, Toledo, Ohio, 43606</t>
  </si>
  <si>
    <t>1075 Horace St</t>
  </si>
  <si>
    <t>Henry L Robinson Community Learning Center</t>
  </si>
  <si>
    <t>1156 4th Ave, Akron, Ohio, 44306</t>
  </si>
  <si>
    <t>1156 4th Ave</t>
  </si>
  <si>
    <t>Robinson G Jones Elementary School</t>
  </si>
  <si>
    <t>4550 W 150th St, Cleveland, Ohio, 44135</t>
  </si>
  <si>
    <t>4550 W 150th St</t>
  </si>
  <si>
    <t>Robinwood Lane Elementary School</t>
  </si>
  <si>
    <t>835 Indianola Rd, Youngstown, Ohio, 44512</t>
  </si>
  <si>
    <t>835 Indianola Rd</t>
  </si>
  <si>
    <t>Rock Creek Elementary School</t>
  </si>
  <si>
    <t>3134 N Main St, Rock Creek, Ohio, 44084</t>
  </si>
  <si>
    <t>3134 N Main St</t>
  </si>
  <si>
    <t>Rock Creek</t>
  </si>
  <si>
    <t>44084</t>
  </si>
  <si>
    <t>Rockdale Academy</t>
  </si>
  <si>
    <t>335 Rockdale Ave, Cincinnati, Ohio, 45229</t>
  </si>
  <si>
    <t>335 Rockdale Ave</t>
  </si>
  <si>
    <t>Rocky River Middle School</t>
  </si>
  <si>
    <t>1631 Lakeview Ave, Rocky River, Ohio, 44116</t>
  </si>
  <si>
    <t>1631 Lakeview Ave</t>
  </si>
  <si>
    <t>Rocky River High School</t>
  </si>
  <si>
    <t>20951 Detroit Rd, Rocky River, Ohio, 44116</t>
  </si>
  <si>
    <t>20951 Detroit Rd</t>
  </si>
  <si>
    <t>Rogers High School</t>
  </si>
  <si>
    <t>222 McTigue Dr, Toledo, Ohio, 43615</t>
  </si>
  <si>
    <t>222 McTigue Dr</t>
  </si>
  <si>
    <t>Roosevelt Elementary School</t>
  </si>
  <si>
    <t>14237 Athens Ave, Lakewood, Ohio, 44107</t>
  </si>
  <si>
    <t>14237 Athens Ave</t>
  </si>
  <si>
    <t>Hubbard  Elementary School</t>
  </si>
  <si>
    <t>150 Hall Ave, Hubbard, Ohio, 44425</t>
  </si>
  <si>
    <t>150 Hall Ave</t>
  </si>
  <si>
    <t>East Garfield Elementary School</t>
  </si>
  <si>
    <t>936 N 5th St, Steubenville, Ohio, 43952</t>
  </si>
  <si>
    <t>936 N 5th St</t>
  </si>
  <si>
    <t>Martin Luther King Academy for Boys Elementary School</t>
  </si>
  <si>
    <t>1300 Forest Ave, Toledo, Ohio, 43607</t>
  </si>
  <si>
    <t>1300 Forest Ave</t>
  </si>
  <si>
    <t>Spring Hill Elementary</t>
  </si>
  <si>
    <t>660 Lessig Ave, Akron, Ohio, 44312</t>
  </si>
  <si>
    <t>660 Lessig Ave</t>
  </si>
  <si>
    <t>410 W 7th St, Mc Donald, Ohio, 44437</t>
  </si>
  <si>
    <t>410 W 7th St</t>
  </si>
  <si>
    <t>Theodore Roosevelt High School</t>
  </si>
  <si>
    <t>1400 N Mantua St, Kent, Ohio, 44240</t>
  </si>
  <si>
    <t>1400 N Mantua St</t>
  </si>
  <si>
    <t>Roosevelt Middle School</t>
  </si>
  <si>
    <t>721 E Home Rd, Springfield, Ohio, 45503</t>
  </si>
  <si>
    <t>721 E Home Rd</t>
  </si>
  <si>
    <t>Zanesville Middle School</t>
  </si>
  <si>
    <t>1429 Blue Ave, Zanesville, Ohio, 43701</t>
  </si>
  <si>
    <t>1429 Blue Ave</t>
  </si>
  <si>
    <t>Rootstown Elementary School</t>
  </si>
  <si>
    <t>Rootstown/Ward Davis Bldg High School</t>
  </si>
  <si>
    <t>Rootstown/Mabel Schnee Bldg Middle School</t>
  </si>
  <si>
    <t>Rose Hill Elementary School</t>
  </si>
  <si>
    <t>760 Rosehill Rd, Reynoldsburg, Ohio, 43068</t>
  </si>
  <si>
    <t>760 Rosehill Rd</t>
  </si>
  <si>
    <t>Miller Ridge Elementary School</t>
  </si>
  <si>
    <t>4704 Miller Road, Middletown, Ohio, 45042</t>
  </si>
  <si>
    <t>4704 Miller Road</t>
  </si>
  <si>
    <t>Roselawn Condon School</t>
  </si>
  <si>
    <t>1594 Summit Rd, Cincinnati, Ohio, 45237</t>
  </si>
  <si>
    <t>1594 Summit Rd</t>
  </si>
  <si>
    <t>Rosemore Middle School</t>
  </si>
  <si>
    <t>4800 Langley Ave, Whitehall, Ohio, 43213</t>
  </si>
  <si>
    <t>4800 Langley Ave</t>
  </si>
  <si>
    <t>Clay Elementary School</t>
  </si>
  <si>
    <t>Ross Middle School</t>
  </si>
  <si>
    <t>3425 Hamilton Cleves Rd, Hamilton, Ohio, 45013</t>
  </si>
  <si>
    <t>3425 Hamilton Cleves Rd</t>
  </si>
  <si>
    <t>Ross High School</t>
  </si>
  <si>
    <t>3601 Hamilton Cleves Rd, Hamilton, Ohio, 45013</t>
  </si>
  <si>
    <t>3601 Hamilton Cleves Rd</t>
  </si>
  <si>
    <t>Rossford High School</t>
  </si>
  <si>
    <t>Rothenberg Preparatory Academy</t>
  </si>
  <si>
    <t>241 E Clifton Ave, Cincinnati, Ohio, 45202</t>
  </si>
  <si>
    <t>241 E Clifton Ave</t>
  </si>
  <si>
    <t>Upper Scioto Valley Elementary School</t>
  </si>
  <si>
    <t>Conneaut Middle School</t>
  </si>
  <si>
    <t>230 Gateway Avenue, Conneaut, Ohio, 44030</t>
  </si>
  <si>
    <t>230 Gateway Avenue</t>
  </si>
  <si>
    <t>Rowland Elementary School</t>
  </si>
  <si>
    <t>4300 Bayard Rd, South Euclid, Ohio, 44121</t>
  </si>
  <si>
    <t>4300 Bayard Rd</t>
  </si>
  <si>
    <t>Roxboro Elementary School</t>
  </si>
  <si>
    <t>2405 Roxboro Rd, Cleveland Heights, Ohio, 44106</t>
  </si>
  <si>
    <t>2405 Roxboro Rd</t>
  </si>
  <si>
    <t>Roxboro Middle School</t>
  </si>
  <si>
    <t>2400 Roxboro Rd, Cleveland Heights, Ohio, 44106</t>
  </si>
  <si>
    <t>2400 Roxboro Rd</t>
  </si>
  <si>
    <t>Grace L Roxbury Elementary School</t>
  </si>
  <si>
    <t>6795 Solon Blvd, Solon, Ohio, 44139</t>
  </si>
  <si>
    <t>6795 Solon Blvd</t>
  </si>
  <si>
    <t>Royal Manor Elementary School</t>
  </si>
  <si>
    <t>299 Empire Dr, Gahanna, Ohio, 43230</t>
  </si>
  <si>
    <t>299 Empire Dr</t>
  </si>
  <si>
    <t>Royalview Elementary School</t>
  </si>
  <si>
    <t>31500 Royalview Dr, Willowick, Ohio, 44095</t>
  </si>
  <si>
    <t>31500 Royalview Dr</t>
  </si>
  <si>
    <t>Willowick</t>
  </si>
  <si>
    <t>Mayfair Elementary School</t>
  </si>
  <si>
    <t>13916 Mayfair Ave, East Cleveland, Ohio, 44112</t>
  </si>
  <si>
    <t>13916 Mayfair Ave</t>
  </si>
  <si>
    <t>Otsego Junior High</t>
  </si>
  <si>
    <t>18505 Tontogany Creek Rd Ste 3, Bowling Green, Ohio, 43402</t>
  </si>
  <si>
    <t>18505 Tontogany Creek Rd Ste 3</t>
  </si>
  <si>
    <t>Clay Middle School</t>
  </si>
  <si>
    <t>Rushmore Elementary School</t>
  </si>
  <si>
    <t>7701 Berchman Dr, Huber Heights, Ohio, 45424</t>
  </si>
  <si>
    <t>7701 Berchman Dr</t>
  </si>
  <si>
    <t>Harry Russell Elementary School</t>
  </si>
  <si>
    <t>123 Elementary Dr, West Carrollton, Ohio, 45449</t>
  </si>
  <si>
    <t>123 Elementary Dr</t>
  </si>
  <si>
    <t>Russia Elementary School</t>
  </si>
  <si>
    <t>Russia High School</t>
  </si>
  <si>
    <t>Rutherford B Hayes High School</t>
  </si>
  <si>
    <t>289 Euclid Ave, Delaware, Ohio, 43015</t>
  </si>
  <si>
    <t>289 Euclid Ave</t>
  </si>
  <si>
    <t>Firelands Middle School</t>
  </si>
  <si>
    <t>South Avondale School</t>
  </si>
  <si>
    <t>636 Prospect Pl, Cincinnati, Ohio, 45229</t>
  </si>
  <si>
    <t>636 Prospect Pl</t>
  </si>
  <si>
    <t>South Elementary School</t>
  </si>
  <si>
    <t>444 S 8th St, Upper Sandusky, Ohio, 43351</t>
  </si>
  <si>
    <t>444 S 8th St</t>
  </si>
  <si>
    <t>James A Harmon Elementary School</t>
  </si>
  <si>
    <t>1861 Gantz Rd, Grove City, Ohio, 43123</t>
  </si>
  <si>
    <t>1861 Gantz Rd</t>
  </si>
  <si>
    <t>South Lebanon Elementary School</t>
  </si>
  <si>
    <t>50 Ridgeview Ln, Maineville, Ohio, 45039</t>
  </si>
  <si>
    <t>50 Ridgeview Ln</t>
  </si>
  <si>
    <t>Clyde Elementary School</t>
  </si>
  <si>
    <t>821 S Main St, Clyde, Ohio, 43410</t>
  </si>
  <si>
    <t>821 S Main St</t>
  </si>
  <si>
    <t>South Mifflin STEM Academy (K-6)</t>
  </si>
  <si>
    <t>2365 Middlehurst Dr, Columbus, Ohio, 43219</t>
  </si>
  <si>
    <t>2365 Middlehurst Dr</t>
  </si>
  <si>
    <t>South Point Elementary School</t>
  </si>
  <si>
    <t>201 Park Ave, South Point, Ohio, 45680</t>
  </si>
  <si>
    <t>201 Park Ave</t>
  </si>
  <si>
    <t>South Point High School</t>
  </si>
  <si>
    <t>983 County Road 60, South Point, Ohio, 45680</t>
  </si>
  <si>
    <t>983 County Road 60</t>
  </si>
  <si>
    <t>South Point Middle School</t>
  </si>
  <si>
    <t>South Side Middle School</t>
  </si>
  <si>
    <t>720 Columbiana Waterford Rd, Columbiana, Ohio, 44408</t>
  </si>
  <si>
    <t>720 Columbiana Waterford Rd</t>
  </si>
  <si>
    <t>Sabina Elementary School</t>
  </si>
  <si>
    <t>246 W Washington St, Sabina, Ohio, 45169</t>
  </si>
  <si>
    <t>246 W Washington St</t>
  </si>
  <si>
    <t>Salem Junior High School</t>
  </si>
  <si>
    <t>1200 E 6th St, Salem, Ohio, 44460</t>
  </si>
  <si>
    <t>1200 E 6th St</t>
  </si>
  <si>
    <t>Salem Elementary School</t>
  </si>
  <si>
    <t>1040 Garvey Rd, Columbus, Ohio, 43229</t>
  </si>
  <si>
    <t>1040 Garvey Rd</t>
  </si>
  <si>
    <t>Salem High School</t>
  </si>
  <si>
    <t>Salem-Liberty Elementary School</t>
  </si>
  <si>
    <t>10930 State Route 821, Lower Salem, Ohio, 45745</t>
  </si>
  <si>
    <t>10930 State Route 821</t>
  </si>
  <si>
    <t>Lower Salem</t>
  </si>
  <si>
    <t>45745</t>
  </si>
  <si>
    <t>Southern Local Elementary School</t>
  </si>
  <si>
    <t>38095E State Route 39, Salineville, Ohio, 43945</t>
  </si>
  <si>
    <t>38095E State Route 39</t>
  </si>
  <si>
    <t>Sands Montessori School</t>
  </si>
  <si>
    <t>6421 Corbly Rd, Cincinnati, Ohio, 45230</t>
  </si>
  <si>
    <t>6421 Corbly Rd</t>
  </si>
  <si>
    <t>Chagrin Falls Intermediate Elementary School</t>
  </si>
  <si>
    <t>77 E Washington St, Chagrin Falls, Ohio, 44022</t>
  </si>
  <si>
    <t>77 E Washington St</t>
  </si>
  <si>
    <t>Sandusky High School</t>
  </si>
  <si>
    <t>2130A Hayes Ave, Sandusky, Ohio, 44870</t>
  </si>
  <si>
    <t>2130A Hayes Ave</t>
  </si>
  <si>
    <t>Sandy Valley High School</t>
  </si>
  <si>
    <t>5130 State Route 183 NE, Magnolia, Ohio, 44643</t>
  </si>
  <si>
    <t>5130 State Route 183 NE</t>
  </si>
  <si>
    <t>Sardinia Elementary School</t>
  </si>
  <si>
    <t>7742 Tricounty Hwy, Sardinia, Ohio, 45171</t>
  </si>
  <si>
    <t>7742 Tricounty Hwy</t>
  </si>
  <si>
    <t>Sardinia</t>
  </si>
  <si>
    <t>45171</t>
  </si>
  <si>
    <t>Sauder Elementary School</t>
  </si>
  <si>
    <t>7503 Mudbrook Rd NW, Massillon, Ohio, 44646</t>
  </si>
  <si>
    <t>7503 Mudbrook Rd NW</t>
  </si>
  <si>
    <t>Saville Elementary School</t>
  </si>
  <si>
    <t>5800 Burkhardt Rd, Dayton, Ohio, 45431</t>
  </si>
  <si>
    <t>5800 Burkhardt Rd</t>
  </si>
  <si>
    <t>Erie Intermediate School</t>
  </si>
  <si>
    <t>2306 Wade Ave, Ashtabula, Ohio, 44004</t>
  </si>
  <si>
    <t>2306 Wade Ave</t>
  </si>
  <si>
    <t>Sayler Park School</t>
  </si>
  <si>
    <t>6700 Home City Ave, Cincinnati, Ohio, 45233</t>
  </si>
  <si>
    <t>6700 Home City Ave</t>
  </si>
  <si>
    <t>Schaefer Middle School</t>
  </si>
  <si>
    <t>147 S Fostoria Ave, Springfield, Ohio, 45505</t>
  </si>
  <si>
    <t>147 S Fostoria Ave</t>
  </si>
  <si>
    <t>Schrop Intermediate School</t>
  </si>
  <si>
    <t>2215 Pickle Rd, Akron, Ohio, 44312</t>
  </si>
  <si>
    <t>2215 Pickle Rd</t>
  </si>
  <si>
    <t>Schumacher Community Learning Center</t>
  </si>
  <si>
    <t>1020 Hartford Ave, Akron, Ohio, 44320</t>
  </si>
  <si>
    <t>1020 Hartford Ave</t>
  </si>
  <si>
    <t>Scioto Elementary School</t>
  </si>
  <si>
    <t>20 W Scioto St, Commercial Point, Ohio, 43116</t>
  </si>
  <si>
    <t>20 W Scioto St</t>
  </si>
  <si>
    <t>Commercial Point</t>
  </si>
  <si>
    <t>43116</t>
  </si>
  <si>
    <t>Scottwood Elementary School</t>
  </si>
  <si>
    <t>3392 Scottwood Rd, Columbus, Ohio, 43227</t>
  </si>
  <si>
    <t>3392 Scottwood Rd</t>
  </si>
  <si>
    <t>Scranton School</t>
  </si>
  <si>
    <t>1991 Barber Ave, Cleveland, Ohio, 44113</t>
  </si>
  <si>
    <t>1991 Barber Ave</t>
  </si>
  <si>
    <t>Seaborn Elementary School</t>
  </si>
  <si>
    <t>3800 Niles Carver Rd, Mineral Ridge, Ohio, 44440</t>
  </si>
  <si>
    <t>3800 Niles Carver Rd</t>
  </si>
  <si>
    <t>North Adams Elementary School</t>
  </si>
  <si>
    <t>2295 Moores Rd, Seaman, Ohio, 45679</t>
  </si>
  <si>
    <t>2295 Moores Rd</t>
  </si>
  <si>
    <t>Seaman</t>
  </si>
  <si>
    <t>45679</t>
  </si>
  <si>
    <t>North Adams High School</t>
  </si>
  <si>
    <t>96 Green Devil Dr, Seaman, Ohio, 45679</t>
  </si>
  <si>
    <t>96 Green Devil Dr</t>
  </si>
  <si>
    <t>Seiberling Community Learning Center</t>
  </si>
  <si>
    <t>400 Brittain Rd, Akron, Ohio, 44305</t>
  </si>
  <si>
    <t>400 Brittain Rd</t>
  </si>
  <si>
    <t>Madeira Middle School</t>
  </si>
  <si>
    <t>6612 Miami Ave, Madeira, Ohio, 45243</t>
  </si>
  <si>
    <t>6612 Miami Ave</t>
  </si>
  <si>
    <t>Madeira</t>
  </si>
  <si>
    <t>Cloverleaf Elementary School</t>
  </si>
  <si>
    <t>8337 Friendsville Rd, Seville, Ohio, 44273</t>
  </si>
  <si>
    <t>8337 Friendsville Rd</t>
  </si>
  <si>
    <t>Seville</t>
  </si>
  <si>
    <t>44273</t>
  </si>
  <si>
    <t>West Carrollton Early Childhood Center</t>
  </si>
  <si>
    <t>510 E Pease Ave, West Carrollton, Ohio, 45449</t>
  </si>
  <si>
    <t>510 E Pease Ave</t>
  </si>
  <si>
    <t>Shady Lane Elementary School</t>
  </si>
  <si>
    <t>1444 Shady Lane Rd, Columbus, Ohio, 43227</t>
  </si>
  <si>
    <t>1444 Shady Lane Rd</t>
  </si>
  <si>
    <t>Shadyside High School</t>
  </si>
  <si>
    <t>Shaker Hts High School</t>
  </si>
  <si>
    <t>15911 Aldersyde Dr, Shaker Heights, Ohio, 44120</t>
  </si>
  <si>
    <t>15911 Aldersyde Dr</t>
  </si>
  <si>
    <t>Sharon Elementary School</t>
  </si>
  <si>
    <t>6216 Ridge Rd, Wadsworth, Ohio, 44281</t>
  </si>
  <si>
    <t>6216 Ridge Rd</t>
  </si>
  <si>
    <t>Sharonville Elementary School</t>
  </si>
  <si>
    <t>11150 Maple St, Cincinnati, Ohio, 45241</t>
  </si>
  <si>
    <t>11150 Maple St</t>
  </si>
  <si>
    <t>Shaw Elementary School</t>
  </si>
  <si>
    <t>3560 Kemp Rd, Beavercreek, Ohio, 45431</t>
  </si>
  <si>
    <t>3560 Kemp Rd</t>
  </si>
  <si>
    <t>Shaw High School</t>
  </si>
  <si>
    <t>15320 Euclid Ave, East Cleveland, Ohio, 44112</t>
  </si>
  <si>
    <t>15320 Euclid Ave</t>
  </si>
  <si>
    <t>4295 Shawnee Rd, Lima, Ohio, 45806</t>
  </si>
  <si>
    <t>4295 Shawnee Rd</t>
  </si>
  <si>
    <t>Shawnee Middle School</t>
  </si>
  <si>
    <t>3235 Zurmehly Rd, Lima, Ohio, 45806</t>
  </si>
  <si>
    <t>3235 Zurmehly Rd</t>
  </si>
  <si>
    <t>92 E Ankeney Mill Rd, Xenia, Ohio, 45385</t>
  </si>
  <si>
    <t>92 E Ankeney Mill Rd</t>
  </si>
  <si>
    <t>Shawnee Middle School/High School</t>
  </si>
  <si>
    <t>1675 E Possum Rd, Springfield, Ohio, 45502</t>
  </si>
  <si>
    <t>1675 E Possum Rd</t>
  </si>
  <si>
    <t>Preble Shawnee High School High School</t>
  </si>
  <si>
    <t>Shawnee High School</t>
  </si>
  <si>
    <t>3333 Zurmehly Rd, Lima, Ohio, 45806</t>
  </si>
  <si>
    <t>3333 Zurmehly Rd</t>
  </si>
  <si>
    <t>Brookside Middle School</t>
  </si>
  <si>
    <t>Shelby Middle School</t>
  </si>
  <si>
    <t>Shelby High School</t>
  </si>
  <si>
    <t>1 Whippet Way, Shelby, Ohio, 44875</t>
  </si>
  <si>
    <t>1 Whippet Way</t>
  </si>
  <si>
    <t>Shenandoah High School</t>
  </si>
  <si>
    <t>49346 Seneca Lake Rd, Sarahsville, Ohio, 43779</t>
  </si>
  <si>
    <t>49346 Seneca Lake Rd</t>
  </si>
  <si>
    <t>Sheridan High School</t>
  </si>
  <si>
    <t>8725 Sheridan Drive N.W., Thornville, Ohio, 43076</t>
  </si>
  <si>
    <t>8725 Sheridan Drive N.W.</t>
  </si>
  <si>
    <t>Sherman Elementary School</t>
  </si>
  <si>
    <t>817 Sherman St, Toledo, Ohio, 43608</t>
  </si>
  <si>
    <t>817 Sherman St</t>
  </si>
  <si>
    <t>1138 Springmill St, Mansfield, Ohio, 44906</t>
  </si>
  <si>
    <t>1138 Springmill St</t>
  </si>
  <si>
    <t>Sherwood Middle School</t>
  </si>
  <si>
    <t>1400 Shady Lane Rd, Columbus, Ohio, 43227</t>
  </si>
  <si>
    <t>1400 Shady Lane Rd</t>
  </si>
  <si>
    <t>Shiloh Middle School</t>
  </si>
  <si>
    <t>2303 Grantwood Dr, Parma, Ohio, 44134</t>
  </si>
  <si>
    <t>2303 Grantwood Dr</t>
  </si>
  <si>
    <t>Shoreland Elementary School</t>
  </si>
  <si>
    <t>5650 Suder Ave, Toledo, Ohio, 43611</t>
  </si>
  <si>
    <t>5650 Suder Ave</t>
  </si>
  <si>
    <t>Shreve Elementary School</t>
  </si>
  <si>
    <t>598 N Market St, Shreve, Ohio, 44676</t>
  </si>
  <si>
    <t>598 N Market St</t>
  </si>
  <si>
    <t>Shreve</t>
  </si>
  <si>
    <t>44676</t>
  </si>
  <si>
    <t>Shroder High School</t>
  </si>
  <si>
    <t>5030 Duck Creek Rd, Cincinnati, Ohio, 45227</t>
  </si>
  <si>
    <t>5030 Duck Creek Rd</t>
  </si>
  <si>
    <t>Walter G. Nord Middle School</t>
  </si>
  <si>
    <t>501 Lincoln St, Amherst, Ohio, 44001</t>
  </si>
  <si>
    <t>501 Lincoln St</t>
  </si>
  <si>
    <t>Sidney High School</t>
  </si>
  <si>
    <t>1215 Campbell Rd, Sidney, Ohio, 45365</t>
  </si>
  <si>
    <t>1215 Campbell Rd</t>
  </si>
  <si>
    <t>Sidney Fenn Elementary School</t>
  </si>
  <si>
    <t>320 N Spring Grove St, Medina, Ohio, 44256</t>
  </si>
  <si>
    <t>320 N Spring Grove St</t>
  </si>
  <si>
    <t>Siebert Elementary School</t>
  </si>
  <si>
    <t>385 Reinhard Ave, Columbus, Ohio, 43206</t>
  </si>
  <si>
    <t>385 Reinhard Ave</t>
  </si>
  <si>
    <t>43206</t>
  </si>
  <si>
    <t>Silver Lake Elementary School</t>
  </si>
  <si>
    <t>2970 Overlook Rd, Silver Lake, Ohio, 44224</t>
  </si>
  <si>
    <t>2970 Overlook Rd</t>
  </si>
  <si>
    <t>Silver Lake</t>
  </si>
  <si>
    <t>Rutherford B. Hayes Elementary School</t>
  </si>
  <si>
    <t>750 Silver St, Marion, Ohio, 43302</t>
  </si>
  <si>
    <t>750 Silver St</t>
  </si>
  <si>
    <t>Silverton Elementary</t>
  </si>
  <si>
    <t>7451 Montgomery Rd, Cincinnati, Ohio, 45236</t>
  </si>
  <si>
    <t>7451 Montgomery Rd</t>
  </si>
  <si>
    <t>Skyvue Elementary School</t>
  </si>
  <si>
    <t>33329 Hartshorn Ridge Rd, Graysville, Ohio, 45734</t>
  </si>
  <si>
    <t>33329 Hartshorn Ridge Rd</t>
  </si>
  <si>
    <t>Graysville</t>
  </si>
  <si>
    <t>45734</t>
  </si>
  <si>
    <t>Smith Elementary School</t>
  </si>
  <si>
    <t>1701 Shafor Blvd, Dayton, Ohio, 45419</t>
  </si>
  <si>
    <t>1701 Shafor Blvd</t>
  </si>
  <si>
    <t>Grindstone Elementary School</t>
  </si>
  <si>
    <t>191 Race St, Berea, Ohio, 44017</t>
  </si>
  <si>
    <t>191 Race St</t>
  </si>
  <si>
    <t>Chillicothe Middle School</t>
  </si>
  <si>
    <t>381 Yoctangee Pkwy, Chillicothe, Ohio, 45601</t>
  </si>
  <si>
    <t>381 Yoctangee Pkwy</t>
  </si>
  <si>
    <t>Smithville High School</t>
  </si>
  <si>
    <t>Snowhill Elementary School</t>
  </si>
  <si>
    <t>531 W Harding Rd, Springfield, Ohio, 45504</t>
  </si>
  <si>
    <t>531 W Harding Rd</t>
  </si>
  <si>
    <t>45504</t>
  </si>
  <si>
    <t>Snyder Park Elementary School</t>
  </si>
  <si>
    <t>1600 Maiden Ln, Springfield, Ohio, 45504</t>
  </si>
  <si>
    <t>1600 Maiden Ln</t>
  </si>
  <si>
    <t>Solon High School</t>
  </si>
  <si>
    <t>33600 Inwood Dr, Solon, Ohio, 44139</t>
  </si>
  <si>
    <t>33600 Inwood Dr</t>
  </si>
  <si>
    <t>O H Somers Elementary School</t>
  </si>
  <si>
    <t>3600 Herbert St, Mogadore, Ohio, 44260</t>
  </si>
  <si>
    <t>3600 Herbert St</t>
  </si>
  <si>
    <t>Somerset Elementary School</t>
  </si>
  <si>
    <t>100 High St, Somerset, Ohio, 43783</t>
  </si>
  <si>
    <t>100 High St</t>
  </si>
  <si>
    <t>Somerset</t>
  </si>
  <si>
    <t>43783</t>
  </si>
  <si>
    <t>JC Sommer Elementary School</t>
  </si>
  <si>
    <t>3055 Kingston Ave, Grove City, Ohio, 43123</t>
  </si>
  <si>
    <t>3055 Kingston Ave</t>
  </si>
  <si>
    <t>South Central High School</t>
  </si>
  <si>
    <t>Early Childhood Center 1</t>
  </si>
  <si>
    <t>425 Whittier Dr N, Lancaster, Ohio, 43130</t>
  </si>
  <si>
    <t>425 Whittier Dr N</t>
  </si>
  <si>
    <t>280 E Shafer Ave, Dover, Ohio, 44622</t>
  </si>
  <si>
    <t>280 E Shafer Ave</t>
  </si>
  <si>
    <t>132 Providence Ave SW, New Philadelphia, Ohio, 44663</t>
  </si>
  <si>
    <t>132 Providence Ave SW</t>
  </si>
  <si>
    <t xml:space="preserve">Miller-South Visual Performing Arts </t>
  </si>
  <si>
    <t>1055 East Ave, Akron, Ohio, 44307</t>
  </si>
  <si>
    <t>1055 East Ave</t>
  </si>
  <si>
    <t>44307</t>
  </si>
  <si>
    <t xml:space="preserve">South High School </t>
  </si>
  <si>
    <t>1160 Ann St, Columbus, Ohio, 43206</t>
  </si>
  <si>
    <t>1160 Ann St</t>
  </si>
  <si>
    <t>South High School</t>
  </si>
  <si>
    <t>4900 Shankland Rd, Willoughby, Ohio, 44094</t>
  </si>
  <si>
    <t>4900 Shankland Rd</t>
  </si>
  <si>
    <t>Lima South Science-Technology Magnet K-8</t>
  </si>
  <si>
    <t>Mt Healthy Junior High School</t>
  </si>
  <si>
    <t>Vermilion Elementary School</t>
  </si>
  <si>
    <t>1285 Douglas St, Vermilion, Ohio, 44089</t>
  </si>
  <si>
    <t>1285 Douglas St</t>
  </si>
  <si>
    <t>Southdale Elementary School</t>
  </si>
  <si>
    <t>1200 W Dorothy Ln, Kettering, Ohio, 45409</t>
  </si>
  <si>
    <t>1200 W Dorothy Ln</t>
  </si>
  <si>
    <t>Crestline Elementary School</t>
  </si>
  <si>
    <t>Southeast High School</t>
  </si>
  <si>
    <t>8423 Tallmadge Rd, Ravenna, Ohio, 44266</t>
  </si>
  <si>
    <t>8423 Tallmadge Rd</t>
  </si>
  <si>
    <t>Bellefontaine Elementary School</t>
  </si>
  <si>
    <t>1001 Ludlow Rd, Bellefontaine, Ohio, 43311</t>
  </si>
  <si>
    <t>1001 Ludlow Rd</t>
  </si>
  <si>
    <t>Southeastern  Sr. High School</t>
  </si>
  <si>
    <t>195 E Jamestown St, South Charleston, Ohio, 45368</t>
  </si>
  <si>
    <t>195 E Jamestown St</t>
  </si>
  <si>
    <t>Southeastern High School</t>
  </si>
  <si>
    <t>Southern High School</t>
  </si>
  <si>
    <t>920 Elm St, Racine, Ohio, 45771</t>
  </si>
  <si>
    <t>920 Elm St</t>
  </si>
  <si>
    <t>Southington Elementary School</t>
  </si>
  <si>
    <t xml:space="preserve">Southwood Elementary School </t>
  </si>
  <si>
    <t>1500 S 4th St, Columbus, Ohio, 43207</t>
  </si>
  <si>
    <t>1500 S 4th St</t>
  </si>
  <si>
    <t>Black River Education Center Middle School</t>
  </si>
  <si>
    <t>257 County Road 40, Sullivan, Ohio, 44880</t>
  </si>
  <si>
    <t>257 County Road 40</t>
  </si>
  <si>
    <t>Spencerville Elementary School</t>
  </si>
  <si>
    <t>2500 Wisher Dr, Spencerville, Ohio, 45887</t>
  </si>
  <si>
    <t>2500 Wisher Dr</t>
  </si>
  <si>
    <t>Spencerville High School</t>
  </si>
  <si>
    <t>Spring Elementary School</t>
  </si>
  <si>
    <t>730 Spring St, Toledo, Ohio, 43608</t>
  </si>
  <si>
    <t>730 Spring St</t>
  </si>
  <si>
    <t>Elyria Early Childhood Center</t>
  </si>
  <si>
    <t>Springcreek Primary Elementary School</t>
  </si>
  <si>
    <t>145 E Us Route 36, Piqua, Ohio, 45356</t>
  </si>
  <si>
    <t>145 E Us Route 36</t>
  </si>
  <si>
    <t>Springdale Elementary School</t>
  </si>
  <si>
    <t>350 W Kemper Rd, Cincinnati, Ohio, 45246</t>
  </si>
  <si>
    <t>350 W Kemper Rd</t>
  </si>
  <si>
    <t>Springfield Intermediate Middle School</t>
  </si>
  <si>
    <t>11333 Youngstown Pittsburgh Rd, New Middletown, Ohio, 44442</t>
  </si>
  <si>
    <t>11333 Youngstown Pittsburgh Rd</t>
  </si>
  <si>
    <t>Springfield High School</t>
  </si>
  <si>
    <t>1470 S Mccord Rd, Holland, Ohio, 43528</t>
  </si>
  <si>
    <t>1470 S Mccord Rd</t>
  </si>
  <si>
    <t>Springfield Junior/Senior High School</t>
  </si>
  <si>
    <t>1880 Canton Road, Akron, Ohio, 44312</t>
  </si>
  <si>
    <t>1880 Canton Road</t>
  </si>
  <si>
    <t>Edison Jr. High School</t>
  </si>
  <si>
    <t>Springfield Middle School</t>
  </si>
  <si>
    <t>701 E Home Rd, Springfield, Ohio, 45503</t>
  </si>
  <si>
    <t>701 E Home Rd</t>
  </si>
  <si>
    <t>St Bernard-Elmwood Place High School</t>
  </si>
  <si>
    <t>4615 Tower Ave, Saint Bernard, Ohio, 45217</t>
  </si>
  <si>
    <t>4615 Tower Ave</t>
  </si>
  <si>
    <t>St Clairsville Middle School</t>
  </si>
  <si>
    <t>104 Woodrow Ave, Saint Clairsville, Ohio, 43950</t>
  </si>
  <si>
    <t>104 Woodrow Ave</t>
  </si>
  <si>
    <t>St Clairsville High School</t>
  </si>
  <si>
    <t>102 Woodrow Ave, Saint Clairsville, Ohio, 43950</t>
  </si>
  <si>
    <t>102 Woodrow Ave</t>
  </si>
  <si>
    <t>St Henry Elementary School</t>
  </si>
  <si>
    <t>251 E Columbus St, Saint Henry, Ohio, 45883</t>
  </si>
  <si>
    <t>251 E Columbus St</t>
  </si>
  <si>
    <t>St Henry Middle School</t>
  </si>
  <si>
    <t>381 E Columbus St, Saint Henry, Ohio, 45883</t>
  </si>
  <si>
    <t>381 E Columbus St</t>
  </si>
  <si>
    <t>St Henry High School</t>
  </si>
  <si>
    <t>Graham Middle School</t>
  </si>
  <si>
    <t>9644 Us Highway 36, Saint Paris, Ohio, 43072</t>
  </si>
  <si>
    <t>9644 Us Highway 36</t>
  </si>
  <si>
    <t>Stadium Drive Elementary School</t>
  </si>
  <si>
    <t>111 Stadium Dr, Youngstown, Ohio, 44512</t>
  </si>
  <si>
    <t>Stanton Primary Elementary School</t>
  </si>
  <si>
    <t>Stanton Elementary School</t>
  </si>
  <si>
    <t>Starr Elementary School</t>
  </si>
  <si>
    <t>3230 Starr Ave, Oregon, Ohio, 43616</t>
  </si>
  <si>
    <t>3230 Starr Ave</t>
  </si>
  <si>
    <t>Start High School</t>
  </si>
  <si>
    <t>2010 Tremainsville Rd, Toledo, Ohio, 43613</t>
  </si>
  <si>
    <t>2010 Tremainsville Rd</t>
  </si>
  <si>
    <t>Michigan Primary School</t>
  </si>
  <si>
    <t>2304 Wade Ave, Ashtabula, Ohio, 44004</t>
  </si>
  <si>
    <t>2304 Wade Ave</t>
  </si>
  <si>
    <t>Stebbins High School</t>
  </si>
  <si>
    <t>1900 Harshman Rd, Dayton, Ohio, 45424</t>
  </si>
  <si>
    <t>1900 Harshman Rd</t>
  </si>
  <si>
    <t>Stephen Bell Elementary School</t>
  </si>
  <si>
    <t>4133 Shadowleaf Dr, Bellbrook, Ohio, 45305</t>
  </si>
  <si>
    <t>4133 Shadowleaf Dr</t>
  </si>
  <si>
    <t>Norwayne Elementary School</t>
  </si>
  <si>
    <t>286 S. Main Street, Creston, Ohio, 44217</t>
  </si>
  <si>
    <t>286 S. Main Street</t>
  </si>
  <si>
    <t>Sterling Morton Elementary School</t>
  </si>
  <si>
    <t>9292 Jordan Dr, Mentor, Ohio, 44060</t>
  </si>
  <si>
    <t>9292 Jordan Dr</t>
  </si>
  <si>
    <t>Steubenville High School</t>
  </si>
  <si>
    <t>420 N 4th St, Steubenville, Ohio, 43952</t>
  </si>
  <si>
    <t>420 N 4th St</t>
  </si>
  <si>
    <t>Stewart Alternative Elementary School</t>
  </si>
  <si>
    <t>40 Stewart Ave, Columbus, Ohio, 43206</t>
  </si>
  <si>
    <t>40 Stewart Ave</t>
  </si>
  <si>
    <t>Bogan Elementary</t>
  </si>
  <si>
    <t>5200 Hamilton Richmond Rd, Oxford, Ohio, 45056</t>
  </si>
  <si>
    <t>5200 Hamilton Richmond Rd</t>
  </si>
  <si>
    <t>Stewart Elementary School</t>
  </si>
  <si>
    <t>11850 Conrey Rd, Cincinnati, Ohio, 45249</t>
  </si>
  <si>
    <t>11850 Conrey Rd</t>
  </si>
  <si>
    <t>45249</t>
  </si>
  <si>
    <t>Southern Local Jr/Sr High School</t>
  </si>
  <si>
    <t>Stiles Elementary School</t>
  </si>
  <si>
    <t>4700 Stiles Ave, Columbus, Ohio, 43228</t>
  </si>
  <si>
    <t>4700 Stiles Ave</t>
  </si>
  <si>
    <t>Stingley Elementary School</t>
  </si>
  <si>
    <t>95 Linden Dr, Centerville, Ohio, 45459</t>
  </si>
  <si>
    <t>95 Linden Dr</t>
  </si>
  <si>
    <t>Stivers School For The Arts</t>
  </si>
  <si>
    <t>1313 E 5th St, Dayton, Ohio, 45402</t>
  </si>
  <si>
    <t>1313 E 5th St</t>
  </si>
  <si>
    <t>Belle Stone Elementary School</t>
  </si>
  <si>
    <t>2100 Rowland Ave NE, Canton, Ohio, 44714</t>
  </si>
  <si>
    <t>2100 Rowland Ave NE</t>
  </si>
  <si>
    <t>44714</t>
  </si>
  <si>
    <t>Stow-Munroe Falls High School</t>
  </si>
  <si>
    <t>3227 Graham Rd, Stow, Ohio, 44224</t>
  </si>
  <si>
    <t>3227 Graham Rd</t>
  </si>
  <si>
    <t>Strasburg-Franklin Elementary School</t>
  </si>
  <si>
    <t>Strasburg-Franklin High School</t>
  </si>
  <si>
    <t>Streetsboro Middle School</t>
  </si>
  <si>
    <t>1900 Annalane Dr, Streetsboro, Ohio, 44241</t>
  </si>
  <si>
    <t>1900 Annalane Dr</t>
  </si>
  <si>
    <t>Streetsboro High School</t>
  </si>
  <si>
    <t>8585 State Route 14, Streetsboro, Ohio, 44241</t>
  </si>
  <si>
    <t>8585 State Route 14</t>
  </si>
  <si>
    <t>Strongsville High School</t>
  </si>
  <si>
    <t>20025 Lunn Rd, Strongsville, Ohio, 44149</t>
  </si>
  <si>
    <t>20025 Lunn Rd</t>
  </si>
  <si>
    <t>Strongsville Middle School</t>
  </si>
  <si>
    <t>13200 Pearl Rd, Strongsville, Ohio, 44136</t>
  </si>
  <si>
    <t>13200 Pearl Rd</t>
  </si>
  <si>
    <t>Struthers High School</t>
  </si>
  <si>
    <t>111 Euclid Ave, Struthers, Ohio, 44471</t>
  </si>
  <si>
    <t>111 Euclid Ave</t>
  </si>
  <si>
    <t>Stryker Elementary School</t>
  </si>
  <si>
    <t>Stryker High School</t>
  </si>
  <si>
    <t>Gahanna West Middle School</t>
  </si>
  <si>
    <t>350 N Stygler Rd, Gahanna, Ohio, 43230</t>
  </si>
  <si>
    <t>350 N Stygler Rd</t>
  </si>
  <si>
    <t>Suffield Elementary School</t>
  </si>
  <si>
    <t>1128 Waterloo Rd, Mogadore, Ohio, 44260</t>
  </si>
  <si>
    <t>1128 Waterloo Rd</t>
  </si>
  <si>
    <t xml:space="preserve">Elida Elementary </t>
  </si>
  <si>
    <t>300 Pioneer Rd, Elida, Ohio, 45807</t>
  </si>
  <si>
    <t>300 Pioneer Rd</t>
  </si>
  <si>
    <t>Black River Education Center Elementary School</t>
  </si>
  <si>
    <t>Sullivant Elementary School</t>
  </si>
  <si>
    <t>791 Griggs Ave, Columbus, Ohio, 43223</t>
  </si>
  <si>
    <t>791 Griggs Ave</t>
  </si>
  <si>
    <t>Hannah Crawford Elementary School grades 3 -5</t>
  </si>
  <si>
    <t>Summit Elementary School</t>
  </si>
  <si>
    <t>8400 Northport Dr, Cincinnati, Ohio, 45255</t>
  </si>
  <si>
    <t>8400 Northport Dr</t>
  </si>
  <si>
    <t>6623 Summit Rd SW, Pataskala, Ohio, 43062</t>
  </si>
  <si>
    <t>6623 Summit Rd SW</t>
  </si>
  <si>
    <t xml:space="preserve">Sunbeam </t>
  </si>
  <si>
    <t>11731 Mount Overlook Ave, Cleveland, Ohio, 44120</t>
  </si>
  <si>
    <t>11731 Mount Overlook Ave</t>
  </si>
  <si>
    <t>Big Walnut Elementary School</t>
  </si>
  <si>
    <t>940 S Old 3c Rd, Sunbury, Ohio, 43074</t>
  </si>
  <si>
    <t>940 S Old 3c Rd</t>
  </si>
  <si>
    <t>Minford Middle School</t>
  </si>
  <si>
    <t>135 Falcon Rd, Minford, Ohio, 45653</t>
  </si>
  <si>
    <t>135 Falcon Rd</t>
  </si>
  <si>
    <t>Sunview Elementary School</t>
  </si>
  <si>
    <t>5520 Meadow Wood Blvd, Lyndhurst, Ohio, 44124</t>
  </si>
  <si>
    <t>5520 Meadow Wood Blvd</t>
  </si>
  <si>
    <t>Prospect Academy</t>
  </si>
  <si>
    <t>Surrarrer Elementary School</t>
  </si>
  <si>
    <t>9306 Priem Rd, Strongsville, Ohio, 44149</t>
  </si>
  <si>
    <t>9306 Priem Rd</t>
  </si>
  <si>
    <t>Swanton High School</t>
  </si>
  <si>
    <t>601 N Main St, Swanton, Ohio, 43558</t>
  </si>
  <si>
    <t>601 N Main St</t>
  </si>
  <si>
    <t>Mohawk Elementary School</t>
  </si>
  <si>
    <t>Sycamore High School</t>
  </si>
  <si>
    <t>7400 Cornell Rd, Cincinnati, Ohio, 45242</t>
  </si>
  <si>
    <t>7400 Cornell Rd</t>
  </si>
  <si>
    <t>Edwin H Greene Intermediate Middle School</t>
  </si>
  <si>
    <t>5200 Aldine Dr, Cincinnati, Ohio, 45242</t>
  </si>
  <si>
    <t>5200 Aldine Dr</t>
  </si>
  <si>
    <t>Sylvan Elementary School</t>
  </si>
  <si>
    <t>4830 Wickford Dr E, Sylvania, Ohio, 43560</t>
  </si>
  <si>
    <t>4830 Wickford Dr E</t>
  </si>
  <si>
    <t>7720 Erie St, Sylvania, Ohio, 43560</t>
  </si>
  <si>
    <t>7720 Erie St</t>
  </si>
  <si>
    <t>Sylvania Northview High School</t>
  </si>
  <si>
    <t>5403 Silica Dr, Sylvania, Ohio, 43560</t>
  </si>
  <si>
    <t>5403 Silica Dr</t>
  </si>
  <si>
    <t>Stranahan Elementary School</t>
  </si>
  <si>
    <t>3840 N Holland Sylvania Rd, Toledo, Ohio, 43615</t>
  </si>
  <si>
    <t>3840 N Holland Sylvania Rd</t>
  </si>
  <si>
    <t>Whiteford Elementary School</t>
  </si>
  <si>
    <t>4708 Whiteford Rd, Toledo, Ohio, 43623</t>
  </si>
  <si>
    <t>4708 Whiteford Rd</t>
  </si>
  <si>
    <t>Symmes Valley High School</t>
  </si>
  <si>
    <t>13439 Clifton Blvd, Lakewood, Ohio, 44107</t>
  </si>
  <si>
    <t>13439 Clifton Blvd</t>
  </si>
  <si>
    <t>William H Taft Elementary School</t>
  </si>
  <si>
    <t>270 Southern Ave, Cincinnati, Ohio, 45219</t>
  </si>
  <si>
    <t>270 Southern Ave</t>
  </si>
  <si>
    <t>Taft Elementary School</t>
  </si>
  <si>
    <t>730 E Avondale Ave, Youngstown, Ohio, 44502</t>
  </si>
  <si>
    <t>730 E Avondale Ave</t>
  </si>
  <si>
    <t>44502</t>
  </si>
  <si>
    <t>Hamilton High School</t>
  </si>
  <si>
    <t>1165 Eaton Ave, Hamilton, Ohio, 45013</t>
  </si>
  <si>
    <t>1165 Eaton Ave</t>
  </si>
  <si>
    <t>Robert A. Taft Information Technology High School</t>
  </si>
  <si>
    <t>420 Ezzard Charles Dr, Cincinnati, Ohio, 45214</t>
  </si>
  <si>
    <t>420 Ezzard Charles Dr</t>
  </si>
  <si>
    <t>Glenwood Intermediate School</t>
  </si>
  <si>
    <t>1015 44th St NW, Canton, Ohio, 44709</t>
  </si>
  <si>
    <t>1015 44th St NW</t>
  </si>
  <si>
    <t>Talawanda High School</t>
  </si>
  <si>
    <t>5301 University Park Blvd, Oxford, Ohio, 45056</t>
  </si>
  <si>
    <t>5301 University Park Blvd</t>
  </si>
  <si>
    <t>Tallmadge Middle School</t>
  </si>
  <si>
    <t>484 East Ave, Tallmadge, Ohio, 44278</t>
  </si>
  <si>
    <t>484 East Ave</t>
  </si>
  <si>
    <t>694 Talmadge Ave, Lancaster, Ohio, 43130</t>
  </si>
  <si>
    <t>694 Talmadge Ave</t>
  </si>
  <si>
    <t>Tallmadge High School</t>
  </si>
  <si>
    <t>140 N Munroe Rd, Tallmadge, Ohio, 44278</t>
  </si>
  <si>
    <t>140 N Munroe Rd</t>
  </si>
  <si>
    <t>Tarhe Trails Elementary School</t>
  </si>
  <si>
    <t>2141 Greencrest Way, Lancaster, Ohio, 43130</t>
  </si>
  <si>
    <t>2141 Greencrest Way</t>
  </si>
  <si>
    <t>Taylor Elementary School</t>
  </si>
  <si>
    <t>3173 Springdale Rd, Cincinnati, Ohio, 45251</t>
  </si>
  <si>
    <t>3173 Springdale Rd</t>
  </si>
  <si>
    <t>Taylor High School</t>
  </si>
  <si>
    <t>56 Cooper Road, Cleves, Ohio, 45002</t>
  </si>
  <si>
    <t>56 Cooper Road</t>
  </si>
  <si>
    <t>Teays Valley High School</t>
  </si>
  <si>
    <t>3887 State Route 752, Ashville, Ohio, 43103</t>
  </si>
  <si>
    <t>3887 State Route 752</t>
  </si>
  <si>
    <t>Tecumseh Elementary School</t>
  </si>
  <si>
    <t>1058 Old Springfield Pike, Xenia, Ohio, 45385</t>
  </si>
  <si>
    <t>1058 Old Springfield Pike</t>
  </si>
  <si>
    <t>Tecumseh High School</t>
  </si>
  <si>
    <t>9830 W National Rd, New Carlisle, Ohio, 45344</t>
  </si>
  <si>
    <t>9830 W National Rd</t>
  </si>
  <si>
    <t>Forestlawn Early Learning Center</t>
  </si>
  <si>
    <t>3975 Forestlawn Ave, Sheffield Lake, Ohio, 44054</t>
  </si>
  <si>
    <t>3975 Forestlawn Ave</t>
  </si>
  <si>
    <t>Sheffield Lake</t>
  </si>
  <si>
    <t>Terrace Park Elementary School</t>
  </si>
  <si>
    <t>723 Elm Ave, Terrace Park, Ohio, 45174</t>
  </si>
  <si>
    <t>723 Elm Ave</t>
  </si>
  <si>
    <t>Terrace Park</t>
  </si>
  <si>
    <t>45174</t>
  </si>
  <si>
    <t>Madison-Plains Junior High</t>
  </si>
  <si>
    <t>803 Linson Rd, London, Ohio, 43140</t>
  </si>
  <si>
    <t>803 Linson Rd</t>
  </si>
  <si>
    <t>The Plains Intermediate School</t>
  </si>
  <si>
    <t>90 Connett Rd, The Plains, Ohio, 45780</t>
  </si>
  <si>
    <t>90 Connett Rd</t>
  </si>
  <si>
    <t>Huron Primary School</t>
  </si>
  <si>
    <t>2300 Wade Ave, Ashtabula, Ohio, 44004</t>
  </si>
  <si>
    <t>2300 Wade Ave</t>
  </si>
  <si>
    <t>Natividad Pagan International Newcomers Academy</t>
  </si>
  <si>
    <t>3145 W 46th St, Cleveland, Ohio, 44102</t>
  </si>
  <si>
    <t>3145 W 46th St</t>
  </si>
  <si>
    <t>Thoreau Park Elementary School</t>
  </si>
  <si>
    <t>5401 W 54th St, Parma, Ohio, 44129</t>
  </si>
  <si>
    <t>5401 W 54th St</t>
  </si>
  <si>
    <t>Thornville Elementary School</t>
  </si>
  <si>
    <t>70 E Columbus St, Thornville, Ohio, 43076</t>
  </si>
  <si>
    <t>70 E Columbus St</t>
  </si>
  <si>
    <t>Chillicothe Intermediate School</t>
  </si>
  <si>
    <t>345 Arch St, Chillicothe, Ohio, 45601</t>
  </si>
  <si>
    <t>345 Arch St</t>
  </si>
  <si>
    <t>Tinora High School</t>
  </si>
  <si>
    <t>5921 Domersville Rd, Defiance, Ohio, 43512</t>
  </si>
  <si>
    <t>5921 Domersville Rd</t>
  </si>
  <si>
    <t>L. T. Ball Intermediate School</t>
  </si>
  <si>
    <t>575 N Hyatt St, Tipp City, Ohio, 45371</t>
  </si>
  <si>
    <t>575 N Hyatt St</t>
  </si>
  <si>
    <t>Tippecanoe High School</t>
  </si>
  <si>
    <t>615 E Kessler Cowlesville Rd, Tipp City, Ohio, 45371</t>
  </si>
  <si>
    <t>615 E Kessler Cowlesville Rd</t>
  </si>
  <si>
    <t>Girard Intermediate Middle School</t>
  </si>
  <si>
    <t>702 E Prospect St, Girard, Ohio, 44420</t>
  </si>
  <si>
    <t>702 E Prospect St</t>
  </si>
  <si>
    <t>Toronto Jr. / Sr. High School</t>
  </si>
  <si>
    <t>1305 Dennis Way, Toronto, Ohio, 43964</t>
  </si>
  <si>
    <t>1305 Dennis Way</t>
  </si>
  <si>
    <t>St Bernard Elementary School</t>
  </si>
  <si>
    <t>4515 Tower Ave, Saint Bernard, Ohio, 45217</t>
  </si>
  <si>
    <t>4515 Tower Ave</t>
  </si>
  <si>
    <t>Tower Heights Middle School</t>
  </si>
  <si>
    <t>195 N Johanna Dr, Centerville, Ohio, 45459</t>
  </si>
  <si>
    <t>195 N Johanna Dr</t>
  </si>
  <si>
    <t>3841 State Route 20, Collins, Ohio, 44826</t>
  </si>
  <si>
    <t>3841 State Route 20</t>
  </si>
  <si>
    <t>Margaretta Elementary School</t>
  </si>
  <si>
    <t>5906 Bogart Rd W, Castalia, Ohio, 44824</t>
  </si>
  <si>
    <t>5906 Bogart Rd W</t>
  </si>
  <si>
    <t>Tremont Montessori School</t>
  </si>
  <si>
    <t>2409 W 10th St, Cleveland, Ohio, 44113</t>
  </si>
  <si>
    <t>2409 W 10th St</t>
  </si>
  <si>
    <t>Tremont Elementary School</t>
  </si>
  <si>
    <t>2900 Tremont Rd, Upper Arlington, Ohio, 43221</t>
  </si>
  <si>
    <t>2900 Tremont Rd</t>
  </si>
  <si>
    <t>Claymont Primary School</t>
  </si>
  <si>
    <t>1200 Eastport Ave, Uhrichsville, Ohio, 44683</t>
  </si>
  <si>
    <t>1200 Eastport Ave</t>
  </si>
  <si>
    <t>3045 Busenbark Rd, Trenton, Ohio, 45067</t>
  </si>
  <si>
    <t>3045 Busenbark Rd</t>
  </si>
  <si>
    <t>Trevitt Elementary School</t>
  </si>
  <si>
    <t>Tri-Valley High School</t>
  </si>
  <si>
    <t>46 E Muskingum Ave, Dresden, Ohio, 43821</t>
  </si>
  <si>
    <t>46 E Muskingum Ave</t>
  </si>
  <si>
    <t>Triad Elementary School</t>
  </si>
  <si>
    <t>7920 Brush Lake Rd, North Lewisburg, Ohio, 43060</t>
  </si>
  <si>
    <t>7920 Brush Lake Rd</t>
  </si>
  <si>
    <t>Triad High School</t>
  </si>
  <si>
    <t>8099 Brush Lake Rd, North Lewisburg, Ohio, 43060</t>
  </si>
  <si>
    <t>8099 Brush Lake Rd</t>
  </si>
  <si>
    <t>Trimble Elementary School</t>
  </si>
  <si>
    <t>18500 Jacksonville Rd, Glouster, Ohio, 45732</t>
  </si>
  <si>
    <t>18500 Jacksonville Rd</t>
  </si>
  <si>
    <t>Triway High School</t>
  </si>
  <si>
    <t>Troy High School</t>
  </si>
  <si>
    <t>151 Staunton Rd, Troy, Ohio, 45373</t>
  </si>
  <si>
    <t>151 Staunton Rd</t>
  </si>
  <si>
    <t>Coventry Elementary School</t>
  </si>
  <si>
    <t>3089 Manchester Rd, Akron, Ohio, 44319</t>
  </si>
  <si>
    <t>3089 Manchester Rd</t>
  </si>
  <si>
    <t>Tuscarawas Middle School</t>
  </si>
  <si>
    <t>261 School St, Tuscarawas, Ohio, 44682</t>
  </si>
  <si>
    <t>261 School St</t>
  </si>
  <si>
    <t>44682</t>
  </si>
  <si>
    <t>Tuscarawas Valley Middle-High School</t>
  </si>
  <si>
    <t>2629 Tusky Valley Rd NE, Zoarville, Ohio, 44656</t>
  </si>
  <si>
    <t>2629 Tusky Valley Rd NE</t>
  </si>
  <si>
    <t>Tuslaw High School</t>
  </si>
  <si>
    <t>1847 Manchester Ave NW, Massillon, Ohio, 44647</t>
  </si>
  <si>
    <t>1847 Manchester Ave NW</t>
  </si>
  <si>
    <t>Paint Valley Elementary</t>
  </si>
  <si>
    <t>Tri-County North High School</t>
  </si>
  <si>
    <t>Twin Valley South High School</t>
  </si>
  <si>
    <t>418 W Martindale Rd, Union, Ohio, 45322</t>
  </si>
  <si>
    <t>418 W Martindale Rd</t>
  </si>
  <si>
    <t>Granville Middle School</t>
  </si>
  <si>
    <t>210 New Burg St, Granville, Ohio, 43023</t>
  </si>
  <si>
    <t>210 New Burg St</t>
  </si>
  <si>
    <t>7672 Lesourdsville West Chester Rd, West Chester, Ohio, 45069</t>
  </si>
  <si>
    <t>7672 Lesourdsville West Chester Rd</t>
  </si>
  <si>
    <t>Union Local High School</t>
  </si>
  <si>
    <t>Unioto High School</t>
  </si>
  <si>
    <t>14193 Pleasant Valley Rd, Chillicothe, Ohio, 45601</t>
  </si>
  <si>
    <t>14193 Pleasant Valley Rd</t>
  </si>
  <si>
    <t>Lake Primary School</t>
  </si>
  <si>
    <t>13244 Cleveland Ave NW, Uniontown, Ohio, 44685</t>
  </si>
  <si>
    <t>13244 Cleveland Ave NW</t>
  </si>
  <si>
    <t>United Elementary School</t>
  </si>
  <si>
    <t>United High School</t>
  </si>
  <si>
    <t>Upper Arlington High School</t>
  </si>
  <si>
    <t>1625 Zollinger Rd, Upper Arlington, Ohio, 43221</t>
  </si>
  <si>
    <t>1625 Zollinger Rd</t>
  </si>
  <si>
    <t>Upper Sandusky High School</t>
  </si>
  <si>
    <t>Upper Scioto Valley High School</t>
  </si>
  <si>
    <t>Shoreview Elementary School</t>
  </si>
  <si>
    <t>490 E 260th St, Euclid, Ohio, 44132</t>
  </si>
  <si>
    <t>490 E 260th St</t>
  </si>
  <si>
    <t>44132</t>
  </si>
  <si>
    <t>Urbana Junior High School</t>
  </si>
  <si>
    <t>Urbana High School</t>
  </si>
  <si>
    <t>500 Washington Ave, Urbana, Ohio, 43078</t>
  </si>
  <si>
    <t>500 Washington Ave</t>
  </si>
  <si>
    <t>Utica Elementary School</t>
  </si>
  <si>
    <t>367 Church Street, Utica, Ohio, 43080</t>
  </si>
  <si>
    <t>367 Church Street</t>
  </si>
  <si>
    <t>Utica High School</t>
  </si>
  <si>
    <t>260 N Jefferson St, Utica, Ohio, 43080</t>
  </si>
  <si>
    <t>260 N Jefferson St</t>
  </si>
  <si>
    <t>Utica Middle School</t>
  </si>
  <si>
    <t>Valley Elementary School</t>
  </si>
  <si>
    <t>1821A State Route 728, Lucasville, Ohio, 45648</t>
  </si>
  <si>
    <t>1821A State Route 728</t>
  </si>
  <si>
    <t>3601 Jonathon Dr, Beavercreek, Ohio, 45434</t>
  </si>
  <si>
    <t>3601 Jonathon Dr</t>
  </si>
  <si>
    <t>Valley Forge Elementary School</t>
  </si>
  <si>
    <t>1321 Urban Dr, Columbus, Ohio, 43229</t>
  </si>
  <si>
    <t>1321 Urban Dr</t>
  </si>
  <si>
    <t>Valley Forge High School</t>
  </si>
  <si>
    <t>9999 Independence Blvd, Parma Heights, Ohio, 44130</t>
  </si>
  <si>
    <t>9999 Independence Blvd</t>
  </si>
  <si>
    <t>Parma Heights</t>
  </si>
  <si>
    <t>Harold Schnell Elementary School</t>
  </si>
  <si>
    <t>5995 Student St, West Carrollton, Ohio, 45449</t>
  </si>
  <si>
    <t>5995 Student St</t>
  </si>
  <si>
    <t>Valley High School</t>
  </si>
  <si>
    <t>Valley Middle School</t>
  </si>
  <si>
    <t>393 Indian Dr, Lucasville, Ohio, 45648</t>
  </si>
  <si>
    <t>393 Indian Dr</t>
  </si>
  <si>
    <t>Valley View Elementary School</t>
  </si>
  <si>
    <t>625 Orchard St, Wadsworth, Ohio, 44281</t>
  </si>
  <si>
    <t>625 Orchard St</t>
  </si>
  <si>
    <t>Valley View High School</t>
  </si>
  <si>
    <t>6027 Farmersville Germantn Pike, Germantown, Ohio, 45327</t>
  </si>
  <si>
    <t>6027 Farmersville Germantn Pike</t>
  </si>
  <si>
    <t>17200 Valleyview Ave, Cleveland, Ohio, 44135</t>
  </si>
  <si>
    <t>17200 Valleyview Ave</t>
  </si>
  <si>
    <t>Valleyview Elementary School</t>
  </si>
  <si>
    <t>2989 Valleyview Dr, Columbus, Ohio, 43204</t>
  </si>
  <si>
    <t>2989 Valleyview Dr</t>
  </si>
  <si>
    <t>Van Buren Elementary School</t>
  </si>
  <si>
    <t>301 S Main St, Van Buren, Ohio, 45889</t>
  </si>
  <si>
    <t>301 S Main St</t>
  </si>
  <si>
    <t>Crawford Woods Elementary School</t>
  </si>
  <si>
    <t>2200 Hensley Ave, Hamilton, Ohio, 45011</t>
  </si>
  <si>
    <t>2200 Hensley Ave</t>
  </si>
  <si>
    <t>Van Buren Middle School</t>
  </si>
  <si>
    <t>3775 Shroyer Rd, Kettering, Ohio, 45429</t>
  </si>
  <si>
    <t>3775 Shroyer Rd</t>
  </si>
  <si>
    <t>Van Buren High School</t>
  </si>
  <si>
    <t>Edwin Joel Brown Middle School</t>
  </si>
  <si>
    <t>31 Willowwood Drive, Dayton, Ohio, 45405</t>
  </si>
  <si>
    <t>31 Willowwood Drive</t>
  </si>
  <si>
    <t>Van Wert High School</t>
  </si>
  <si>
    <t>10708 State Route 118, Van Wert, Ohio, 45891</t>
  </si>
  <si>
    <t>10708 State Route 118</t>
  </si>
  <si>
    <t>Vanlue Elementary School</t>
  </si>
  <si>
    <t>301 S. East St, Vanlue, Ohio, 45890</t>
  </si>
  <si>
    <t>301 S. East St</t>
  </si>
  <si>
    <t>Vanlue High School</t>
  </si>
  <si>
    <t>Columbus Grove Middle School</t>
  </si>
  <si>
    <t xml:space="preserve">Sailorway Middle School </t>
  </si>
  <si>
    <t>5355 Sailorway Dr, Vermilion, Ohio, 44089</t>
  </si>
  <si>
    <t>5355 Sailorway Dr</t>
  </si>
  <si>
    <t>Vermilion High School</t>
  </si>
  <si>
    <t>Vermont Avenue Elementary School</t>
  </si>
  <si>
    <t>33 Vermont Ave, Wyoming, Ohio, 45215</t>
  </si>
  <si>
    <t>33 Vermont Ave</t>
  </si>
  <si>
    <t>Badger Middle School</t>
  </si>
  <si>
    <t>Bloom-Vernon Elementary School</t>
  </si>
  <si>
    <t>10529A Main St, South Webster, Ohio, 45682</t>
  </si>
  <si>
    <t>10529A Main St</t>
  </si>
  <si>
    <t>Tri-County North Middle School</t>
  </si>
  <si>
    <t>Versailles Elementary School</t>
  </si>
  <si>
    <t>280 Marker Rd, Versailles, Ohio, 45380</t>
  </si>
  <si>
    <t>280 Marker Rd</t>
  </si>
  <si>
    <t>Versailles High School</t>
  </si>
  <si>
    <t>400 Hilltop Blvd, Canfield, Ohio, 44406</t>
  </si>
  <si>
    <t>400 Hilltop Blvd</t>
  </si>
  <si>
    <t>Vincent Elementary School</t>
  </si>
  <si>
    <t>2303 N Ridge Rd E, Lorain, Ohio, 44055</t>
  </si>
  <si>
    <t>2303 N Ridge Rd E</t>
  </si>
  <si>
    <t>Vinton County High School</t>
  </si>
  <si>
    <t>63910 Us Highway 50, Mc Arthur, Ohio, 45651</t>
  </si>
  <si>
    <t>63910 Us Highway 50</t>
  </si>
  <si>
    <t>Vinton Elementary School</t>
  </si>
  <si>
    <t>123 Keystone Rd, Vinton, Ohio, 45686</t>
  </si>
  <si>
    <t>123 Keystone Rd</t>
  </si>
  <si>
    <t>45686</t>
  </si>
  <si>
    <t>Voris Community Learning Center</t>
  </si>
  <si>
    <t>1885 Glenmount Ave, Akron, Ohio, 44301</t>
  </si>
  <si>
    <t>1885 Glenmount Ave</t>
  </si>
  <si>
    <t>Twin Valley South Elementary School</t>
  </si>
  <si>
    <t>West Boulevard Elementary School</t>
  </si>
  <si>
    <t>6125 West Blvd, Youngstown, Ohio, 44512</t>
  </si>
  <si>
    <t>6125 West Blvd</t>
  </si>
  <si>
    <t>West Branch Middle School</t>
  </si>
  <si>
    <t>14409 Beloit Snodes Rd, Beloit, Ohio, 44609</t>
  </si>
  <si>
    <t>14409 Beloit Snodes Rd</t>
  </si>
  <si>
    <t>West Branch High School</t>
  </si>
  <si>
    <t>West Broad Elementary School</t>
  </si>
  <si>
    <t>2744 W Broad St, Columbus, Ohio, 43204</t>
  </si>
  <si>
    <t>2744 W Broad St</t>
  </si>
  <si>
    <t>West Carrollton High School</t>
  </si>
  <si>
    <t>5833 Student St, West Carrollton, Ohio, 45449</t>
  </si>
  <si>
    <t>5833 Student St</t>
  </si>
  <si>
    <t>West Carrollton Middle School</t>
  </si>
  <si>
    <t>424 E Main St, West Carrollton, Ohio, 45449</t>
  </si>
  <si>
    <t>424 E Main St</t>
  </si>
  <si>
    <t>William C Bryant Elementary School</t>
  </si>
  <si>
    <t>3121 Oak Park Ave, Cleveland, Ohio, 44109</t>
  </si>
  <si>
    <t>3121 Oak Park Ave</t>
  </si>
  <si>
    <t>West Franklin Elementary School</t>
  </si>
  <si>
    <t>3501 Briggs Rd, Columbus, Ohio, 43204</t>
  </si>
  <si>
    <t>3501 Briggs Rd</t>
  </si>
  <si>
    <t>West Geauga High School</t>
  </si>
  <si>
    <t>13401 Chillicothe Rd, Chesterland, Ohio, 44026</t>
  </si>
  <si>
    <t>13401 Chillicothe Rd</t>
  </si>
  <si>
    <t>West Geauga Middle School</t>
  </si>
  <si>
    <t>8611 Cedar Rd, Chesterland, Ohio, 44026</t>
  </si>
  <si>
    <t>8611 Cedar Rd</t>
  </si>
  <si>
    <t>W.H. Kirk Middle School</t>
  </si>
  <si>
    <t>14410 Terrace Rd, East Cleveland, Ohio, 44112</t>
  </si>
  <si>
    <t>14410 Terrace Rd</t>
  </si>
  <si>
    <t>Rittman Elementary School</t>
  </si>
  <si>
    <t>131 N Metzger Ave, Rittman, Ohio, 44270</t>
  </si>
  <si>
    <t>131 N Metzger Ave</t>
  </si>
  <si>
    <t>West Holmes High School</t>
  </si>
  <si>
    <t>10909 State Route 39, Millersburg, Ohio, 44654</t>
  </si>
  <si>
    <t>10909 State Route 39</t>
  </si>
  <si>
    <t>West Jefferson  Middle School</t>
  </si>
  <si>
    <t>2 Roughrider Drive, West Jefferson, Ohio, 43162</t>
  </si>
  <si>
    <t>2 Roughrider Drive</t>
  </si>
  <si>
    <t>West Jefferson High School</t>
  </si>
  <si>
    <t>1 Roughrider Dr, West Jefferson, Ohio, 43162</t>
  </si>
  <si>
    <t>1 Roughrider Dr</t>
  </si>
  <si>
    <t>West Liberty-Salem Elementary School</t>
  </si>
  <si>
    <t>West Liberty-Salem High School</t>
  </si>
  <si>
    <t>West Main Elementary School</t>
  </si>
  <si>
    <t>639 W Main St, Ravenna, Ohio, 44266</t>
  </si>
  <si>
    <t>639 W Main St</t>
  </si>
  <si>
    <t>West Mound Elementary School</t>
  </si>
  <si>
    <t>2051 W Mound St, Columbus, Ohio, 43223</t>
  </si>
  <si>
    <t>2051 W Mound St</t>
  </si>
  <si>
    <t>West Muskingum High School</t>
  </si>
  <si>
    <t>150 Kimes Rd, Zanesville, Ohio, 43701</t>
  </si>
  <si>
    <t>150 Kimes Rd</t>
  </si>
  <si>
    <t>East Palestine Middle School</t>
  </si>
  <si>
    <t>320 W Grant St, East Palestine, Ohio, 44413</t>
  </si>
  <si>
    <t>320 W Grant St</t>
  </si>
  <si>
    <t>West Park Elementary School</t>
  </si>
  <si>
    <t>1071 Jones St, Ravenna, Ohio, 44266</t>
  </si>
  <si>
    <t>1071 Jones St</t>
  </si>
  <si>
    <t>West Union Elementary School</t>
  </si>
  <si>
    <t>555 Lloyd Rd, West Union, Ohio, 45693</t>
  </si>
  <si>
    <t>555 Lloyd Rd</t>
  </si>
  <si>
    <t>West Union High School</t>
  </si>
  <si>
    <t>97 Dragon Lair Dr, West Union, Ohio, 45693</t>
  </si>
  <si>
    <t>97 Dragon Lair Dr</t>
  </si>
  <si>
    <t xml:space="preserve">Wade Park </t>
  </si>
  <si>
    <t>7600 Wade Park Ave, Cleveland, Ohio, 44103</t>
  </si>
  <si>
    <t>7600 Wade Park Ave</t>
  </si>
  <si>
    <t>Wadsworth High School</t>
  </si>
  <si>
    <t>625 Broad St, Wadsworth, Ohio, 44281</t>
  </si>
  <si>
    <t>625 Broad St</t>
  </si>
  <si>
    <t>Waite High School</t>
  </si>
  <si>
    <t>301 Morrison Dr, Toledo, Ohio, 43605</t>
  </si>
  <si>
    <t>301 Morrison Dr</t>
  </si>
  <si>
    <t>Walbridge Elementary School</t>
  </si>
  <si>
    <t>1245 Walbridge Ave, Toledo, Ohio, 43609</t>
  </si>
  <si>
    <t>1245 Walbridge Ave</t>
  </si>
  <si>
    <t>Heritage Elementary School</t>
  </si>
  <si>
    <t>720 Columbus Sandusky Rd S, Marion, Ohio, 43302</t>
  </si>
  <si>
    <t>720 Columbus Sandusky Rd S</t>
  </si>
  <si>
    <t>Walls Elementary School</t>
  </si>
  <si>
    <t>900 Doramor St, Kent, Ohio, 44240</t>
  </si>
  <si>
    <t>900 Doramor St</t>
  </si>
  <si>
    <t>Walnut Creek Elementary School</t>
  </si>
  <si>
    <t>4840 Olde Pump St, Walnut Creek, Ohio, 44687</t>
  </si>
  <si>
    <t>4840 Olde Pump St</t>
  </si>
  <si>
    <t>Walnut Creek</t>
  </si>
  <si>
    <t>44687</t>
  </si>
  <si>
    <t>Walnut Elementary School</t>
  </si>
  <si>
    <t>7150 Ashville Fairfield Rd, Ashville, Ohio, 43103</t>
  </si>
  <si>
    <t>7150 Ashville Fairfield Rd</t>
  </si>
  <si>
    <t>Millersport Elementary School</t>
  </si>
  <si>
    <t>Walnut Hills High School</t>
  </si>
  <si>
    <t>3250 Victory Pkwy, Cincinnati, Ohio, 45207</t>
  </si>
  <si>
    <t>3250 Victory Pkwy</t>
  </si>
  <si>
    <t>Millersport Jr/Sr High School</t>
  </si>
  <si>
    <t>Heritage  Middle School</t>
  </si>
  <si>
    <t>135 Cedarbrook Dr, Painesville, Ohio, 44077</t>
  </si>
  <si>
    <t>135 Cedarbrook Dr</t>
  </si>
  <si>
    <t>Walnut Ridge High School</t>
  </si>
  <si>
    <t>4841 E Livingston Ave, Columbus, Ohio, 43227</t>
  </si>
  <si>
    <t>4841 E Livingston Ave</t>
  </si>
  <si>
    <t>Walnut Springs Middle School</t>
  </si>
  <si>
    <t>888 E Walnut St, Westerville, Ohio, 43081</t>
  </si>
  <si>
    <t>888 E Walnut St</t>
  </si>
  <si>
    <t>Walton School</t>
  </si>
  <si>
    <t>3409 Walton Ave, Cleveland, Ohio, 44113</t>
  </si>
  <si>
    <t>3409 Walton Ave</t>
  </si>
  <si>
    <t>Miamisburg Middle School</t>
  </si>
  <si>
    <t>8668 Miamisburg Springboro Rd, Miamisburg, Ohio, 45342</t>
  </si>
  <si>
    <t>8668 Miamisburg Springboro Rd</t>
  </si>
  <si>
    <t>Wapakoneta High School</t>
  </si>
  <si>
    <t>1 Redskin Trl, Wapakoneta, Ohio, 45895</t>
  </si>
  <si>
    <t>1 Redskin Trl</t>
  </si>
  <si>
    <t>Warder Park-Wayne Elementary School</t>
  </si>
  <si>
    <t>2820 Hillside Ave, Springfield, Ohio, 45503</t>
  </si>
  <si>
    <t>2820 Hillside Ave</t>
  </si>
  <si>
    <t>Warner Girls Leadership Academy</t>
  </si>
  <si>
    <t>8315 Jeffries Ave, Cleveland, Ohio, 44105</t>
  </si>
  <si>
    <t>8315 Jeffries Ave</t>
  </si>
  <si>
    <t>Buckeye Local Junior High</t>
  </si>
  <si>
    <t>10692 State Highway 150, Rayland, Ohio, 43943</t>
  </si>
  <si>
    <t>10692 State Highway 150</t>
  </si>
  <si>
    <t>Rayland</t>
  </si>
  <si>
    <t>43943</t>
  </si>
  <si>
    <t>Warren High School</t>
  </si>
  <si>
    <t>130 Warrior Dr, Vincent, Ohio, 45784</t>
  </si>
  <si>
    <t>130 Warrior Dr</t>
  </si>
  <si>
    <t>Warrensville Heights High School</t>
  </si>
  <si>
    <t>4270 Northfield Rd, Warrensville Heights, Ohio, 44128</t>
  </si>
  <si>
    <t>4270 Northfield Rd</t>
  </si>
  <si>
    <t>Warrensville Heights Middle School</t>
  </si>
  <si>
    <t>23401 Emery Rd, Warrensville Heights, Ohio, 44128</t>
  </si>
  <si>
    <t>23401 Emery Rd</t>
  </si>
  <si>
    <t>River View Elementary School</t>
  </si>
  <si>
    <t>501 Blissfield Road, Warsaw, Ohio, 43844</t>
  </si>
  <si>
    <t>501 Blissfield Road</t>
  </si>
  <si>
    <t>Niles Intermediate School</t>
  </si>
  <si>
    <t>120 E Margaret Ave, Niles, Ohio, 44446</t>
  </si>
  <si>
    <t>120 E Margaret Ave</t>
  </si>
  <si>
    <t>Washington Elementary School</t>
  </si>
  <si>
    <t>1025 W 23rd St, Lorain, Ohio, 44052</t>
  </si>
  <si>
    <t>1025 W 23rd St</t>
  </si>
  <si>
    <t>Hillsboro Intermediate School</t>
  </si>
  <si>
    <t>500 US Route 62, Hillsboro, Ohio, 45133</t>
  </si>
  <si>
    <t>500 US Route 62</t>
  </si>
  <si>
    <t>Washington K-1 Elementary School</t>
  </si>
  <si>
    <t>151 Elmer St, Tiffin, Ohio, 44883</t>
  </si>
  <si>
    <t>151 Elmer St</t>
  </si>
  <si>
    <t>Washington Junior High School</t>
  </si>
  <si>
    <t>5700 Whitmer Dr, Toledo, Ohio, 43613</t>
  </si>
  <si>
    <t>5700 Whitmer Dr</t>
  </si>
  <si>
    <t>5786 Beechwood Ave, Alliance, Ohio, 44601</t>
  </si>
  <si>
    <t>5786 Beechwood Ave</t>
  </si>
  <si>
    <t>Washington School</t>
  </si>
  <si>
    <t>401 Washington St, Marietta, Ohio, 45750</t>
  </si>
  <si>
    <t>401 Washington St</t>
  </si>
  <si>
    <t>George Washington Elementary School</t>
  </si>
  <si>
    <t>400 Pennsylvania Ave, Marion, Ohio, 43302</t>
  </si>
  <si>
    <t>400 Pennsylvania Ave</t>
  </si>
  <si>
    <t>Washington High School</t>
  </si>
  <si>
    <t>1 Paul E Brown Dr SE, Massillon, Ohio, 44646</t>
  </si>
  <si>
    <t>1 Paul E Brown Dr SE</t>
  </si>
  <si>
    <t>Washington Middle School</t>
  </si>
  <si>
    <t>500 S Elm St, Washington Court House, Ohio, 43160</t>
  </si>
  <si>
    <t>500 S Elm St</t>
  </si>
  <si>
    <t>450 4th Ave, Gallipolis, Ohio, 45631</t>
  </si>
  <si>
    <t>450 4th Ave</t>
  </si>
  <si>
    <t>John Sells Middle School</t>
  </si>
  <si>
    <t>150 W Bridge St, Dublin, Ohio, 43017</t>
  </si>
  <si>
    <t>150 W Bridge St</t>
  </si>
  <si>
    <t>400 S Elm St, Washington Court House, Ohio, 43160</t>
  </si>
  <si>
    <t>400 S Elm St</t>
  </si>
  <si>
    <t>Waterford Elementary School</t>
  </si>
  <si>
    <t>19701 State Route 339, Waterford, Ohio, 45786</t>
  </si>
  <si>
    <t>19701 State Route 339</t>
  </si>
  <si>
    <t>Waterford High School</t>
  </si>
  <si>
    <t>330 Main Street, Waterford, Ohio, 45786</t>
  </si>
  <si>
    <t>330 Main Street</t>
  </si>
  <si>
    <t>Waterloo High School</t>
  </si>
  <si>
    <t>Waterville Primary School</t>
  </si>
  <si>
    <t>457 Sycamore Ln, Waterville, Ohio, 43566</t>
  </si>
  <si>
    <t>457 Sycamore Ln</t>
  </si>
  <si>
    <t>Waterville</t>
  </si>
  <si>
    <t>43566</t>
  </si>
  <si>
    <t>Watkins Memorial High School</t>
  </si>
  <si>
    <t>1954 Warrior Way, Pataskala, Ohio, 43062</t>
  </si>
  <si>
    <t>1954 Warrior Way</t>
  </si>
  <si>
    <t>Watson Elementary School</t>
  </si>
  <si>
    <t>515 Marion Ave NW, Massillon, Ohio, 44646</t>
  </si>
  <si>
    <t>515 Marion Ave NW</t>
  </si>
  <si>
    <t>Austintown Elementary School</t>
  </si>
  <si>
    <t>245 Idaho Rd, Youngstown, Ohio, 44515</t>
  </si>
  <si>
    <t>245 Idaho Rd</t>
  </si>
  <si>
    <t>Wauseon High School</t>
  </si>
  <si>
    <t>840 Parkview St, Wauseon, Ohio, 43567</t>
  </si>
  <si>
    <t>840 Parkview St</t>
  </si>
  <si>
    <t>Waverly Elementary School</t>
  </si>
  <si>
    <t>1805 W 57th St, Cleveland, Ohio, 44102</t>
  </si>
  <si>
    <t>1805 W 57th St</t>
  </si>
  <si>
    <t>Waverly High School</t>
  </si>
  <si>
    <t>1 Tiger Drive, Waverly, Ohio, 45690</t>
  </si>
  <si>
    <t>1 Tiger Drive</t>
  </si>
  <si>
    <t>Waynesville Elementary School</t>
  </si>
  <si>
    <t>Wayne High School</t>
  </si>
  <si>
    <t>5400 Chambersburg Rd, Huber Heights, Ohio, 45424</t>
  </si>
  <si>
    <t>5400 Chambersburg Rd</t>
  </si>
  <si>
    <t>Waynesville High School</t>
  </si>
  <si>
    <t>735 Dayton Rd, Waynesville, Ohio, 45068</t>
  </si>
  <si>
    <t>735 Dayton Rd</t>
  </si>
  <si>
    <t>Maumee Intermediate School</t>
  </si>
  <si>
    <t>1147 7th St, Maumee, Ohio, 43537</t>
  </si>
  <si>
    <t>1147 7th St</t>
  </si>
  <si>
    <t>Waynedale High School</t>
  </si>
  <si>
    <t>9050 Dover Rd, Apple Creek, Ohio, 44606</t>
  </si>
  <si>
    <t>9050 Dover Rd</t>
  </si>
  <si>
    <t>Waynesfield-Goshen Local High School</t>
  </si>
  <si>
    <t>Waynesfield-Goshen Local Elementary School</t>
  </si>
  <si>
    <t>Kiser Elementary School</t>
  </si>
  <si>
    <t>1401 Leo St, Dayton, Ohio, 45404</t>
  </si>
  <si>
    <t>1401 Leo St</t>
  </si>
  <si>
    <t xml:space="preserve">Hillsboro Primary School </t>
  </si>
  <si>
    <t>500 U.S. Rte. 62, Hillsboro, Ohio, 45133</t>
  </si>
  <si>
    <t>500 U.S. Rte. 62</t>
  </si>
  <si>
    <t>Wedgewood Middle School</t>
  </si>
  <si>
    <t>3800 Briggs Rd, Columbus, Ohio, 43228</t>
  </si>
  <si>
    <t>3800 Briggs Rd</t>
  </si>
  <si>
    <t>Struble Elementary School</t>
  </si>
  <si>
    <t>2760 Jonrose Ave, Cincinnati, Ohio, 45239</t>
  </si>
  <si>
    <t>2760 Jonrose Ave</t>
  </si>
  <si>
    <t>Weinland Park Elementary School</t>
  </si>
  <si>
    <t>211 E 7th Ave, Columbus, Ohio, 43201</t>
  </si>
  <si>
    <t>211 E 7th Ave</t>
  </si>
  <si>
    <t>43201</t>
  </si>
  <si>
    <t>Weller Elementary School</t>
  </si>
  <si>
    <t>9600 Sheehan Rd, Centerville, Ohio, 45458</t>
  </si>
  <si>
    <t>9600 Sheehan Rd</t>
  </si>
  <si>
    <t>Wells Academy</t>
  </si>
  <si>
    <t>Wellston High School</t>
  </si>
  <si>
    <t>200 Golden Rocket Drive, Wellston, Ohio, 45692</t>
  </si>
  <si>
    <t>200 Golden Rocket Drive</t>
  </si>
  <si>
    <t xml:space="preserve">Wellsville Jr. Sr. High </t>
  </si>
  <si>
    <t>1 Bengal Blvd, Wellsville, Ohio, 43968</t>
  </si>
  <si>
    <t>1 Bengal Blvd</t>
  </si>
  <si>
    <t>Joseph Welty Middle School</t>
  </si>
  <si>
    <t>315 4th St NW, New Philadelphia, Ohio, 44663</t>
  </si>
  <si>
    <t>315 4th St NW</t>
  </si>
  <si>
    <t>Silver Creek Elementary School</t>
  </si>
  <si>
    <t>Chesapeake Elementary School</t>
  </si>
  <si>
    <t>11359 County Road 1, Chesapeake, Ohio, 45619</t>
  </si>
  <si>
    <t>11359 County Road 1</t>
  </si>
  <si>
    <t>Fort Recovery Elementary School</t>
  </si>
  <si>
    <t>St Marys West Intermediate School</t>
  </si>
  <si>
    <t>1301 W High St, Saint Marys, Ohio, 45885</t>
  </si>
  <si>
    <t>1301 W High St</t>
  </si>
  <si>
    <t>517 Beaver St, Newcomerstown, Ohio, 43832</t>
  </si>
  <si>
    <t>517 Beaver St</t>
  </si>
  <si>
    <t>232 Tuscarawas Ave NW, New Philadelphia, Ohio, 44663</t>
  </si>
  <si>
    <t>232 Tuscarawas Ave NW</t>
  </si>
  <si>
    <t>Celina Elementary School</t>
  </si>
  <si>
    <t>1225 W Logan St, Celina, Ohio, 45822</t>
  </si>
  <si>
    <t>1225 W Logan St</t>
  </si>
  <si>
    <t>Fairfield West Elementary School</t>
  </si>
  <si>
    <t>4700 River Rd, Fairfield, Ohio, 45014</t>
  </si>
  <si>
    <t>4700 River Rd</t>
  </si>
  <si>
    <t>Waverly Intermediate School</t>
  </si>
  <si>
    <t>5 Tiger Drive, Waverly, Ohio, 45690</t>
  </si>
  <si>
    <t>5 Tiger Drive</t>
  </si>
  <si>
    <t>Chaney Middle at McGuffey</t>
  </si>
  <si>
    <t>310 S Schenley Ave, Youngstown, Ohio, 44509</t>
  </si>
  <si>
    <t>310 S Schenley Ave</t>
  </si>
  <si>
    <t>Twin Oak Elementary School</t>
  </si>
  <si>
    <t>8888 Martinsburg Rd, Mount Vernon, Ohio, 43050</t>
  </si>
  <si>
    <t>8888 Martinsburg Rd</t>
  </si>
  <si>
    <t>West High School</t>
  </si>
  <si>
    <t>179 S Powell Ave, Columbus, Ohio, 43204</t>
  </si>
  <si>
    <t>179 S Powell Ave</t>
  </si>
  <si>
    <t>Warner Middle School</t>
  </si>
  <si>
    <t>600 Buckskin Trl, Xenia, Ohio, 45385</t>
  </si>
  <si>
    <t>600 Buckskin Trl</t>
  </si>
  <si>
    <t>Lima West Middle School</t>
  </si>
  <si>
    <t>503 N Cable Rd, Lima, Ohio, 45805</t>
  </si>
  <si>
    <t>503 N Cable Rd</t>
  </si>
  <si>
    <t>45805</t>
  </si>
  <si>
    <t>Tiffin Middle School</t>
  </si>
  <si>
    <t>103 Shepherd Drive, Tiffin, Ohio, 44883</t>
  </si>
  <si>
    <t>103 Shepherd Drive</t>
  </si>
  <si>
    <t>Brookville Elementary School</t>
  </si>
  <si>
    <t>3 Blue Pride Dr, Brookville, Ohio, 45309</t>
  </si>
  <si>
    <t>3 Blue Pride Dr</t>
  </si>
  <si>
    <t>The Bridgeport School District - Elementary</t>
  </si>
  <si>
    <t>Westerly Elementary School</t>
  </si>
  <si>
    <t>30301 Wolf Rd, Bay Village, Ohio, 44140</t>
  </si>
  <si>
    <t>30301 Wolf Rd</t>
  </si>
  <si>
    <t>Bellefontaine Intermediate School</t>
  </si>
  <si>
    <t>509 N Park St, Bellefontaine, Ohio, 43311</t>
  </si>
  <si>
    <t>509 N Park St</t>
  </si>
  <si>
    <t>385 W Main St, Lexington, Ohio, 44904</t>
  </si>
  <si>
    <t>385 W Main St</t>
  </si>
  <si>
    <t>Western High School</t>
  </si>
  <si>
    <t>Westerville-South High School</t>
  </si>
  <si>
    <t>303 S Otterbein Ave, Westerville, Ohio, 43081</t>
  </si>
  <si>
    <t>303 S Otterbein Ave</t>
  </si>
  <si>
    <t>Westfall High School</t>
  </si>
  <si>
    <t>Westgate Middle School</t>
  </si>
  <si>
    <t>Westgate Alternative Elementary School</t>
  </si>
  <si>
    <t>3080 Wicklow Rd, Columbus, Ohio, 43204</t>
  </si>
  <si>
    <t>3080 Wicklow Rd</t>
  </si>
  <si>
    <t>East Liverpool Junior High</t>
  </si>
  <si>
    <t>New Carlisle Elementary School</t>
  </si>
  <si>
    <t>1203 Kennison Ave, New Carlisle, Ohio, 45344</t>
  </si>
  <si>
    <t>1203 Kennison Ave</t>
  </si>
  <si>
    <t>Westlake High School</t>
  </si>
  <si>
    <t>27830 Hilliard Blvd, Westlake, Ohio, 44145</t>
  </si>
  <si>
    <t>27830 Hilliard Blvd</t>
  </si>
  <si>
    <t>Tri-Village Elementary School</t>
  </si>
  <si>
    <t>Westmoor Middle School</t>
  </si>
  <si>
    <t>3001 Valleyview Dr, Columbus, Ohio, 43204</t>
  </si>
  <si>
    <t>3001 Valleyview Dr</t>
  </si>
  <si>
    <t>Westview Elementary School</t>
  </si>
  <si>
    <t>155 Moore Rd, Avon Lake, Ohio, 44012</t>
  </si>
  <si>
    <t>155 Moore Rd</t>
  </si>
  <si>
    <t>13738 Caves Rd, Novelty, Ohio, 44072</t>
  </si>
  <si>
    <t>13738 Caves Rd</t>
  </si>
  <si>
    <t>Novelty</t>
  </si>
  <si>
    <t>44072</t>
  </si>
  <si>
    <t>Westwood School</t>
  </si>
  <si>
    <t>2981 Montana Ave, Cincinnati, Ohio, 45211</t>
  </si>
  <si>
    <t>2981 Montana Ave</t>
  </si>
  <si>
    <t>Riverdale Middle School</t>
  </si>
  <si>
    <t>Wheelersburg Elementary School</t>
  </si>
  <si>
    <t>800 Pirate Dr, Wheelersburg, Ohio, 45694</t>
  </si>
  <si>
    <t>800 Pirate Dr</t>
  </si>
  <si>
    <t>Wheelersburg High School</t>
  </si>
  <si>
    <t>Hannah Crawford Elementary School PreK-Grade 2</t>
  </si>
  <si>
    <t>Whetstone High School</t>
  </si>
  <si>
    <t>4405 Scenic Dr, Columbus, Ohio, 43214</t>
  </si>
  <si>
    <t>4405 Scenic Dr</t>
  </si>
  <si>
    <t>Whipple Heights Elementary School</t>
  </si>
  <si>
    <t>4800 12th St NW, Canton, Ohio, 44708</t>
  </si>
  <si>
    <t>4800 12th St NW</t>
  </si>
  <si>
    <t>Whiteoak High School</t>
  </si>
  <si>
    <t>PO Box 299, Mowrystown, Ohio, 45155</t>
  </si>
  <si>
    <t>PO Box 299</t>
  </si>
  <si>
    <t>White Oak Middle School</t>
  </si>
  <si>
    <t>3130 Jessup Rd, Cincinnati, Ohio, 45239</t>
  </si>
  <si>
    <t>3130 Jessup Rd</t>
  </si>
  <si>
    <t>Whitehall Yearling High School</t>
  </si>
  <si>
    <t>675 S Yearling Rd, Whitehall, Ohio, 43213</t>
  </si>
  <si>
    <t>675 S Yearling Rd</t>
  </si>
  <si>
    <t>Whitehouse Primary School</t>
  </si>
  <si>
    <t>6510 Texas St, Whitehouse, Ohio, 43571</t>
  </si>
  <si>
    <t>6510 Texas St</t>
  </si>
  <si>
    <t>Whitmer High School</t>
  </si>
  <si>
    <t>5601 Clegg Dr, Toledo, Ohio, 43613</t>
  </si>
  <si>
    <t>5601 Clegg Dr</t>
  </si>
  <si>
    <t>Whitney Elementary School</t>
  </si>
  <si>
    <t>13548 Whitney Rd, Strongsville, Ohio, 44136</t>
  </si>
  <si>
    <t>13548 Whitney Rd</t>
  </si>
  <si>
    <t>Whittier Elementary School</t>
  </si>
  <si>
    <t>4221 Walker Ave, Toledo, Ohio, 43612</t>
  </si>
  <si>
    <t>4221 Walker Ave</t>
  </si>
  <si>
    <t>Whittier Early Childhood Center</t>
  </si>
  <si>
    <t>425 Belmont St, Sidney, Ohio, 45365</t>
  </si>
  <si>
    <t>425 Belmont St</t>
  </si>
  <si>
    <t>130 E Walnut St, Westerville, Ohio, 43081</t>
  </si>
  <si>
    <t>130 E Walnut St</t>
  </si>
  <si>
    <t>1212 10th St NE, Massillon, Ohio, 44646</t>
  </si>
  <si>
    <t>1212 10th St NE</t>
  </si>
  <si>
    <t>Ironton Elementary School</t>
  </si>
  <si>
    <t>Wickliffe Elementary School</t>
  </si>
  <si>
    <t>2405 Wickliffe Rd, Upper Arlington, Ohio, 43221</t>
  </si>
  <si>
    <t>2405 Wickliffe Rd</t>
  </si>
  <si>
    <t>Wickliffe Upper School</t>
  </si>
  <si>
    <t>Wilbur Wright School</t>
  </si>
  <si>
    <t>11005 Parkhurst Dr, Cleveland, Ohio, 44111</t>
  </si>
  <si>
    <t>11005 Parkhurst Dr</t>
  </si>
  <si>
    <t>Wilcox Elementary School</t>
  </si>
  <si>
    <t>9198 Darrow Rd, Twinsburg, Ohio, 44087</t>
  </si>
  <si>
    <t>9198 Darrow Rd</t>
  </si>
  <si>
    <t>Piqua Central Intermediate School</t>
  </si>
  <si>
    <t>807 Nicklin Ave, Piqua, Ohio, 45356</t>
  </si>
  <si>
    <t>807 Nicklin Ave</t>
  </si>
  <si>
    <t>Wildwood Elementary School</t>
  </si>
  <si>
    <t>3300 Wildwood Rd, Middletown, Ohio, 45042</t>
  </si>
  <si>
    <t>3300 Wildwood Rd</t>
  </si>
  <si>
    <t>Willard High School</t>
  </si>
  <si>
    <t>William C Schenck Elementary School</t>
  </si>
  <si>
    <t>350 Arlington Dr, Franklin, Ohio, 45005</t>
  </si>
  <si>
    <t>350 Arlington Dr</t>
  </si>
  <si>
    <t>William Foster Elementary School</t>
  </si>
  <si>
    <t>12801 Bangor Ave, Garfield Heights, Ohio, 44125</t>
  </si>
  <si>
    <t>12801 Bangor Ave</t>
  </si>
  <si>
    <t>William Henry Harrison High School</t>
  </si>
  <si>
    <t>9860 West Rd, Harrison, Ohio, 45030</t>
  </si>
  <si>
    <t>9860 West Rd</t>
  </si>
  <si>
    <t>William Mason High School</t>
  </si>
  <si>
    <t>6100 S Mason Montgomery Rd, Mason, Ohio, 45040</t>
  </si>
  <si>
    <t>6100 S Mason Montgomery Rd</t>
  </si>
  <si>
    <t>Robert A. Taft Elementary School</t>
  </si>
  <si>
    <t>3829 Guilford Ave NW, Canton, Ohio, 44718</t>
  </si>
  <si>
    <t>3829 Guilford Ave NW</t>
  </si>
  <si>
    <t>Williams Avenue Elementary School</t>
  </si>
  <si>
    <t>Williamsburg Elementary School</t>
  </si>
  <si>
    <t>839 Spring St, Williamsburg, Ohio, 45176</t>
  </si>
  <si>
    <t>839 Spring St</t>
  </si>
  <si>
    <t>Williamsburg High School</t>
  </si>
  <si>
    <t>500 S 5th St, Williamsburg, Ohio, 45176</t>
  </si>
  <si>
    <t>500 S 5th St</t>
  </si>
  <si>
    <t>East Middle at PRBerry</t>
  </si>
  <si>
    <t>940 Bryn Mawr Ave, Youngstown, Ohio, 44505</t>
  </si>
  <si>
    <t>940 Bryn Mawr Ave</t>
  </si>
  <si>
    <t>Willoughby Middle School</t>
  </si>
  <si>
    <t>5000 Shankland Rd, Willoughby, Ohio, 44094</t>
  </si>
  <si>
    <t>5000 Shankland Rd</t>
  </si>
  <si>
    <t>Willowick Middle School</t>
  </si>
  <si>
    <t>Willowville Elementary School</t>
  </si>
  <si>
    <t>4529 Schoolhouse Rd, Batavia, Ohio, 45103</t>
  </si>
  <si>
    <t>4529 Schoolhouse Rd</t>
  </si>
  <si>
    <t>Willson School</t>
  </si>
  <si>
    <t>1122 Ansel Rd, Cleveland, Ohio, 44108</t>
  </si>
  <si>
    <t>1122 Ansel Rd</t>
  </si>
  <si>
    <t>Wilmington High School</t>
  </si>
  <si>
    <t>300 Richardson Pl, Wilmington, Ohio, 45177</t>
  </si>
  <si>
    <t>300 Richardson Pl</t>
  </si>
  <si>
    <t>Zane Grey Elementary School</t>
  </si>
  <si>
    <t>711 Fess St, Zanesville, Ohio, 43701</t>
  </si>
  <si>
    <t>711 Fess St</t>
  </si>
  <si>
    <t>Wilson Elementary School</t>
  </si>
  <si>
    <t>2465 Little Dry Run Rd, Cincinnati, Ohio, 45244</t>
  </si>
  <si>
    <t>2465 Little Dry Run Rd</t>
  </si>
  <si>
    <t>Wilson Hill Elementary School</t>
  </si>
  <si>
    <t>6500 Northland Rd, Worthington, Ohio, 43085</t>
  </si>
  <si>
    <t>6500 Northland Rd</t>
  </si>
  <si>
    <t>Wilson Middle School</t>
  </si>
  <si>
    <t>714 Eaton Ave, Hamilton, Ohio, 45013</t>
  </si>
  <si>
    <t>714 Eaton Ave</t>
  </si>
  <si>
    <t>805 W Church St, Newark, Ohio, 43055</t>
  </si>
  <si>
    <t>805 W Church St</t>
  </si>
  <si>
    <t>Windemere Community Learning Center</t>
  </si>
  <si>
    <t>2283 Windemere Ave, Akron, Ohio, 44312</t>
  </si>
  <si>
    <t>2283 Windemere Ave</t>
  </si>
  <si>
    <t>Windermere Elementary School</t>
  </si>
  <si>
    <t>4101 Windermere Rd, Upper Arlington, Ohio, 43220</t>
  </si>
  <si>
    <t>4101 Windermere Rd</t>
  </si>
  <si>
    <t>Windham High School</t>
  </si>
  <si>
    <t>Windsor STEM Academy (K-6)</t>
  </si>
  <si>
    <t>1219 E 12th Ave, Columbus, Ohio, 43211</t>
  </si>
  <si>
    <t>1219 E 12th Ave</t>
  </si>
  <si>
    <t>Winesburg Elementary School</t>
  </si>
  <si>
    <t>2165 US Route 62, Winesburg, Ohio, 44690</t>
  </si>
  <si>
    <t>2165 US Route 62</t>
  </si>
  <si>
    <t>Winesburg</t>
  </si>
  <si>
    <t>44690</t>
  </si>
  <si>
    <t>Winterset Elementary School</t>
  </si>
  <si>
    <t>4776 Winterset Dr, Columbus, Ohio, 43220</t>
  </si>
  <si>
    <t>4776 Winterset Dr</t>
  </si>
  <si>
    <t>Cross Creek Elementary</t>
  </si>
  <si>
    <t>587 Bantam Ridge Rd, Wintersville, Ohio, 43953</t>
  </si>
  <si>
    <t>587 Bantam Ridge Rd</t>
  </si>
  <si>
    <t>Indian Creek High School</t>
  </si>
  <si>
    <t>200 Park Dr, Wintersville, Ohio, 43953</t>
  </si>
  <si>
    <t>200 Park Dr</t>
  </si>
  <si>
    <t>Winton Hills Academy</t>
  </si>
  <si>
    <t>5300 Winneste Ave, Cincinnati, Ohio, 45232</t>
  </si>
  <si>
    <t>5300 Winneste Ave</t>
  </si>
  <si>
    <t>45232</t>
  </si>
  <si>
    <t>Parker Woods Montessori School</t>
  </si>
  <si>
    <t>4370 Beech Hill Ave, Cincinnati, Ohio, 45223</t>
  </si>
  <si>
    <t>4370 Beech Hill Ave</t>
  </si>
  <si>
    <t>Wise Elementary School</t>
  </si>
  <si>
    <t>4579 County Road 120, Millersburg, Ohio, 44654</t>
  </si>
  <si>
    <t>4579 County Road 120</t>
  </si>
  <si>
    <t>Withamsville-Tobasco Elementary School</t>
  </si>
  <si>
    <t>3950 Britton Boulevard, Cincinnati, Ohio, 45245</t>
  </si>
  <si>
    <t>3950 Britton Boulevard</t>
  </si>
  <si>
    <t>Wogaman Middle School</t>
  </si>
  <si>
    <t>920 McArthur Ave, Dayton, Ohio, 45408</t>
  </si>
  <si>
    <t>920 McArthur Ave</t>
  </si>
  <si>
    <t>Woodbury Elementary School</t>
  </si>
  <si>
    <t>15400 S Woodland Rd, Shaker Heights, Ohio, 44120</t>
  </si>
  <si>
    <t>15400 S Woodland Rd</t>
  </si>
  <si>
    <t>Woodcrest Elementary School</t>
  </si>
  <si>
    <t>5321 E Livingston Ave, Columbus, Ohio, 43232</t>
  </si>
  <si>
    <t>5321 E Livingston Ave</t>
  </si>
  <si>
    <t>Woodland Elementary School</t>
  </si>
  <si>
    <t>460 Davis Rd, Mansfield, Ohio, 44907</t>
  </si>
  <si>
    <t>460 Davis Rd</t>
  </si>
  <si>
    <t>2908 Graham Rd, Stow, Ohio, 44224</t>
  </si>
  <si>
    <t>2908 Graham Rd</t>
  </si>
  <si>
    <t>Early Learning Center @ Schreiber</t>
  </si>
  <si>
    <t>1503 Woodland Ave NW, Canton, Ohio, 44703</t>
  </si>
  <si>
    <t>1503 Woodland Ave NW</t>
  </si>
  <si>
    <t>44703</t>
  </si>
  <si>
    <t>Woodlawn Elementary School</t>
  </si>
  <si>
    <t>31 Riddle Rd, Cincinnati, Ohio, 45215</t>
  </si>
  <si>
    <t>31 Riddle Rd</t>
  </si>
  <si>
    <t>Woodmore Elementary School</t>
  </si>
  <si>
    <t>800 W Main St, Woodville, Ohio, 43469</t>
  </si>
  <si>
    <t>800 W Main St</t>
  </si>
  <si>
    <t>Woodville</t>
  </si>
  <si>
    <t>43469</t>
  </si>
  <si>
    <t>Woodmore High School</t>
  </si>
  <si>
    <t>633 Fremont St, Elmore, Ohio, 43416</t>
  </si>
  <si>
    <t>633 Fremont St</t>
  </si>
  <si>
    <t>Woodridge High School</t>
  </si>
  <si>
    <t>4440 Quick Rd, Peninsula, Ohio, 44264</t>
  </si>
  <si>
    <t>4440 Quick Rd</t>
  </si>
  <si>
    <t>Woodsfield Elementary School</t>
  </si>
  <si>
    <t>473 Lewisville Rd, Woodsfield, Ohio, 43793</t>
  </si>
  <si>
    <t>473 Lewisville Rd</t>
  </si>
  <si>
    <t>Monroe Central High School</t>
  </si>
  <si>
    <t>469 Lewisville Rd, Woodsfield, Ohio, 43793</t>
  </si>
  <si>
    <t>469 Lewisville Rd</t>
  </si>
  <si>
    <t>Laura Woodward Elementary School</t>
  </si>
  <si>
    <t>200 S Washington St, Delaware, Ohio, 43015</t>
  </si>
  <si>
    <t>200 S Washington St</t>
  </si>
  <si>
    <t>Woodward High School</t>
  </si>
  <si>
    <t>701 E Central Ave, Toledo, Ohio, 43608</t>
  </si>
  <si>
    <t>701 E Central Ave</t>
  </si>
  <si>
    <t>Woodward Park Middle School</t>
  </si>
  <si>
    <t>5151 Karl Rd, Columbus, Ohio, 43229</t>
  </si>
  <si>
    <t>5151 Karl Rd</t>
  </si>
  <si>
    <t>Wooster High School</t>
  </si>
  <si>
    <t>515 Oldman Rd, Wooster, Ohio, 44691</t>
  </si>
  <si>
    <t>515 Oldman Rd</t>
  </si>
  <si>
    <t>Wooster Twp Elementary School</t>
  </si>
  <si>
    <t>1071 Dover Rd, Wooster, Ohio, 44691</t>
  </si>
  <si>
    <t>1071 Dover Rd</t>
  </si>
  <si>
    <t>Worley Elementary School</t>
  </si>
  <si>
    <t>1340 23rd St NW, Canton, Ohio, 44709</t>
  </si>
  <si>
    <t>1340 23rd St NW</t>
  </si>
  <si>
    <t>Worthington Estates Elementary School</t>
  </si>
  <si>
    <t>6760 Rieber St, Worthington, Ohio, 43085</t>
  </si>
  <si>
    <t>6760 Rieber St</t>
  </si>
  <si>
    <t>Thomas Worthington High School</t>
  </si>
  <si>
    <t>300 W Granville Rd, Worthington, Ohio, 43085</t>
  </si>
  <si>
    <t>300 W Granville Rd</t>
  </si>
  <si>
    <t>Worthingway Middle School</t>
  </si>
  <si>
    <t>6625 Guyer St, Worthington, Ohio, 43085</t>
  </si>
  <si>
    <t>6625 Guyer St</t>
  </si>
  <si>
    <t>Western Reserve High School</t>
  </si>
  <si>
    <t>Wynford High School</t>
  </si>
  <si>
    <t>Wyoming High School</t>
  </si>
  <si>
    <t>106 Pendery Ave, Wyoming, Ohio, 45215</t>
  </si>
  <si>
    <t>106 Pendery Ave</t>
  </si>
  <si>
    <t>Xenia High School</t>
  </si>
  <si>
    <t>303 Kinsey Rd, Xenia, Ohio, 45385</t>
  </si>
  <si>
    <t>303 Kinsey Rd</t>
  </si>
  <si>
    <t>Yellow Springs/McKinney High School</t>
  </si>
  <si>
    <t>420 E Enon Rd, Yellow Springs, Ohio, 45387</t>
  </si>
  <si>
    <t>420 E Enon Rd</t>
  </si>
  <si>
    <t>Bellevue Elementary School</t>
  </si>
  <si>
    <t>1150 Castalia St, Bellevue, Ohio, 44811</t>
  </si>
  <si>
    <t>1150 Castalia St</t>
  </si>
  <si>
    <t>Nelsonville-York Elementary School</t>
  </si>
  <si>
    <t>4 Buckeye Dr, Nelsonville, Ohio, 45764</t>
  </si>
  <si>
    <t>4 Buckeye Dr</t>
  </si>
  <si>
    <t>Buckeye  Primary School</t>
  </si>
  <si>
    <t>3180 Columbia Rd, Medina, Ohio, 44256</t>
  </si>
  <si>
    <t>3180 Columbia Rd</t>
  </si>
  <si>
    <t>York Elementary School</t>
  </si>
  <si>
    <t>938 Stonecreek Rd SW, New Philadelphia, Ohio, 44663</t>
  </si>
  <si>
    <t>938 Stonecreek Rd SW</t>
  </si>
  <si>
    <t>Yorktown Middle School</t>
  </si>
  <si>
    <t>5600 E Livingston Ave, Columbus, Ohio, 43232</t>
  </si>
  <si>
    <t>5600 E Livingston Ave</t>
  </si>
  <si>
    <t>Buckeye South Elementary School</t>
  </si>
  <si>
    <t>100 Walden Ave, Tiltonsville, Ohio, 43963</t>
  </si>
  <si>
    <t>100 Walden Ave</t>
  </si>
  <si>
    <t>Tiltonsville</t>
  </si>
  <si>
    <t>43963</t>
  </si>
  <si>
    <t xml:space="preserve">Three Rivers Elementary </t>
  </si>
  <si>
    <t>56 Cooper Ave, Cleves, Ohio, 45002</t>
  </si>
  <si>
    <t>56 Cooper Ave</t>
  </si>
  <si>
    <t>Youtz Intermediate School</t>
  </si>
  <si>
    <t>1901 Midway Ave NE, Canton, Ohio, 44705</t>
  </si>
  <si>
    <t>1901 Midway Ave NE</t>
  </si>
  <si>
    <t>Buckeye Trail High School</t>
  </si>
  <si>
    <t>65555 Wintergreen Rd, Lore City, Ohio, 43755</t>
  </si>
  <si>
    <t>65555 Wintergreen Rd</t>
  </si>
  <si>
    <t>Zane Trace High School</t>
  </si>
  <si>
    <t>Zanesville High School</t>
  </si>
  <si>
    <t>1701 Blue Ave, Zanesville, Ohio, 43701</t>
  </si>
  <si>
    <t>1701 Blue Ave</t>
  </si>
  <si>
    <t>Beachwood Middle School</t>
  </si>
  <si>
    <t>2860 Richmond Rd, Beachwood, Ohio, 44122</t>
  </si>
  <si>
    <t>2860 Richmond Rd</t>
  </si>
  <si>
    <t>Hadley E Watts Middle School</t>
  </si>
  <si>
    <t>7056 Mcewen Rd, Dayton, Ohio, 45459</t>
  </si>
  <si>
    <t>7056 Mcewen Rd</t>
  </si>
  <si>
    <t>Roberts Middle School</t>
  </si>
  <si>
    <t>3333 Charles St, Cuyahoga Falls, Ohio, 44221</t>
  </si>
  <si>
    <t>3333 Charles St</t>
  </si>
  <si>
    <t>Fairborn High School</t>
  </si>
  <si>
    <t>900 E Dayton Yellow Springs Rd, Fairborn, Ohio, 45324</t>
  </si>
  <si>
    <t>900 E Dayton Yellow Springs Rd</t>
  </si>
  <si>
    <t>Bigelow Hill Elementary School</t>
  </si>
  <si>
    <t>300 Hillcrest Ave, Findlay, Ohio, 45840</t>
  </si>
  <si>
    <t>300 Hillcrest Ave</t>
  </si>
  <si>
    <t>Wilson Vance Elementary School</t>
  </si>
  <si>
    <t>610 Bristol Dr, Findlay, Ohio, 45840</t>
  </si>
  <si>
    <t>610 Bristol Dr</t>
  </si>
  <si>
    <t>Benjamin Harrison Elementary School</t>
  </si>
  <si>
    <t>625 Brightwood Dr, Marion, Ohio, 43302</t>
  </si>
  <si>
    <t>625 Brightwood Dr</t>
  </si>
  <si>
    <t>Southeast Elementary School</t>
  </si>
  <si>
    <t>2200 Merle Rd, Salem, Ohio, 44460</t>
  </si>
  <si>
    <t>2200 Merle Rd</t>
  </si>
  <si>
    <t>Sidney Middle School</t>
  </si>
  <si>
    <t>980 Fair Rd, Sidney, Ohio, 45365</t>
  </si>
  <si>
    <t>980 Fair Rd</t>
  </si>
  <si>
    <t>Highland Park Elementary School</t>
  </si>
  <si>
    <t>2600 Cameron St, Grove City, Ohio, 43123</t>
  </si>
  <si>
    <t>2600 Cameron St</t>
  </si>
  <si>
    <t>Indian Trail Elementary School</t>
  </si>
  <si>
    <t>3512 Kent Rd, Stow, Ohio, 44224</t>
  </si>
  <si>
    <t>3512 Kent Rd</t>
  </si>
  <si>
    <t>Blendon Middle School</t>
  </si>
  <si>
    <t>223 S Otterbein Ave, Westerville, Ohio, 43081</t>
  </si>
  <si>
    <t>223 S Otterbein Ave</t>
  </si>
  <si>
    <t>Indian Hill Middle School</t>
  </si>
  <si>
    <t>6845 Drake Rd, Cincinnati, Ohio, 45243</t>
  </si>
  <si>
    <t>6845 Drake Rd</t>
  </si>
  <si>
    <t>7625 Pinehurst Dr, Mentor On The Lake, Ohio, 44060</t>
  </si>
  <si>
    <t>7625 Pinehurst Dr</t>
  </si>
  <si>
    <t>Mentor On The Lake</t>
  </si>
  <si>
    <t>St Clairsville Elementary School</t>
  </si>
  <si>
    <t>120 Norris St, Saint Clairsville, Ohio, 43950</t>
  </si>
  <si>
    <t>120 Norris St</t>
  </si>
  <si>
    <t>Mt Orab Primary Elementary School</t>
  </si>
  <si>
    <t>474 W Main St, Mount Orab, Ohio, 45154</t>
  </si>
  <si>
    <t>474 W Main St</t>
  </si>
  <si>
    <t>Big Walnut Middle School</t>
  </si>
  <si>
    <t>555 S Old 3c Rd, Sunbury, Ohio, 43074</t>
  </si>
  <si>
    <t>555 S Old 3c Rd</t>
  </si>
  <si>
    <t>Olentangy Shanahan Middle School</t>
  </si>
  <si>
    <t>814 Shanahan Rd, Lewis Center, Ohio, 43035</t>
  </si>
  <si>
    <t>814 Shanahan Rd</t>
  </si>
  <si>
    <t>Herman K Ankeney Middle School</t>
  </si>
  <si>
    <t>4085 Shakertown Rd, Beavercreek, Ohio, 45430</t>
  </si>
  <si>
    <t>4085 Shakertown Rd</t>
  </si>
  <si>
    <t>45430</t>
  </si>
  <si>
    <t>Pleasant Run Middle School</t>
  </si>
  <si>
    <t>11770 Pippin Rd, Cincinnati, Ohio, 45231</t>
  </si>
  <si>
    <t>11770 Pippin Rd</t>
  </si>
  <si>
    <t>Delshire Elementary School</t>
  </si>
  <si>
    <t>4402 Glenhaven Rd, Cincinnati, Ohio, 45238</t>
  </si>
  <si>
    <t>4402 Glenhaven Rd</t>
  </si>
  <si>
    <t>3850 Virginia Ct, Cincinnati, Ohio, 45248</t>
  </si>
  <si>
    <t>3850 Virginia Ct</t>
  </si>
  <si>
    <t>Boardman Center Intermediate School</t>
  </si>
  <si>
    <t>7410 Market St, Youngstown, Ohio, 44512</t>
  </si>
  <si>
    <t>7410 Market St</t>
  </si>
  <si>
    <t>River Valley Middle School</t>
  </si>
  <si>
    <t>4334 Marion Mount Gilead Rd, Caledonia, Ohio, 43314</t>
  </si>
  <si>
    <t>4334 Marion Mount Gilead Rd</t>
  </si>
  <si>
    <t>Brookville Intermediate School</t>
  </si>
  <si>
    <t>2 Blue Pride Drive, Brookville, Ohio, 45309</t>
  </si>
  <si>
    <t>2 Blue Pride Drive</t>
  </si>
  <si>
    <t>Mad River Middle School</t>
  </si>
  <si>
    <t>1801 Harshman Rd, Dayton, Ohio, 45424</t>
  </si>
  <si>
    <t>1801 Harshman Rd</t>
  </si>
  <si>
    <t>Canton South Middle School</t>
  </si>
  <si>
    <t>4404 Cleveland Ave S, Canton, Ohio, 44707</t>
  </si>
  <si>
    <t>4404 Cleveland Ave S</t>
  </si>
  <si>
    <t>1711 Steese Rd, Green, Ohio, 44232</t>
  </si>
  <si>
    <t>1711 Steese Rd</t>
  </si>
  <si>
    <t>Fairbrook Elementary School</t>
  </si>
  <si>
    <t>260 N Fairfield Rd, Beavercreek, Ohio, 45430</t>
  </si>
  <si>
    <t>260 N Fairfield Rd</t>
  </si>
  <si>
    <t xml:space="preserve">Andrews Osborne Academy </t>
  </si>
  <si>
    <t>Nonpublic School</t>
  </si>
  <si>
    <t>38588 Mentor Ave, Willoughby, Ohio, 44094</t>
  </si>
  <si>
    <t>38588 Mentor Ave</t>
  </si>
  <si>
    <t>Indicator that identifies a Chartered Nonpublic school as a non-religious based school</t>
  </si>
  <si>
    <t>Archbishop Alter</t>
  </si>
  <si>
    <t>940 E David Rd, Kettering, Ohio, 45429</t>
  </si>
  <si>
    <t>940 E David Rd</t>
  </si>
  <si>
    <t>Archbishop Hoban</t>
  </si>
  <si>
    <t>1 Holy Cross Blvd, Akron, Ohio, 44306</t>
  </si>
  <si>
    <t>1 Holy Cross Blvd</t>
  </si>
  <si>
    <t>Stephen T Badin</t>
  </si>
  <si>
    <t>571 New London Rd, Hamilton, Ohio, 45013</t>
  </si>
  <si>
    <t>571 New London Rd</t>
  </si>
  <si>
    <t>Beaumont School</t>
  </si>
  <si>
    <t>3301 N Park Blvd, Cleveland Heights, Ohio, 44118</t>
  </si>
  <si>
    <t>3301 N Park Blvd</t>
  </si>
  <si>
    <t>Benedictine</t>
  </si>
  <si>
    <t>2900 Martin Luther King Jr Dr, Cleveland, Ohio, 44104</t>
  </si>
  <si>
    <t>2900 Martin Luther King Jr Dr</t>
  </si>
  <si>
    <t>Wm V Fisher Catholic</t>
  </si>
  <si>
    <t>1803 Granville Pike, Lancaster, Ohio, 43130</t>
  </si>
  <si>
    <t>1803 Granville Pike</t>
  </si>
  <si>
    <t>Bishop Hartley</t>
  </si>
  <si>
    <t>1285 Zettler Rd, Columbus, Ohio, 43227</t>
  </si>
  <si>
    <t>1285 Zettler Rd</t>
  </si>
  <si>
    <t>Bishop Ready</t>
  </si>
  <si>
    <t>707 Salisbury Rd, Columbus, Ohio, 43204</t>
  </si>
  <si>
    <t>707 Salisbury Rd</t>
  </si>
  <si>
    <t>Bishop Rosecrans</t>
  </si>
  <si>
    <t>1040 E Main St, Zanesville, Ohio, 43701</t>
  </si>
  <si>
    <t>1040 E Main St</t>
  </si>
  <si>
    <t>Bishop Watterson</t>
  </si>
  <si>
    <t>99 E Cooke Rd, Columbus, Ohio, 43214</t>
  </si>
  <si>
    <t>99 E Cooke Rd</t>
  </si>
  <si>
    <t>Calvert Catholic Schools</t>
  </si>
  <si>
    <t>152 Madison St, Tiffin, Ohio, 44883</t>
  </si>
  <si>
    <t>152 Madison St</t>
  </si>
  <si>
    <t>Cardinal Mooney</t>
  </si>
  <si>
    <t>2545 Erie St, Youngstown, Ohio, 44507</t>
  </si>
  <si>
    <t>2545 Erie St</t>
  </si>
  <si>
    <t>44507</t>
  </si>
  <si>
    <t>Cardinal Stritch Catholic High School &amp; Academy</t>
  </si>
  <si>
    <t>3225 Pickle Rd, Oregon, Ohio, 43616</t>
  </si>
  <si>
    <t>3225 Pickle Rd</t>
  </si>
  <si>
    <t>Archbishop Carroll High School</t>
  </si>
  <si>
    <t>4524 Linden Ave, Dayton, Ohio, 45432</t>
  </si>
  <si>
    <t>4524 Linden Ave</t>
  </si>
  <si>
    <t>Catholic Central</t>
  </si>
  <si>
    <t>1200 E High St, Springfield, Ohio, 45505</t>
  </si>
  <si>
    <t>1200 E High St</t>
  </si>
  <si>
    <t>320 Westview Ave, Steubenville, Ohio, 43952</t>
  </si>
  <si>
    <t>320 Westview Ave</t>
  </si>
  <si>
    <t>Central Catholic</t>
  </si>
  <si>
    <t>4824 Tuscarawas St W, Canton, Ohio, 44708</t>
  </si>
  <si>
    <t>4824 Tuscarawas St W</t>
  </si>
  <si>
    <t>2550 Cherry St, Toledo, Ohio, 43608</t>
  </si>
  <si>
    <t>2550 Cherry St</t>
  </si>
  <si>
    <t>Central Christian</t>
  </si>
  <si>
    <t>3970 Kidron Rd, Kidron, Ohio, 44636</t>
  </si>
  <si>
    <t>3970 Kidron Rd</t>
  </si>
  <si>
    <t>Kidron</t>
  </si>
  <si>
    <t>44636</t>
  </si>
  <si>
    <t>Chaminade-Julienne</t>
  </si>
  <si>
    <t>505 S Ludlow St, Dayton, Ohio, 45402</t>
  </si>
  <si>
    <t>505 S Ludlow St</t>
  </si>
  <si>
    <t>Cincinnati Country Day</t>
  </si>
  <si>
    <t>6905 Given Rd, Cincinnati, Ohio, 45243</t>
  </si>
  <si>
    <t>6905 Given Rd</t>
  </si>
  <si>
    <t>Seven Hills School</t>
  </si>
  <si>
    <t>5400 Red Bank Rd, Cincinnati, Ohio, 45227</t>
  </si>
  <si>
    <t>5400 Red Bank Rd</t>
  </si>
  <si>
    <t>Columbus Academy</t>
  </si>
  <si>
    <t>4300 Cherry Bottom Rd, Gahanna, Ohio, 43230</t>
  </si>
  <si>
    <t>4300 Cherry Bottom Rd</t>
  </si>
  <si>
    <t>Columbus School For Girls</t>
  </si>
  <si>
    <t>65 S Drexel Ave, Columbus, Ohio, 43209</t>
  </si>
  <si>
    <t>65 S Drexel Ave</t>
  </si>
  <si>
    <t>Spring Valley Academy</t>
  </si>
  <si>
    <t>1461 E Spring Valley Pike, Centerville, Ohio, 45458</t>
  </si>
  <si>
    <t>1461 E Spring Valley Pike</t>
  </si>
  <si>
    <t>Elder</t>
  </si>
  <si>
    <t>3900 Vincent Ave, Cincinnati, Ohio, 45205</t>
  </si>
  <si>
    <t>3900 Vincent Ave</t>
  </si>
  <si>
    <t>45205</t>
  </si>
  <si>
    <t>Elyria Catholic</t>
  </si>
  <si>
    <t>725 Gulf Rd, Elyria, Ohio, 44035</t>
  </si>
  <si>
    <t>725 Gulf Rd</t>
  </si>
  <si>
    <t>Bishop Fenwick</t>
  </si>
  <si>
    <t>4855 State Route 122, Franklin, Ohio, 45005</t>
  </si>
  <si>
    <t>4855 State Route 122</t>
  </si>
  <si>
    <t>Olney Friends</t>
  </si>
  <si>
    <t>61830 Sandy Ridge Rd, Barnesville, Ohio, 43713</t>
  </si>
  <si>
    <t>61830 Sandy Ridge Rd</t>
  </si>
  <si>
    <t>Gilmour Academy</t>
  </si>
  <si>
    <t>34001 Cedar Rd, Gates Mills, Ohio, 44040</t>
  </si>
  <si>
    <t>34001 Cedar Rd</t>
  </si>
  <si>
    <t>Aldersgate Christian Academy</t>
  </si>
  <si>
    <t>1810 Young St, Cincinnati, Ohio, 45202</t>
  </si>
  <si>
    <t>1810 Young St</t>
  </si>
  <si>
    <t>Hathaway Brown</t>
  </si>
  <si>
    <t>19600 N Park Blvd, Shaker Heights, Ohio, 44122</t>
  </si>
  <si>
    <t>19600 N Park Blvd</t>
  </si>
  <si>
    <t>Hawken School</t>
  </si>
  <si>
    <t>12465 County Line Rd, Chesterland, Ohio, 44026</t>
  </si>
  <si>
    <t>12465 County Line Rd</t>
  </si>
  <si>
    <t>Hebrew Academy Of Cleveland</t>
  </si>
  <si>
    <t>1860 S Taylor Rd, Cleveland Heights, Ohio, 44118</t>
  </si>
  <si>
    <t>1860 S Taylor Rd</t>
  </si>
  <si>
    <t>Lehman High School</t>
  </si>
  <si>
    <t>2400 Saint Marys Rd, Sidney, Ohio, 45365</t>
  </si>
  <si>
    <t>2400 Saint Marys Rd</t>
  </si>
  <si>
    <t>Central Catholic Tuscarawas Co</t>
  </si>
  <si>
    <t>777 3rd St NE, New Philadelphia, Ohio, 44663</t>
  </si>
  <si>
    <t>777 3rd St NE</t>
  </si>
  <si>
    <t>John F Kennedy Catholic Upper School</t>
  </si>
  <si>
    <t>2550 Central Parkway Ave SE, Warren, Ohio, 44484</t>
  </si>
  <si>
    <t>2550 Central Parkway Ave SE</t>
  </si>
  <si>
    <t>Lasalle</t>
  </si>
  <si>
    <t>3091 N Bend Rd, Cincinnati, Ohio, 45239</t>
  </si>
  <si>
    <t>3091 N Bend Rd</t>
  </si>
  <si>
    <t>Lima Central Catholic</t>
  </si>
  <si>
    <t>720 S Cable Rd, Lima, Ohio, 45805</t>
  </si>
  <si>
    <t>720 S Cable Rd</t>
  </si>
  <si>
    <t>Lutheran East</t>
  </si>
  <si>
    <t>3565 Mayfield Rd, Cleveland Heights, Ohio, 44118</t>
  </si>
  <si>
    <t>3565 Mayfield Rd</t>
  </si>
  <si>
    <t>Lutheran West</t>
  </si>
  <si>
    <t>3850 Linden Rd, Rocky River, Ohio, 44116</t>
  </si>
  <si>
    <t>3850 Linden Rd</t>
  </si>
  <si>
    <t>Magnificat</t>
  </si>
  <si>
    <t>20770 Hilliard Blvd, Rocky River, Ohio, 44116</t>
  </si>
  <si>
    <t>20770 Hilliard Blvd</t>
  </si>
  <si>
    <t>Trinity</t>
  </si>
  <si>
    <t>12425 Granger Rd, Garfield Heights, Ohio, 44125</t>
  </si>
  <si>
    <t>12425 Granger Rd</t>
  </si>
  <si>
    <t>Mercy McAuley High School</t>
  </si>
  <si>
    <t>6000 Oakwood Ave, Cincinnati, Ohio, 45224</t>
  </si>
  <si>
    <t>6000 Oakwood Ave</t>
  </si>
  <si>
    <t>McNicholas</t>
  </si>
  <si>
    <t>6536 Beechmont Ave, Cincinnati, Ohio, 45230</t>
  </si>
  <si>
    <t>6536 Beechmont Ave</t>
  </si>
  <si>
    <t>Moeller</t>
  </si>
  <si>
    <t>9001 Montgomery Rd, Cincinnati, Ohio, 45242</t>
  </si>
  <si>
    <t>9001 Montgomery Rd</t>
  </si>
  <si>
    <t>Mount Notre Dame</t>
  </si>
  <si>
    <t>711 E Columbia Ave, Reading, Ohio, 45215</t>
  </si>
  <si>
    <t>711 E Columbia Ave</t>
  </si>
  <si>
    <t>Holy Name High School</t>
  </si>
  <si>
    <t>6000 Queens Hwy, Parma Heights, Ohio, 44130</t>
  </si>
  <si>
    <t>6000 Queens Hwy</t>
  </si>
  <si>
    <t>Newark Catholic</t>
  </si>
  <si>
    <t>1 Green Wave Dr, Newark, Ohio, 43055</t>
  </si>
  <si>
    <t>1 Green Wave Dr</t>
  </si>
  <si>
    <t>Notre Dame Jr/Sr</t>
  </si>
  <si>
    <t>2220 Sunrise Ave, Portsmouth, Ohio, 45662</t>
  </si>
  <si>
    <t>2220 Sunrise Ave</t>
  </si>
  <si>
    <t>Notre Dame-Cathedral Latin</t>
  </si>
  <si>
    <t>13000 Auburn Rd, Chardon, Ohio, 44024</t>
  </si>
  <si>
    <t>13000 Auburn Rd</t>
  </si>
  <si>
    <t>Notre Dame Academy</t>
  </si>
  <si>
    <t>3535 W Sylvania Ave, Toledo, Ohio, 43623</t>
  </si>
  <si>
    <t>3535 W Sylvania Ave</t>
  </si>
  <si>
    <t>Padua Franciscan</t>
  </si>
  <si>
    <t>6740 State Rd, Parma, Ohio, 44134</t>
  </si>
  <si>
    <t>6740 State Rd</t>
  </si>
  <si>
    <t>Purcell-Marian</t>
  </si>
  <si>
    <t>2935 Hackberry St, Cincinnati, Ohio, 45206</t>
  </si>
  <si>
    <t>2935 Hackberry St</t>
  </si>
  <si>
    <t>Roger Bacon</t>
  </si>
  <si>
    <t>4320 Vine St, Cincinnati, Ohio, 45217</t>
  </si>
  <si>
    <t>4320 Vine St</t>
  </si>
  <si>
    <t>Bonner Academy at The Buckeye Ranch</t>
  </si>
  <si>
    <t>2865 W Broad St, Columbus, Ohio, 43204</t>
  </si>
  <si>
    <t>2865 W Broad St</t>
  </si>
  <si>
    <t>St Charles Preparatory</t>
  </si>
  <si>
    <t>2010 E Broad St, Columbus, Ohio, 43209</t>
  </si>
  <si>
    <t>2010 E Broad St</t>
  </si>
  <si>
    <t>St Edward</t>
  </si>
  <si>
    <t>13500 Detroit Ave, Lakewood, Ohio, 44107</t>
  </si>
  <si>
    <t>13500 Detroit Ave</t>
  </si>
  <si>
    <t>St Francis De Sales</t>
  </si>
  <si>
    <t>4212 Karl Rd, Columbus, Ohio, 43224</t>
  </si>
  <si>
    <t>4212 Karl Rd</t>
  </si>
  <si>
    <t>St Francis De Sales School</t>
  </si>
  <si>
    <t>2323 W Bancroft St, Toledo, Ohio, 43607</t>
  </si>
  <si>
    <t>2323 W Bancroft St</t>
  </si>
  <si>
    <t>St Joan Of Arc</t>
  </si>
  <si>
    <t>5950 Heatherdowns Blvd, Toledo, Ohio, 43614</t>
  </si>
  <si>
    <t>5950 Heatherdowns Blvd</t>
  </si>
  <si>
    <t>St Ignatius High School</t>
  </si>
  <si>
    <t>1911 W 30th St, Cleveland, Ohio, 44113</t>
  </si>
  <si>
    <t>1911 W 30th St</t>
  </si>
  <si>
    <t>Saint John School</t>
  </si>
  <si>
    <t>7911 Depot Rd, Ashtabula, Ohio, 44004</t>
  </si>
  <si>
    <t>7911 Depot Rd</t>
  </si>
  <si>
    <t>St John Elementary and High School</t>
  </si>
  <si>
    <t>515 E 2nd St, Delphos, Ohio, 45833</t>
  </si>
  <si>
    <t>515 E 2nd St</t>
  </si>
  <si>
    <t>Villa Angela-St Joseph</t>
  </si>
  <si>
    <t>18491 Lake Shore Blvd, Cleveland, Ohio, 44119</t>
  </si>
  <si>
    <t>18491 Lake Shore Blvd</t>
  </si>
  <si>
    <t>Bishop Hoffman Catholic  St Joseph Central Catholic HS</t>
  </si>
  <si>
    <t>702 Croghan St, Fremont, Ohio, 43420</t>
  </si>
  <si>
    <t>702 Croghan St</t>
  </si>
  <si>
    <t>St Joseph Academy</t>
  </si>
  <si>
    <t>3470 Rocky River Dr, Cleveland, Ohio, 44111</t>
  </si>
  <si>
    <t>3470 Rocky River Dr</t>
  </si>
  <si>
    <t>St Joseph Central</t>
  </si>
  <si>
    <t>912 S 6th St, Ironton, Ohio, 45638</t>
  </si>
  <si>
    <t>912 S 6th St</t>
  </si>
  <si>
    <t>Sandusky Central Catholic School</t>
  </si>
  <si>
    <t>410 W Jefferson St, Sandusky, Ohio, 44870</t>
  </si>
  <si>
    <t>410 W Jefferson St</t>
  </si>
  <si>
    <t>Norwalk Catholic School</t>
  </si>
  <si>
    <t>93 E Main St, Norwalk, Ohio, 44857</t>
  </si>
  <si>
    <t>93 E Main St</t>
  </si>
  <si>
    <t>St Rita School for the Deaf</t>
  </si>
  <si>
    <t>1720 Glendale Milford Rd, Cincinnati, Ohio, 45215</t>
  </si>
  <si>
    <t>1720 Glendale Milford Rd</t>
  </si>
  <si>
    <t>St Thomas Aquinas</t>
  </si>
  <si>
    <t>2121 Reno Dr, Louisville, Ohio, 44641</t>
  </si>
  <si>
    <t>2121 Reno Dr</t>
  </si>
  <si>
    <t>St Ursula Academy</t>
  </si>
  <si>
    <t>1339 E Mcmillan St, Cincinnati, Ohio, 45206</t>
  </si>
  <si>
    <t>1339 E Mcmillan St</t>
  </si>
  <si>
    <t>4025 Indian Rd, Toledo, Ohio, 43606</t>
  </si>
  <si>
    <t>4025 Indian Rd</t>
  </si>
  <si>
    <t>St Vincent St Mary</t>
  </si>
  <si>
    <t>15 N Maple St, Akron, Ohio, 44303</t>
  </si>
  <si>
    <t>15 N Maple St</t>
  </si>
  <si>
    <t>St Xavier</t>
  </si>
  <si>
    <t>600 North Bend Rd, Cincinnati, Ohio, 45224</t>
  </si>
  <si>
    <t>600 North Bend Rd</t>
  </si>
  <si>
    <t>Seton</t>
  </si>
  <si>
    <t>3901 Glenway Ave, Cincinnati, Ohio, 45205</t>
  </si>
  <si>
    <t>3901 Glenway Ave</t>
  </si>
  <si>
    <t>Summit Country Day</t>
  </si>
  <si>
    <t>2161 Grandin Rd, Cincinnati, Ohio, 45208</t>
  </si>
  <si>
    <t>2161 Grandin Rd</t>
  </si>
  <si>
    <t>Telshe</t>
  </si>
  <si>
    <t>28400 Euclid Ave, Wickliffe, Ohio, 44092</t>
  </si>
  <si>
    <t>28400 Euclid Ave</t>
  </si>
  <si>
    <t>The University School - College Prep</t>
  </si>
  <si>
    <t>2785 Som Center Rd, Chagrin Falls, Ohio, 44022</t>
  </si>
  <si>
    <t>2785 Som Center Rd</t>
  </si>
  <si>
    <t>Ursuline</t>
  </si>
  <si>
    <t>750 Wick Ave, Youngstown, Ohio, 44505</t>
  </si>
  <si>
    <t>750 Wick Ave</t>
  </si>
  <si>
    <t>Ursuline Academy</t>
  </si>
  <si>
    <t>5535 Pfeiffer Rd, Cincinnati, Ohio, 45242</t>
  </si>
  <si>
    <t>5535 Pfeiffer Rd</t>
  </si>
  <si>
    <t>Western Reserve Academy</t>
  </si>
  <si>
    <t>115 College St, Hudson, Ohio, 44236</t>
  </si>
  <si>
    <t>115 College St</t>
  </si>
  <si>
    <t>Cleveland Central Catholic</t>
  </si>
  <si>
    <t>6550 Baxter Ave, Cleveland, Ohio, 44105</t>
  </si>
  <si>
    <t>6550 Baxter Ave</t>
  </si>
  <si>
    <t>St John's Jesuit</t>
  </si>
  <si>
    <t>5901 Airport Hwy, Toledo, Ohio, 43615</t>
  </si>
  <si>
    <t>5901 Airport Hwy</t>
  </si>
  <si>
    <t>Clifton Christian Academy</t>
  </si>
  <si>
    <t>3798 Clifton Ave, Cincinnati, Ohio, 45220</t>
  </si>
  <si>
    <t>3798 Clifton Ave</t>
  </si>
  <si>
    <t>Mount Vernon Seventh-Day Adven</t>
  </si>
  <si>
    <t>221 Sychar Rd, Mount Vernon, Ohio, 43050</t>
  </si>
  <si>
    <t>221 Sychar Rd</t>
  </si>
  <si>
    <t>Toledo Junior Academy</t>
  </si>
  <si>
    <t>4909 W Sylvania Ave, Toledo, Ohio, 43623</t>
  </si>
  <si>
    <t>4909 W Sylvania Ave</t>
  </si>
  <si>
    <t>Mayfair Christian School</t>
  </si>
  <si>
    <t>2350 Graybill Rd, Uniontown, Ohio, 44685</t>
  </si>
  <si>
    <t>2350 Graybill Rd</t>
  </si>
  <si>
    <t>All Saints</t>
  </si>
  <si>
    <t>8939 Montgomery Rd, Cincinnati, Ohio, 45236</t>
  </si>
  <si>
    <t>8939 Montgomery Rd</t>
  </si>
  <si>
    <t>Annunciation</t>
  </si>
  <si>
    <t>3545 Clifton Ave, Cincinnati, Ohio, 45220</t>
  </si>
  <si>
    <t>3545 Clifton Ave</t>
  </si>
  <si>
    <t>Ascension</t>
  </si>
  <si>
    <t>2001 Woodman Dr, Kettering, Ohio, 45420</t>
  </si>
  <si>
    <t>2001 Woodman Dr</t>
  </si>
  <si>
    <t>Cardinal Pacelli</t>
  </si>
  <si>
    <t>927 Ellison Ave, Cincinnati, Ohio, 45226</t>
  </si>
  <si>
    <t>927 Ellison Ave</t>
  </si>
  <si>
    <t>45226</t>
  </si>
  <si>
    <t>St. Benedict the Moor Catholic School</t>
  </si>
  <si>
    <t>138 Gramont Ave, Dayton, Ohio, 45417</t>
  </si>
  <si>
    <t>138 Gramont Ave</t>
  </si>
  <si>
    <t>St Andrew/St Elizabeth A Seton</t>
  </si>
  <si>
    <t>5900 Buckwheat Rd, Milford, Ohio, 45150</t>
  </si>
  <si>
    <t>5900 Buckwheat Rd</t>
  </si>
  <si>
    <t>Guardian Angels</t>
  </si>
  <si>
    <t>6539 Beechmont Ave, Cincinnati, Ohio, 45230</t>
  </si>
  <si>
    <t>6539 Beechmont Ave</t>
  </si>
  <si>
    <t>Holy Angels</t>
  </si>
  <si>
    <t>223 L St, Dayton, Ohio, 45409</t>
  </si>
  <si>
    <t>223 L St</t>
  </si>
  <si>
    <t>120 E Water St, Sidney, Ohio, 45365</t>
  </si>
  <si>
    <t>120 E Water St</t>
  </si>
  <si>
    <t>Holy Family</t>
  </si>
  <si>
    <t>3001 Price Ave, Cincinnati, Ohio, 45205</t>
  </si>
  <si>
    <t>3001 Price Ave</t>
  </si>
  <si>
    <t>Holy Rosary</t>
  </si>
  <si>
    <t>128 S Pine St, Saint Marys, Ohio, 45885</t>
  </si>
  <si>
    <t>128 S Pine St</t>
  </si>
  <si>
    <t>Immaculate Conception</t>
  </si>
  <si>
    <t>200 W Wayne St, Celina, Ohio, 45822</t>
  </si>
  <si>
    <t>200 W Wayne St</t>
  </si>
  <si>
    <t>2268 S Smithville Rd, Dayton, Ohio, 45420</t>
  </si>
  <si>
    <t>2268 S Smithville Rd</t>
  </si>
  <si>
    <t>Immaculate Heart Of Mary</t>
  </si>
  <si>
    <t>7800 Beechmont Ave, Cincinnati, Ohio, 45255</t>
  </si>
  <si>
    <t>7800 Beechmont Ave</t>
  </si>
  <si>
    <t>Incarnation</t>
  </si>
  <si>
    <t>45 Williamsburg Ln, Centerville, Ohio, 45459</t>
  </si>
  <si>
    <t>45 Williamsburg Ln</t>
  </si>
  <si>
    <t>Nativity</t>
  </si>
  <si>
    <t>5936 Ridge Ave, Cincinnati, Ohio, 45213</t>
  </si>
  <si>
    <t>5936 Ridge Ave</t>
  </si>
  <si>
    <t>Our Lady Of Lourdes</t>
  </si>
  <si>
    <t>5835 Glenway Ave, Cincinnati, Ohio, 45238</t>
  </si>
  <si>
    <t>5835 Glenway Ave</t>
  </si>
  <si>
    <t>Our Lady Of Rosary</t>
  </si>
  <si>
    <t>40 Notre Dame Ave, Dayton, Ohio, 45404</t>
  </si>
  <si>
    <t>40 Notre Dame Ave</t>
  </si>
  <si>
    <t>Our Lady Of Victory</t>
  </si>
  <si>
    <t>808 Neeb Rd, Cincinnati, Ohio, 45233</t>
  </si>
  <si>
    <t>808 Neeb Rd</t>
  </si>
  <si>
    <t>Our Lady Of Visitation</t>
  </si>
  <si>
    <t>3180 South Rd, Cincinnati, Ohio, 45248</t>
  </si>
  <si>
    <t>3180 South Rd</t>
  </si>
  <si>
    <t>Mother Maria Anna Brunner Catholic</t>
  </si>
  <si>
    <t>4870 Denlinger Rd, Dayton, Ohio, 45426</t>
  </si>
  <si>
    <t>4870 Denlinger Rd</t>
  </si>
  <si>
    <t>Queen Of Peace</t>
  </si>
  <si>
    <t>2550 Millville Ave, Hamilton, Ohio, 45013</t>
  </si>
  <si>
    <t>2550 Millville Ave</t>
  </si>
  <si>
    <t>Resurrection</t>
  </si>
  <si>
    <t>1740 Iliff Ave, Cincinnati, Ohio, 45205</t>
  </si>
  <si>
    <t>1740 Iliff Ave</t>
  </si>
  <si>
    <t>Sacred Heart</t>
  </si>
  <si>
    <t>400 Nilles Rd, Fairfield, Ohio, 45014</t>
  </si>
  <si>
    <t>400 Nilles Rd</t>
  </si>
  <si>
    <t>St Albert The Great</t>
  </si>
  <si>
    <t>104 W Dorothy Ln, Dayton, Ohio, 45429</t>
  </si>
  <si>
    <t>104 W Dorothy Ln</t>
  </si>
  <si>
    <t>St Aloysius Gonzaga</t>
  </si>
  <si>
    <t>4390 Bridgetown Rd, Cincinnati, Ohio, 45211</t>
  </si>
  <si>
    <t>4390 Bridgetown Rd</t>
  </si>
  <si>
    <t>Best Point Education</t>
  </si>
  <si>
    <t>4721 Reading Rd, Cincinnati, Ohio, 45237</t>
  </si>
  <si>
    <t>4721 Reading Rd</t>
  </si>
  <si>
    <t>Our Lady of Grace Catholic School</t>
  </si>
  <si>
    <t>2940 W Galbraith Rd, Cincinnati, Ohio, 45239</t>
  </si>
  <si>
    <t>2940 W Galbraith Rd</t>
  </si>
  <si>
    <t>St Ann</t>
  </si>
  <si>
    <t>3064 Pleasant Ave, Hamilton, Ohio, 45015</t>
  </si>
  <si>
    <t>3064 Pleasant Ave</t>
  </si>
  <si>
    <t>45015</t>
  </si>
  <si>
    <t>St Anthony</t>
  </si>
  <si>
    <t>1824 Saint Charles Ave, Dayton, Ohio, 45410</t>
  </si>
  <si>
    <t>1824 Saint Charles Ave</t>
  </si>
  <si>
    <t>45410</t>
  </si>
  <si>
    <t>St Antoninus</t>
  </si>
  <si>
    <t>5425 Julmar Dr, Cincinnati, Ohio, 45238</t>
  </si>
  <si>
    <t>5425 Julmar Dr</t>
  </si>
  <si>
    <t>John Paul II Catholic School</t>
  </si>
  <si>
    <t>9375 Winton Rd, Cincinnati, Ohio, 45231</t>
  </si>
  <si>
    <t>9375 Winton Rd</t>
  </si>
  <si>
    <t>St Bernadette</t>
  </si>
  <si>
    <t>1453 Locust Lake Rd, Amelia, Ohio, 45102</t>
  </si>
  <si>
    <t>1453 Locust Lake Rd</t>
  </si>
  <si>
    <t>St Bernard School</t>
  </si>
  <si>
    <t>7115 Springdale Rd, Cincinnati, Ohio, 45247</t>
  </si>
  <si>
    <t>7115 Springdale Rd</t>
  </si>
  <si>
    <t>St Boniface</t>
  </si>
  <si>
    <t>4305 Pitts Ave, Cincinnati, Ohio, 45223</t>
  </si>
  <si>
    <t>4305 Pitts Ave</t>
  </si>
  <si>
    <t>St Brigid</t>
  </si>
  <si>
    <t>312 Fairground Rd, Xenia, Ohio, 45385</t>
  </si>
  <si>
    <t>312 Fairground Rd</t>
  </si>
  <si>
    <t>St Catharine Of Siena</t>
  </si>
  <si>
    <t>3324 Wunder Ave, Cincinnati, Ohio, 45211</t>
  </si>
  <si>
    <t>3324 Wunder Ave</t>
  </si>
  <si>
    <t>St Cecilia</t>
  </si>
  <si>
    <t>4115 Taylor Ave, Cincinnati, Ohio, 45209</t>
  </si>
  <si>
    <t>4115 Taylor Ave</t>
  </si>
  <si>
    <t>45209</t>
  </si>
  <si>
    <t>St Charles Borromeo</t>
  </si>
  <si>
    <t>4600 Ackerman Blvd, Kettering, Ohio, 45429</t>
  </si>
  <si>
    <t>4600 Ackerman Blvd</t>
  </si>
  <si>
    <t>St Christopher</t>
  </si>
  <si>
    <t>405 E National Rd, Vandalia, Ohio, 45377</t>
  </si>
  <si>
    <t>405 E National Rd</t>
  </si>
  <si>
    <t>St Clement</t>
  </si>
  <si>
    <t>4534 Vine St, Cincinnati, Ohio, 45217</t>
  </si>
  <si>
    <t>4534 Vine St</t>
  </si>
  <si>
    <t>St Columban</t>
  </si>
  <si>
    <t>896 Oakland Rd, Loveland, Ohio, 45140</t>
  </si>
  <si>
    <t>896 Oakland Rd</t>
  </si>
  <si>
    <t>St Dominic</t>
  </si>
  <si>
    <t>371 Pedretti Ave, Cincinnati, Ohio, 45238</t>
  </si>
  <si>
    <t>371 Pedretti Ave</t>
  </si>
  <si>
    <t>St Francis Desales</t>
  </si>
  <si>
    <t>1602 Madison Rd, Cincinnati, Ohio, 45206</t>
  </si>
  <si>
    <t>1602 Madison Rd</t>
  </si>
  <si>
    <t>20 W Desales Ave, Lebanon, Ohio, 45036</t>
  </si>
  <si>
    <t>20 W Desales Ave</t>
  </si>
  <si>
    <t>St Francis Seraph</t>
  </si>
  <si>
    <t>14 E Liberty St, Cincinnati, Ohio, 45202</t>
  </si>
  <si>
    <t>14 E Liberty St</t>
  </si>
  <si>
    <t>St Gabriel</t>
  </si>
  <si>
    <t>18 W Sharon Rd, Cincinnati, Ohio, 45246</t>
  </si>
  <si>
    <t>18 W Sharon Rd</t>
  </si>
  <si>
    <t>Corryville Catholic</t>
  </si>
  <si>
    <t>108 Calhoun St, Cincinnati, Ohio, 45219</t>
  </si>
  <si>
    <t>108 Calhoun St</t>
  </si>
  <si>
    <t>St Gertrude</t>
  </si>
  <si>
    <t>6543 Miami Ave., Cincinnati, Ohio, 45243</t>
  </si>
  <si>
    <t>6543 Miami Ave.</t>
  </si>
  <si>
    <t>St Helen</t>
  </si>
  <si>
    <t>5086 Burkhardt Rd, Dayton, Ohio, 45431</t>
  </si>
  <si>
    <t>5086 Burkhardt Rd</t>
  </si>
  <si>
    <t>St Ignatius Loyola</t>
  </si>
  <si>
    <t>5222 N Bend Rd, Cincinnati, Ohio, 45247</t>
  </si>
  <si>
    <t>5222 N Bend Rd</t>
  </si>
  <si>
    <t>St James</t>
  </si>
  <si>
    <t>6111 Cheviot Rd, Cincinnati, Ohio, 45247</t>
  </si>
  <si>
    <t>6111 Cheviot Rd</t>
  </si>
  <si>
    <t>St. John XXIII Catholic School</t>
  </si>
  <si>
    <t>3806 Manchester Rd, Middletown, Ohio, 45042</t>
  </si>
  <si>
    <t>3806 Manchester Rd</t>
  </si>
  <si>
    <t>St John The Baptist</t>
  </si>
  <si>
    <t>5375 Dry Ridge Rd, Cincinnati, Ohio, 45252</t>
  </si>
  <si>
    <t>5375 Dry Ridge Rd</t>
  </si>
  <si>
    <t>45252</t>
  </si>
  <si>
    <t>508 Park Ave, Harrison, Ohio, 45030</t>
  </si>
  <si>
    <t>508 Park Ave</t>
  </si>
  <si>
    <t>St Joseph</t>
  </si>
  <si>
    <t>925 S 2nd St, Hamilton, Ohio, 45011</t>
  </si>
  <si>
    <t>925 S 2nd St</t>
  </si>
  <si>
    <t>St Jude</t>
  </si>
  <si>
    <t>5940 Bridgetown Rd, Cincinnati, Ohio, 45248</t>
  </si>
  <si>
    <t>5940 Bridgetown Rd</t>
  </si>
  <si>
    <t>St Lawrence</t>
  </si>
  <si>
    <t>1020 Carson Ave, Cincinnati, Ohio, 45205</t>
  </si>
  <si>
    <t>1020 Carson Ave</t>
  </si>
  <si>
    <t>St Louis</t>
  </si>
  <si>
    <t>250 N Broadway St, Owensville, Ohio, 45160</t>
  </si>
  <si>
    <t>250 N Broadway St</t>
  </si>
  <si>
    <t>Owensville</t>
  </si>
  <si>
    <t>45160</t>
  </si>
  <si>
    <t>St Luke</t>
  </si>
  <si>
    <t>1442 N Fairfield Rd, Beavercreek, Ohio, 45432</t>
  </si>
  <si>
    <t>1442 N Fairfield Rd</t>
  </si>
  <si>
    <t>St Martin Of Tours</t>
  </si>
  <si>
    <t>3729 Harding Ave, Cincinnati, Ohio, 45211</t>
  </si>
  <si>
    <t>3729 Harding Ave</t>
  </si>
  <si>
    <t>St Mary</t>
  </si>
  <si>
    <t>2845 Erie Ave, Cincinnati, Ohio, 45208</t>
  </si>
  <si>
    <t>2845 Erie Ave</t>
  </si>
  <si>
    <t>238 W 3rd St, Greenville, Ohio, 45331</t>
  </si>
  <si>
    <t>238 W 3rd St</t>
  </si>
  <si>
    <t>Piqua Catholic Elementary</t>
  </si>
  <si>
    <t>503 W North St, Piqua, Ohio, 45356</t>
  </si>
  <si>
    <t>503 W North St</t>
  </si>
  <si>
    <t>St Michael Consolidated</t>
  </si>
  <si>
    <t>300 Market St, Ripley, Ohio, 45167</t>
  </si>
  <si>
    <t>300 Market St</t>
  </si>
  <si>
    <t>St Michael</t>
  </si>
  <si>
    <t>11136 Oak St, Sharonville, Ohio, 45241</t>
  </si>
  <si>
    <t>11136 Oak St</t>
  </si>
  <si>
    <t>Sharonville</t>
  </si>
  <si>
    <t>St Patrick</t>
  </si>
  <si>
    <t>420 E Water St, Troy, Ohio, 45373</t>
  </si>
  <si>
    <t>420 E Water St</t>
  </si>
  <si>
    <t>St Peter</t>
  </si>
  <si>
    <t>6185 Chambersburg Rd, Huber Heights, Ohio, 45424</t>
  </si>
  <si>
    <t>6185 Chambersburg Rd</t>
  </si>
  <si>
    <t>St Peter In Chains</t>
  </si>
  <si>
    <t>451 Ridgelawn Ave, Hamilton, Ohio, 45013</t>
  </si>
  <si>
    <t>451 Ridgelawn Ave</t>
  </si>
  <si>
    <t>St Susanna</t>
  </si>
  <si>
    <t>500 Reading Rd, Mason, Ohio, 45040</t>
  </si>
  <si>
    <t>500 Reading Rd</t>
  </si>
  <si>
    <t>St Teresa Of Avila</t>
  </si>
  <si>
    <t>1194 Rulison Ave, Cincinnati, Ohio, 45238</t>
  </si>
  <si>
    <t>1194 Rulison Ave</t>
  </si>
  <si>
    <t>St Thomas More</t>
  </si>
  <si>
    <t>788 Ohio Pike, Cincinnati, Ohio, 45245</t>
  </si>
  <si>
    <t>788 Ohio Pike</t>
  </si>
  <si>
    <t>St Ursula Villa</t>
  </si>
  <si>
    <t>3660 Vineyard Pl, Cincinnati, Ohio, 45226</t>
  </si>
  <si>
    <t>3660 Vineyard Pl</t>
  </si>
  <si>
    <t>St Vincent Ferrer</t>
  </si>
  <si>
    <t>7754 Montgomery Rd, Cincinnati, Ohio, 45236</t>
  </si>
  <si>
    <t>7754 Montgomery Rd</t>
  </si>
  <si>
    <t>St Vivian</t>
  </si>
  <si>
    <t>885 Denier Pl, Cincinnati, Ohio, 45224</t>
  </si>
  <si>
    <t>885 Denier Pl</t>
  </si>
  <si>
    <t>St William</t>
  </si>
  <si>
    <t>4125 Saint William Ave, Cincinnati, Ohio, 45205</t>
  </si>
  <si>
    <t>4125 Saint William Ave</t>
  </si>
  <si>
    <t>Holy Name</t>
  </si>
  <si>
    <t>8328 Broadway Ave, Cleveland, Ohio, 44105</t>
  </si>
  <si>
    <t>8328 Broadway Ave</t>
  </si>
  <si>
    <t>Our Lady Of Angels</t>
  </si>
  <si>
    <t>3644 Rocky River Dr, Cleveland, Ohio, 44111</t>
  </si>
  <si>
    <t>3644 Rocky River Dr</t>
  </si>
  <si>
    <t>Mary Queen of Peace School</t>
  </si>
  <si>
    <t>4419 Pearl Rd, Cleveland, Ohio, 44109</t>
  </si>
  <si>
    <t>4419 Pearl Rd</t>
  </si>
  <si>
    <t>Our Lady Of Mt Carmel West</t>
  </si>
  <si>
    <t>1355 W 70th St, Cleveland, Ohio, 44102</t>
  </si>
  <si>
    <t>1355 W 70th St</t>
  </si>
  <si>
    <t>St Adalbert</t>
  </si>
  <si>
    <t>2345 E 83rd St, Cleveland, Ohio, 44104</t>
  </si>
  <si>
    <t>2345 E 83rd St</t>
  </si>
  <si>
    <t>St Agatha-St Aloysius</t>
  </si>
  <si>
    <t>640 Lakeview Rd, Cleveland, Ohio, 44108</t>
  </si>
  <si>
    <t>640 Lakeview Rd</t>
  </si>
  <si>
    <t>St Francis</t>
  </si>
  <si>
    <t>7206 Myron Ave, Cleveland, Ohio, 44103</t>
  </si>
  <si>
    <t>7206 Myron Ave</t>
  </si>
  <si>
    <t>Archbishop Lyke-St Henry Campus</t>
  </si>
  <si>
    <t>18230 Harvard Ave, Cleveland, Ohio, 44128</t>
  </si>
  <si>
    <t>18230 Harvard Ave</t>
  </si>
  <si>
    <t>St Ignatius</t>
  </si>
  <si>
    <t>10205 Lorain Ave, Cleveland, Ohio, 44111</t>
  </si>
  <si>
    <t>10205 Lorain Ave</t>
  </si>
  <si>
    <t>St Jerome</t>
  </si>
  <si>
    <t>15100 Lake Shore Blvd, Cleveland, Ohio, 44110</t>
  </si>
  <si>
    <t>15100 Lake Shore Blvd</t>
  </si>
  <si>
    <t>St Leo The Great</t>
  </si>
  <si>
    <t>4900 Broadview Rd, Cleveland, Ohio, 44109</t>
  </si>
  <si>
    <t>4900 Broadview Rd</t>
  </si>
  <si>
    <t>St Mark</t>
  </si>
  <si>
    <t>15724 Montrose Ave, Cleveland, Ohio, 44111</t>
  </si>
  <si>
    <t>15724 Montrose Ave</t>
  </si>
  <si>
    <t>St Rocco</t>
  </si>
  <si>
    <t>3205 Fulton Rd, Cleveland, Ohio, 44109</t>
  </si>
  <si>
    <t>3205 Fulton Rd</t>
  </si>
  <si>
    <t>St Stanislaus</t>
  </si>
  <si>
    <t>6615 Forman Ave, Cleveland, Ohio, 44105</t>
  </si>
  <si>
    <t>6615 Forman Ave</t>
  </si>
  <si>
    <t>Metro Catholic Parish</t>
  </si>
  <si>
    <t>1910 W 54th St, Cleveland, Ohio, 44102</t>
  </si>
  <si>
    <t>1910 W 54th St</t>
  </si>
  <si>
    <t>9101 Superior Ave, Cleveland, Ohio, 44106</t>
  </si>
  <si>
    <t>9101 Superior Ave</t>
  </si>
  <si>
    <t>St Mary Byzantine</t>
  </si>
  <si>
    <t>4600 State Rd, Cleveland, Ohio, 44109</t>
  </si>
  <si>
    <t>4600 State Rd</t>
  </si>
  <si>
    <t>St Raphael</t>
  </si>
  <si>
    <t>525 Dover Center Rd, Bay Village, Ohio, 44140</t>
  </si>
  <si>
    <t>525 Dover Center Rd</t>
  </si>
  <si>
    <t>265 Baker St, Berea, Ohio, 44017</t>
  </si>
  <si>
    <t>265 Baker St</t>
  </si>
  <si>
    <t>Assumption</t>
  </si>
  <si>
    <t>9183 Broadview Rd, Broadview Heights, Ohio, 44147</t>
  </si>
  <si>
    <t>9183 Broadview Rd</t>
  </si>
  <si>
    <t>4180 N Amber Dr, Brooklyn, Ohio, 44144</t>
  </si>
  <si>
    <t>4180 N Amber Dr</t>
  </si>
  <si>
    <t>498 E Washington St, Chagrin Falls, Ohio, 44022</t>
  </si>
  <si>
    <t>498 E Washington St</t>
  </si>
  <si>
    <t>Communion of Saints School</t>
  </si>
  <si>
    <t>2160 Stillman Rd, Cleveland Heights, Ohio, 44118</t>
  </si>
  <si>
    <t>2160 Stillman Rd</t>
  </si>
  <si>
    <t>Our Lady of the Lake School</t>
  </si>
  <si>
    <t>175 E 200th St, Euclid, Ohio, 44119</t>
  </si>
  <si>
    <t>175 E 200th St</t>
  </si>
  <si>
    <t>SS Robert and William School</t>
  </si>
  <si>
    <t>351 E 260th St, Euclid, Ohio, 44132</t>
  </si>
  <si>
    <t>351 E 260th St</t>
  </si>
  <si>
    <t>St Angela Merici</t>
  </si>
  <si>
    <t>20830 Lorain Rd, Fairview Park, Ohio, 44126</t>
  </si>
  <si>
    <t>20830 Lorain Rd</t>
  </si>
  <si>
    <t>St Benedict Catholic School</t>
  </si>
  <si>
    <t>13633 Rockside Rd, Garfield Heights, Ohio, 44125</t>
  </si>
  <si>
    <t>13633 Rockside Rd</t>
  </si>
  <si>
    <t>St Francis Of Assisi</t>
  </si>
  <si>
    <t>6850 Mayfield Rd, Gates Mills, Ohio, 44040</t>
  </si>
  <si>
    <t>6850 Mayfield Rd</t>
  </si>
  <si>
    <t>St Paschal Baylon</t>
  </si>
  <si>
    <t>5360 Wilson Mills Rd, Cleveland, Ohio, 44143</t>
  </si>
  <si>
    <t>5360 Wilson Mills Rd</t>
  </si>
  <si>
    <t>6906 Chestnut Rd, Independence, Ohio, 44131</t>
  </si>
  <si>
    <t>6906 Chestnut Rd</t>
  </si>
  <si>
    <t>Lakewood Catholic Academy</t>
  </si>
  <si>
    <t>14808 Lake Ave, Lakewood, Ohio, 44107</t>
  </si>
  <si>
    <t>14808 Lake Ave</t>
  </si>
  <si>
    <t>Corpus Christi Academy</t>
  </si>
  <si>
    <t>5655 Mayfield Rd, Lyndhurst, Ohio, 44124</t>
  </si>
  <si>
    <t>5655 Mayfield Rd</t>
  </si>
  <si>
    <t>Academy Of St Bartholomew</t>
  </si>
  <si>
    <t>14875 Bagley Rd, Cleveland, Ohio, 44130</t>
  </si>
  <si>
    <t>14875 Bagley Rd</t>
  </si>
  <si>
    <t>St Brendan</t>
  </si>
  <si>
    <t>4242 Brendan Ln, North Olmsted, Ohio, 44070</t>
  </si>
  <si>
    <t>4242 Brendan Ln</t>
  </si>
  <si>
    <t>6667 Wallings Rd, North Royalton, Ohio, 44133</t>
  </si>
  <si>
    <t>6667 Wallings Rd</t>
  </si>
  <si>
    <t>St Mary Of The Falls</t>
  </si>
  <si>
    <t>8262 Columbia Rd, Olmsted Falls, Ohio, 44138</t>
  </si>
  <si>
    <t>8262 Columbia Rd</t>
  </si>
  <si>
    <t>7367 York Rd, Parma, Ohio, 44130</t>
  </si>
  <si>
    <t>7367 York Rd</t>
  </si>
  <si>
    <t>St Anthony Of Padua</t>
  </si>
  <si>
    <t>6800 State Rd, Parma, Ohio, 44134</t>
  </si>
  <si>
    <t>6800 State Rd</t>
  </si>
  <si>
    <t>7107 Wilber Ave, Parma, Ohio, 44129</t>
  </si>
  <si>
    <t>7107 Wilber Ave</t>
  </si>
  <si>
    <t>St Columbkille</t>
  </si>
  <si>
    <t>6740 Broadview Rd, Parma, Ohio, 44134</t>
  </si>
  <si>
    <t>6740 Broadview Rd</t>
  </si>
  <si>
    <t>1610 Lakeview Ave, Rocky River, Ohio, 44116</t>
  </si>
  <si>
    <t>1610 Lakeview Ave</t>
  </si>
  <si>
    <t>3455 Norwood Rd, Shaker Heights, Ohio, 44122</t>
  </si>
  <si>
    <t>3455 Norwood Rd</t>
  </si>
  <si>
    <t>St Rita</t>
  </si>
  <si>
    <t>33200 Baldwin Rd, Solon, Ohio, 44139</t>
  </si>
  <si>
    <t>33200 Baldwin Rd</t>
  </si>
  <si>
    <t>Sts Joseph &amp; John Interparochi</t>
  </si>
  <si>
    <t>12580 Pearl Rd, Strongsville, Ohio, 44136</t>
  </si>
  <si>
    <t>12580 Pearl Rd</t>
  </si>
  <si>
    <t>Gesu Catholic School</t>
  </si>
  <si>
    <t>2450 Miramar Blvd, University Heights, Ohio, 44118</t>
  </si>
  <si>
    <t>2450 Miramar Blvd</t>
  </si>
  <si>
    <t>2300 Clague Rd, Westlake, Ohio, 44145</t>
  </si>
  <si>
    <t>2300 Clague Rd</t>
  </si>
  <si>
    <t>Julie Billiart</t>
  </si>
  <si>
    <t>4982 Clubside Rd, Lyndhurst, Ohio, 44124</t>
  </si>
  <si>
    <t>4982 Clubside Rd</t>
  </si>
  <si>
    <t>Our Lady Of The Elms</t>
  </si>
  <si>
    <t>1375 W Exchange St, Akron, Ohio, 44313</t>
  </si>
  <si>
    <t>1375 W Exchange St</t>
  </si>
  <si>
    <t>Incarnate Word Academy</t>
  </si>
  <si>
    <t>6620 Pearl Rd, Parma Heights, Ohio, 44130</t>
  </si>
  <si>
    <t>6620 Pearl Rd</t>
  </si>
  <si>
    <t>80 E York St, Akron, Ohio, 44310</t>
  </si>
  <si>
    <t>80 E York St</t>
  </si>
  <si>
    <t>4009 Manchester Rd, Akron, Ohio, 44319</t>
  </si>
  <si>
    <t>4009 Manchester Rd</t>
  </si>
  <si>
    <t>St Hilary</t>
  </si>
  <si>
    <t>645 Moorfield Rd, Fairlawn, Ohio, 44333</t>
  </si>
  <si>
    <t>645 Moorfield Rd</t>
  </si>
  <si>
    <t>St Mary Elementary</t>
  </si>
  <si>
    <t>750 S Main St, Akron, Ohio, 44311</t>
  </si>
  <si>
    <t>St Vincent De Paul</t>
  </si>
  <si>
    <t>17 S Maple St, Akron, Ohio, 44303</t>
  </si>
  <si>
    <t>17 S Maple St</t>
  </si>
  <si>
    <t>175 Saint Joseph Dr, Amherst, Ohio, 44001</t>
  </si>
  <si>
    <t>175 Saint Joseph Dr</t>
  </si>
  <si>
    <t>433 Cottage St, Ashland, Ohio, 44805</t>
  </si>
  <si>
    <t>433 Cottage St</t>
  </si>
  <si>
    <t>Holy Trinity</t>
  </si>
  <si>
    <t>2610 Nagel Rd, Avon, Ohio, 44011</t>
  </si>
  <si>
    <t>2610 Nagel Rd</t>
  </si>
  <si>
    <t>St Mary Immaculate Conception</t>
  </si>
  <si>
    <t>2680 Stoney Ridge Rd, Avon, Ohio, 44011</t>
  </si>
  <si>
    <t>2680 Stoney Ridge Rd</t>
  </si>
  <si>
    <t>32946 Electric Blvd, Avon Lake, Ohio, 44012</t>
  </si>
  <si>
    <t>32946 Electric Blvd</t>
  </si>
  <si>
    <t>St Augustine</t>
  </si>
  <si>
    <t>195 7th St NW, Barberton, Ohio, 44203</t>
  </si>
  <si>
    <t>195 7th St NW</t>
  </si>
  <si>
    <t>St Ambrose</t>
  </si>
  <si>
    <t>923 Pearl Rd, Brunswick, Ohio, 44212</t>
  </si>
  <si>
    <t>923 Pearl Rd</t>
  </si>
  <si>
    <t>Notre Dame School</t>
  </si>
  <si>
    <t>401 North St, Chardon, Ohio, 44024</t>
  </si>
  <si>
    <t>401 North St</t>
  </si>
  <si>
    <t>2859 Lillis Dr, Cuyahoga Falls, Ohio, 44223</t>
  </si>
  <si>
    <t>2859 Lillis Dr</t>
  </si>
  <si>
    <t>Sts Peter And Paul</t>
  </si>
  <si>
    <t>169 W Clinton St, Doylestown, Ohio, 44230</t>
  </si>
  <si>
    <t>169 W Clinton St</t>
  </si>
  <si>
    <t>594 Poplar St, Elyria, Ohio, 44035</t>
  </si>
  <si>
    <t>594 Poplar St</t>
  </si>
  <si>
    <t>237 4th St, Elyria, Ohio, 44035</t>
  </si>
  <si>
    <t>237 4th St</t>
  </si>
  <si>
    <t>1339 E Erie Ave, Lorain, Ohio, 44052</t>
  </si>
  <si>
    <t>1339 E Erie Ave</t>
  </si>
  <si>
    <t>3601 Oberlin Ave, Lorain, Ohio, 44053</t>
  </si>
  <si>
    <t>3601 Oberlin Ave</t>
  </si>
  <si>
    <t>9935 Johnnycake Ridge Rd, Mentor, Ohio, 44060</t>
  </si>
  <si>
    <t>9935 Johnnycake Ridge Rd</t>
  </si>
  <si>
    <t>St Mary Of The Assumption</t>
  </si>
  <si>
    <t>8540 Mentor Ave, Mentor, Ohio, 44060</t>
  </si>
  <si>
    <t>8540 Mentor Ave</t>
  </si>
  <si>
    <t>12060 Kinsman Rd, Newbury, Ohio, 44065</t>
  </si>
  <si>
    <t>12060 Kinsman Rd</t>
  </si>
  <si>
    <t>Newbury</t>
  </si>
  <si>
    <t>44065</t>
  </si>
  <si>
    <t>St Barnabas</t>
  </si>
  <si>
    <t>9200 Olde 8 Rd, Northfield, Ohio, 44067</t>
  </si>
  <si>
    <t>9200 Olde 8 Rd</t>
  </si>
  <si>
    <t>35749 Center Ridge Rd, North Ridgeville, Ohio, 44039</t>
  </si>
  <si>
    <t>35749 Center Ridge Rd</t>
  </si>
  <si>
    <t>3163 Kent Rd, Stow, Ohio, 44224</t>
  </si>
  <si>
    <t>3163 Kent Rd</t>
  </si>
  <si>
    <t>Sacred Heart Of Jesus</t>
  </si>
  <si>
    <t>110 Humbolt Ave, Wadsworth, Ohio, 44281</t>
  </si>
  <si>
    <t>110 Humbolt Ave</t>
  </si>
  <si>
    <t>Mater Dei Academy</t>
  </si>
  <si>
    <t>29840 Euclid Ave, Wickliffe, Ohio, 44092</t>
  </si>
  <si>
    <t>29840 Euclid Ave</t>
  </si>
  <si>
    <t>515 Beall Ave, Wooster, Ohio, 44691</t>
  </si>
  <si>
    <t>515 Beall Ave</t>
  </si>
  <si>
    <t>Blessed Sacrament</t>
  </si>
  <si>
    <t>394 E Main St, Newark, Ohio, 43055</t>
  </si>
  <si>
    <t>394 E Main St</t>
  </si>
  <si>
    <t>All Saints Academy</t>
  </si>
  <si>
    <t>2855 E Livingston Ave, Columbus, Ohio, 43209</t>
  </si>
  <si>
    <t>2855 E Livingston Ave</t>
  </si>
  <si>
    <t>Holy Spirit</t>
  </si>
  <si>
    <t>4382 Duchene Ln, Columbus, Ohio, 43213</t>
  </si>
  <si>
    <t>4382 Duchene Ln</t>
  </si>
  <si>
    <t>225 S Columbus St, Somerset, Ohio, 43783</t>
  </si>
  <si>
    <t>225 S Columbus St</t>
  </si>
  <si>
    <t>366 E North Broadway St, Columbus, Ohio, 43214</t>
  </si>
  <si>
    <t>366 E North Broadway St</t>
  </si>
  <si>
    <t>100 Sherman St, Dennison, Ohio, 44621</t>
  </si>
  <si>
    <t>100 Sherman St</t>
  </si>
  <si>
    <t>Our Lady Of Peace</t>
  </si>
  <si>
    <t>40 E Dominion Blvd, Columbus, Ohio, 43214</t>
  </si>
  <si>
    <t>40 E Dominion Blvd</t>
  </si>
  <si>
    <t>Our Lady Of Perpetual Help</t>
  </si>
  <si>
    <t>3752 Broadway, Grove City, Ohio, 43123</t>
  </si>
  <si>
    <t>3752 Broadway</t>
  </si>
  <si>
    <t>39 Burt Ave, Coshocton, Ohio, 43812</t>
  </si>
  <si>
    <t>39 Burt Ave</t>
  </si>
  <si>
    <t>St Agatha</t>
  </si>
  <si>
    <t>1880 Northam Rd, Columbus, Ohio, 43221</t>
  </si>
  <si>
    <t>1880 Northam Rd</t>
  </si>
  <si>
    <t>St Andrew</t>
  </si>
  <si>
    <t>4081 Reed Rd, Columbus, Ohio, 43220</t>
  </si>
  <si>
    <t>4081 Reed Rd</t>
  </si>
  <si>
    <t>1325 Wheeling Rd NE, Lancaster, Ohio, 43130</t>
  </si>
  <si>
    <t>1325 Wheeling Rd NE</t>
  </si>
  <si>
    <t>4475 Dublin Rd, Hilliard, Ohio, 43026</t>
  </si>
  <si>
    <t>4475 Dublin Rd</t>
  </si>
  <si>
    <t>St Catharine</t>
  </si>
  <si>
    <t>2865 Fair Ave, Columbus, Ohio, 43209</t>
  </si>
  <si>
    <t>2865 Fair Ave</t>
  </si>
  <si>
    <t>440 Norton Rd, Columbus, Ohio, 43228</t>
  </si>
  <si>
    <t>440 Norton Rd</t>
  </si>
  <si>
    <t>1440 Grandview Ave., Columbus, Ohio, 43212</t>
  </si>
  <si>
    <t>1440 Grandview Ave.</t>
  </si>
  <si>
    <t>38 Granville St, Newark, Ohio, 43055</t>
  </si>
  <si>
    <t>38 Granville St</t>
  </si>
  <si>
    <t>St James The Less</t>
  </si>
  <si>
    <t>1628 Oakland Park Ave, Columbus, Ohio, 43224</t>
  </si>
  <si>
    <t>1628 Oakland Park Ave</t>
  </si>
  <si>
    <t>St John</t>
  </si>
  <si>
    <t>321 N Market St, Logan, Ohio, 43138</t>
  </si>
  <si>
    <t>321 N Market St</t>
  </si>
  <si>
    <t>Tuscarawas Central Catholic Elementary School</t>
  </si>
  <si>
    <t>600 N Tuscarawas Ave, Dover, Ohio, 44622</t>
  </si>
  <si>
    <t>600 N Tuscarawas Ave</t>
  </si>
  <si>
    <t>St Joseph Montessori</t>
  </si>
  <si>
    <t>933 Hamlet St, Columbus, Ohio, 43201</t>
  </si>
  <si>
    <t>933 Hamlet St</t>
  </si>
  <si>
    <t>Bishop Flaget School</t>
  </si>
  <si>
    <t>570 Parsons Ave, Chillicothe, Ohio, 45601</t>
  </si>
  <si>
    <t>570 Parsons Ave</t>
  </si>
  <si>
    <t>700 S 3rd St, Columbus, Ohio, 43206</t>
  </si>
  <si>
    <t>700 S 3rd St</t>
  </si>
  <si>
    <t>66 E William St, Delaware, Ohio, 43015</t>
  </si>
  <si>
    <t>66 E William St</t>
  </si>
  <si>
    <t>309 E Chestnut St, Lancaster, Ohio, 43130</t>
  </si>
  <si>
    <t>309 E Chestnut St</t>
  </si>
  <si>
    <t>274 N Prospect St, Marion, Ohio, 43302</t>
  </si>
  <si>
    <t>274 N Prospect St</t>
  </si>
  <si>
    <t>Notre Dame</t>
  </si>
  <si>
    <t>1401 Gallia St, Portsmouth, Ohio, 45662</t>
  </si>
  <si>
    <t>1401 Gallia St</t>
  </si>
  <si>
    <t>St Mary Magdalene</t>
  </si>
  <si>
    <t>2940 Parkside Rd, Columbus, Ohio, 43204</t>
  </si>
  <si>
    <t>2940 Parkside Rd</t>
  </si>
  <si>
    <t>St Matthew</t>
  </si>
  <si>
    <t>795 Havens Corners Rd, Gahanna, Ohio, 43230</t>
  </si>
  <si>
    <t>795 Havens Corners Rd</t>
  </si>
  <si>
    <t>St Matthias</t>
  </si>
  <si>
    <t>1566 Ferris Rd, Columbus, Ohio, 43224</t>
  </si>
  <si>
    <t>1566 Ferris Rd</t>
  </si>
  <si>
    <t>64 E Selby Blvd, Worthington, Ohio, 43085</t>
  </si>
  <si>
    <t>64 E Selby Blvd</t>
  </si>
  <si>
    <t>Bishop Fenwick School</t>
  </si>
  <si>
    <t>1030 E Main St, Zanesville, Ohio, 43701</t>
  </si>
  <si>
    <t>1030 E Main St</t>
  </si>
  <si>
    <t>226 Elm St, London, Ohio, 43140</t>
  </si>
  <si>
    <t>226 Elm St</t>
  </si>
  <si>
    <t>St Paul School</t>
  </si>
  <si>
    <t>61 Moss Rd, Westerville, Ohio, 43082</t>
  </si>
  <si>
    <t>61 Moss Rd</t>
  </si>
  <si>
    <t>43082</t>
  </si>
  <si>
    <t>St Pius X</t>
  </si>
  <si>
    <t>1061 Waggoner Rd, Reynoldsburg, Ohio, 43068</t>
  </si>
  <si>
    <t>1061 Waggoner Rd</t>
  </si>
  <si>
    <t>St Timothy</t>
  </si>
  <si>
    <t>1070 Thomas Ln, Columbus, Ohio, 43220</t>
  </si>
  <si>
    <t>1070 Thomas Ln</t>
  </si>
  <si>
    <t>206 E Chestnut St, Mount Vernon, Ohio, 43050</t>
  </si>
  <si>
    <t>206 E Chestnut St</t>
  </si>
  <si>
    <t>St Benedict</t>
  </si>
  <si>
    <t>220 N 7th St, Cambridge, Ohio, 43725</t>
  </si>
  <si>
    <t>220 N 7th St</t>
  </si>
  <si>
    <t>Bishop John King Mussio Central Elementary - Rosemont Campus</t>
  </si>
  <si>
    <t>100 Etta Ave, Steubenville, Ohio, 43952</t>
  </si>
  <si>
    <t>100 Etta Ave</t>
  </si>
  <si>
    <t>17654 State Route 676, Marietta, Ohio, 45750</t>
  </si>
  <si>
    <t>17654 State Route 676</t>
  </si>
  <si>
    <t>315 S 6th St, Ironton, Ohio, 45638</t>
  </si>
  <si>
    <t>315 S 6th St</t>
  </si>
  <si>
    <t>320 Marion St, Marietta, Ohio, 45750</t>
  </si>
  <si>
    <t>320 Marion St</t>
  </si>
  <si>
    <t>St Mary Central</t>
  </si>
  <si>
    <t>24 N 4th St, Martins Ferry, Ohio, 43935</t>
  </si>
  <si>
    <t>24 N 4th St</t>
  </si>
  <si>
    <t>226 W Main St, Saint Clairsville, Ohio, 43950</t>
  </si>
  <si>
    <t>226 W Main St</t>
  </si>
  <si>
    <t>St Sylvester</t>
  </si>
  <si>
    <t>119 Wayne St, Woodsfield, Ohio, 43793</t>
  </si>
  <si>
    <t>119 Wayne St</t>
  </si>
  <si>
    <t>4255 Bellevue Rd, Toledo, Ohio, 43613</t>
  </si>
  <si>
    <t>4255 Bellevue Rd</t>
  </si>
  <si>
    <t>Christ The King</t>
  </si>
  <si>
    <t>4100 Harvest Ln, Toledo, Ohio, 43623</t>
  </si>
  <si>
    <t>4100 Harvest Ln</t>
  </si>
  <si>
    <t>Gesu</t>
  </si>
  <si>
    <t>2045 Parkside Blvd, Toledo, Ohio, 43607</t>
  </si>
  <si>
    <t>2045 Parkside Blvd</t>
  </si>
  <si>
    <t>304 E Main St, Bellevue, Ohio, 44811</t>
  </si>
  <si>
    <t>304 E Main St</t>
  </si>
  <si>
    <t>109 W 4th St, Port Clinton, Ohio, 43452</t>
  </si>
  <si>
    <t>109 W 4th St</t>
  </si>
  <si>
    <t>5522 Dorr St, Toledo, Ohio, 43615</t>
  </si>
  <si>
    <t>5522 Dorr St</t>
  </si>
  <si>
    <t>26 West St, Shelby, Ohio, 44875</t>
  </si>
  <si>
    <t>26 West St</t>
  </si>
  <si>
    <t>Our Lady Of Consolation</t>
  </si>
  <si>
    <t>401 Clay St, Carey, Ohio, 43316</t>
  </si>
  <si>
    <t>401 Clay St</t>
  </si>
  <si>
    <t>2255 Central Grv, Toledo, Ohio, 43614</t>
  </si>
  <si>
    <t>2255 Central Grv</t>
  </si>
  <si>
    <t>Regina Coeli</t>
  </si>
  <si>
    <t>600 Regina Pkwy, Toledo, Ohio, 43612</t>
  </si>
  <si>
    <t>600 Regina Pkwy</t>
  </si>
  <si>
    <t>Rosary Cathedral School</t>
  </si>
  <si>
    <t>2535 Collingwood Blvd, Toledo, Ohio, 43610</t>
  </si>
  <si>
    <t>2535 Collingwood Blvd</t>
  </si>
  <si>
    <t>5754 State Route 61 S, Shelby, Ohio, 44875</t>
  </si>
  <si>
    <t>5754 State Route 61 S</t>
  </si>
  <si>
    <t>St Aloysius</t>
  </si>
  <si>
    <t>148 S Enterprise St, Bowling Green, Ohio, 43402</t>
  </si>
  <si>
    <t>148 S Enterprise St</t>
  </si>
  <si>
    <t>520 W Sycamore St, Columbus Grove, Ohio, 45830</t>
  </si>
  <si>
    <t>520 W Sycamore St</t>
  </si>
  <si>
    <t>722 Monroe St, Napoleon, Ohio, 43545</t>
  </si>
  <si>
    <t>722 Monroe St</t>
  </si>
  <si>
    <t>215 W Oak St, Oak Harbor, Ohio, 43449</t>
  </si>
  <si>
    <t>215 W Oak St</t>
  </si>
  <si>
    <t>St Charles</t>
  </si>
  <si>
    <t>2175 W Elm St, Lima, Ohio, 45805</t>
  </si>
  <si>
    <t>2175 W Elm St</t>
  </si>
  <si>
    <t>All Saints Catholic</t>
  </si>
  <si>
    <t>630 Lime City Rd, Rossford, Ohio, 43460</t>
  </si>
  <si>
    <t>630 Lime City Rd</t>
  </si>
  <si>
    <t>St Francis Xavier</t>
  </si>
  <si>
    <t>25 W Perry St, Willard, Ohio, 44890</t>
  </si>
  <si>
    <t>25 W Perry St</t>
  </si>
  <si>
    <t>St Gerard</t>
  </si>
  <si>
    <t>1311 N Main St, Lima, Ohio, 45801</t>
  </si>
  <si>
    <t>1311 N Main St</t>
  </si>
  <si>
    <t>Divine Mercy School</t>
  </si>
  <si>
    <t>120 Arturus St, Payne, Ohio, 45880</t>
  </si>
  <si>
    <t>120 Arturus St</t>
  </si>
  <si>
    <t>Holy Cross Catholic School of Defiance</t>
  </si>
  <si>
    <t>1745 S Clinton St, Defiance, Ohio, 43512</t>
  </si>
  <si>
    <t>1745 S Clinton St</t>
  </si>
  <si>
    <t>333 N Thoman St, Crestline, Ohio, 44827</t>
  </si>
  <si>
    <t>333 N Thoman St</t>
  </si>
  <si>
    <t>138 N Liberty St, Galion, Ohio, 44833</t>
  </si>
  <si>
    <t>138 N Liberty St</t>
  </si>
  <si>
    <t>112 W Broadway St, Maumee, Ohio, 43537</t>
  </si>
  <si>
    <t>112 W Broadway St</t>
  </si>
  <si>
    <t>79 Chapel St, Monroeville, Ohio, 44847</t>
  </si>
  <si>
    <t>79 Chapel St</t>
  </si>
  <si>
    <t>5411 S Main St, Sylvania, Ohio, 43560</t>
  </si>
  <si>
    <t>5411 S Main St</t>
  </si>
  <si>
    <t>22776 Defiance Pike, Custar, Ohio, 43511</t>
  </si>
  <si>
    <t>22776 Defiance Pike</t>
  </si>
  <si>
    <t>Custar</t>
  </si>
  <si>
    <t>43511</t>
  </si>
  <si>
    <t>314 S Locust St, Edgerton, Ohio, 43517</t>
  </si>
  <si>
    <t>314 S Locust St</t>
  </si>
  <si>
    <t>129 Saint Marys St, Leipsic, Ohio, 45856</t>
  </si>
  <si>
    <t>129 Saint Marys St</t>
  </si>
  <si>
    <t>St Mary Catholic School</t>
  </si>
  <si>
    <t>1630 Ashland Rd, Mansfield, Ohio, 44905</t>
  </si>
  <si>
    <t>1630 Ashland Rd</t>
  </si>
  <si>
    <t>Holy Trinity  Assumption</t>
  </si>
  <si>
    <t>2639 Us Highway 20, Swanton, Ohio, 43558</t>
  </si>
  <si>
    <t>2639 Us Highway 20</t>
  </si>
  <si>
    <t>611 Jennings Rd, Van Wert, Ohio, 45891</t>
  </si>
  <si>
    <t>611 Jennings Rd</t>
  </si>
  <si>
    <t>St Michael the Archangel School</t>
  </si>
  <si>
    <t>723 Sutton Pl, Findlay, Ohio, 45840</t>
  </si>
  <si>
    <t>723 Sutton Pl</t>
  </si>
  <si>
    <t>610 S Portland St, Bryan, Ohio, 43506</t>
  </si>
  <si>
    <t>610 S Portland St</t>
  </si>
  <si>
    <t>St Patrick Of Heatherdowns</t>
  </si>
  <si>
    <t>4201 Heatherdowns Blvd, Toledo, Ohio, 43614</t>
  </si>
  <si>
    <t>4201 Heatherdowns Blvd</t>
  </si>
  <si>
    <t>429 Huron St, Huron, Ohio, 44839</t>
  </si>
  <si>
    <t>429 Huron St</t>
  </si>
  <si>
    <t>63 S Mulberry St, Mansfield, Ohio, 44902</t>
  </si>
  <si>
    <t>63 S Mulberry St</t>
  </si>
  <si>
    <t>44902</t>
  </si>
  <si>
    <t>310 N Eighth St, Upper Sandusky, Ohio, 43351</t>
  </si>
  <si>
    <t>310 N Eighth St</t>
  </si>
  <si>
    <t>320 N Locust St, Ottawa, Ohio, 45875</t>
  </si>
  <si>
    <t>320 N Locust St</t>
  </si>
  <si>
    <t>2950 Ilger Ave, Toledo, Ohio, 43606</t>
  </si>
  <si>
    <t>2950 Ilger Ave</t>
  </si>
  <si>
    <t>St Richard</t>
  </si>
  <si>
    <t>333 Brookside Dr, Swanton, Ohio, 43558</t>
  </si>
  <si>
    <t>333 Brookside Dr</t>
  </si>
  <si>
    <t>St Rose</t>
  </si>
  <si>
    <t>523 N West St, Lima, Ohio, 45801</t>
  </si>
  <si>
    <t>523 N West St</t>
  </si>
  <si>
    <t>217 E Front St, Perrysburg, Ohio, 43551</t>
  </si>
  <si>
    <t>217 E Front St</t>
  </si>
  <si>
    <t>733 Fernwood Blvd, Alliance, Ohio, 44601</t>
  </si>
  <si>
    <t>733 Fernwood Blvd</t>
  </si>
  <si>
    <t>7325 Westview Dr, Boardman, Ohio, 44512</t>
  </si>
  <si>
    <t>7325 Westview Dr</t>
  </si>
  <si>
    <t>Boardman</t>
  </si>
  <si>
    <t>St Joseph The Provider</t>
  </si>
  <si>
    <t>1125 Turin St, Youngstown, Ohio, 44510</t>
  </si>
  <si>
    <t>1125 Turin St</t>
  </si>
  <si>
    <t>44510</t>
  </si>
  <si>
    <t>Sts Philip And James</t>
  </si>
  <si>
    <t>532 High St NW, Canal Fulton, Ohio, 44614</t>
  </si>
  <si>
    <t>532 High St NW</t>
  </si>
  <si>
    <t>120 Bordner Ave SW, Canton, Ohio, 44710</t>
  </si>
  <si>
    <t>120 Bordner Ave SW</t>
  </si>
  <si>
    <t>3431 Saint Michaels Blvd NW, Canton, Ohio, 44718</t>
  </si>
  <si>
    <t>3431 Saint Michaels Blvd NW</t>
  </si>
  <si>
    <t>702 Cleveland Ave NW, Canton, Ohio, 44702</t>
  </si>
  <si>
    <t>702 Cleveland Ave NW</t>
  </si>
  <si>
    <t>1001 39th St NW, Canton, Ohio, 44709</t>
  </si>
  <si>
    <t>1001 39th St NW</t>
  </si>
  <si>
    <t>61 E Main St, Girard, Ohio, 44420</t>
  </si>
  <si>
    <t>61 E Main St</t>
  </si>
  <si>
    <t>127 Portage St, Kent, Ohio, 44240</t>
  </si>
  <si>
    <t>127 Portage St</t>
  </si>
  <si>
    <t>640 1st St NE, Massillon, Ohio, 44646</t>
  </si>
  <si>
    <t>640 1st St NE</t>
  </si>
  <si>
    <t>St Paul</t>
  </si>
  <si>
    <t>303 S Main St, North Canton, Ohio, 44720</t>
  </si>
  <si>
    <t>303 S Main St</t>
  </si>
  <si>
    <t>2731 Center Rd, Poland, Ohio, 44514</t>
  </si>
  <si>
    <t>2731 Center Rd</t>
  </si>
  <si>
    <t>925 E State St, Salem, Ohio, 44460</t>
  </si>
  <si>
    <t>925 E State St</t>
  </si>
  <si>
    <t>St Nicholas</t>
  </si>
  <si>
    <t>762 5th St, Struthers, Ohio, 44471</t>
  </si>
  <si>
    <t>762 5th St</t>
  </si>
  <si>
    <t>2617 Waterloo Rd, Mogadore, Ohio, 44260</t>
  </si>
  <si>
    <t>2617 Waterloo Rd</t>
  </si>
  <si>
    <t>John F. Kennedy Catholic Lower School</t>
  </si>
  <si>
    <t>3000 Reeves Rd NE, Warren, Ohio, 44483</t>
  </si>
  <si>
    <t>3000 Reeves Rd NE</t>
  </si>
  <si>
    <t>400 W Lisbon St, Waynesburg, Ohio, 44688</t>
  </si>
  <si>
    <t>400 W Lisbon St</t>
  </si>
  <si>
    <t>Waynesburg</t>
  </si>
  <si>
    <t>44688</t>
  </si>
  <si>
    <t>St Christine</t>
  </si>
  <si>
    <t>3125 S Schenley Ave, Youngstown, Ohio, 44511</t>
  </si>
  <si>
    <t>3125 S Schenley Ave</t>
  </si>
  <si>
    <t>44511</t>
  </si>
  <si>
    <t>Bethany Lutheran School</t>
  </si>
  <si>
    <t>6041 Ridge Rd, Parma, Ohio, 44129</t>
  </si>
  <si>
    <t>6041 Ridge Rd</t>
  </si>
  <si>
    <t>Immanuel Lutheran</t>
  </si>
  <si>
    <t>1285 Main St, Hamilton, Ohio, 45013</t>
  </si>
  <si>
    <t>1285 Main St</t>
  </si>
  <si>
    <t>Lakewood Lutheran</t>
  </si>
  <si>
    <t>14560 Madison Ave, Lakewood, Ohio, 44107</t>
  </si>
  <si>
    <t>14560 Madison Ave</t>
  </si>
  <si>
    <t>Luther Memorial</t>
  </si>
  <si>
    <t>4464 Pearl Rd, Cleveland, Ohio, 44109</t>
  </si>
  <si>
    <t>4464 Pearl Rd</t>
  </si>
  <si>
    <t>Redeemer Lutheran</t>
  </si>
  <si>
    <t>2141 5th St, Cuyahoga Falls, Ohio, 44221</t>
  </si>
  <si>
    <t>2141 5th St</t>
  </si>
  <si>
    <t>St John Lutheran</t>
  </si>
  <si>
    <t>1027 E 176th St, Cleveland, Ohio, 44119</t>
  </si>
  <si>
    <t>1027 E 176th St</t>
  </si>
  <si>
    <t>655 Wayne Ave, Defiance, Ohio, 43512</t>
  </si>
  <si>
    <t>655 Wayne Ave</t>
  </si>
  <si>
    <t>12809 State Route 736, Marysville, Ohio, 43040</t>
  </si>
  <si>
    <t>12809 State Route 736</t>
  </si>
  <si>
    <t>16035 County Road U, Napoleon, Ohio, 43545</t>
  </si>
  <si>
    <t>16035 County Road U</t>
  </si>
  <si>
    <t>St Paul Lutheran</t>
  </si>
  <si>
    <t>1075 Glenwood Ave, Napoleon, Ohio, 43545</t>
  </si>
  <si>
    <t>1075 Glenwood Ave</t>
  </si>
  <si>
    <t>27981 Detroit Rd, Westlake, Ohio, 44145</t>
  </si>
  <si>
    <t>27981 Detroit Rd</t>
  </si>
  <si>
    <t>St Thomas Lutheran</t>
  </si>
  <si>
    <t>21211 Detroit Rd, Rocky River, Ohio, 44116</t>
  </si>
  <si>
    <t>21211 Detroit Rd</t>
  </si>
  <si>
    <t>Trinity Lutheran</t>
  </si>
  <si>
    <t>4560 Glendale Ave, Toledo, Ohio, 43614</t>
  </si>
  <si>
    <t>4560 Glendale Ave</t>
  </si>
  <si>
    <t>Messiah Lutheran</t>
  </si>
  <si>
    <t>4401 W 215th St, Fairview Park, Ohio, 44126</t>
  </si>
  <si>
    <t>4401 W 215th St</t>
  </si>
  <si>
    <t>Celeryville Christian</t>
  </si>
  <si>
    <t>4200 Broadway Rd, Willard, Ohio, 44890</t>
  </si>
  <si>
    <t>4200 Broadway Rd</t>
  </si>
  <si>
    <t>Cincinnati Hebrew Day Chofetz</t>
  </si>
  <si>
    <t>2222 Losantiville Ave, Cincinnati, Ohio, 45237</t>
  </si>
  <si>
    <t>2222 Losantiville Ave</t>
  </si>
  <si>
    <t>Bethany</t>
  </si>
  <si>
    <t>555 Albion Ave, Cincinnati, Ohio, 45246</t>
  </si>
  <si>
    <t>555 Albion Ave</t>
  </si>
  <si>
    <t>Canton Country Day School</t>
  </si>
  <si>
    <t>3000 Demington Ave NW, Canton, Ohio, 44718</t>
  </si>
  <si>
    <t>3000 Demington Ave NW</t>
  </si>
  <si>
    <t>Chapel Hill Christian North</t>
  </si>
  <si>
    <t>1090 Howe Ave, Cuyahoga Falls, Ohio, 44221</t>
  </si>
  <si>
    <t>1090 Howe Ave</t>
  </si>
  <si>
    <t>Hawken Lower-Middle</t>
  </si>
  <si>
    <t>5000 Clubside Rd, Lyndhurst, Ohio, 44124</t>
  </si>
  <si>
    <t>5000 Clubside Rd</t>
  </si>
  <si>
    <t>Laurel School</t>
  </si>
  <si>
    <t>1 Lyman Cir, Shaker Heights, Ohio, 44122</t>
  </si>
  <si>
    <t>1 Lyman Cir</t>
  </si>
  <si>
    <t>Maumee Valley Country Day</t>
  </si>
  <si>
    <t>1715 S Reynolds Rd, Toledo, Ohio, 43614</t>
  </si>
  <si>
    <t>1715 S Reynolds Rd</t>
  </si>
  <si>
    <t>Old Trail</t>
  </si>
  <si>
    <t>2315 Ira Rd, Bath, Ohio, 44210</t>
  </si>
  <si>
    <t>2315 Ira Rd</t>
  </si>
  <si>
    <t>Bath</t>
  </si>
  <si>
    <t>44210</t>
  </si>
  <si>
    <t>Solomon Lutheran</t>
  </si>
  <si>
    <t>305 W Main St, Woodville, Ohio, 43469</t>
  </si>
  <si>
    <t>305 W Main St</t>
  </si>
  <si>
    <t>Trinity Ev Lutheran</t>
  </si>
  <si>
    <t>105 Allen St, Jenera, Ohio, 45841</t>
  </si>
  <si>
    <t>105 Allen St</t>
  </si>
  <si>
    <t>Jenera</t>
  </si>
  <si>
    <t>45841</t>
  </si>
  <si>
    <t>The University School</t>
  </si>
  <si>
    <t>20701 Brantley Rd, Shaker Heights, Ohio, 44122</t>
  </si>
  <si>
    <t>20701 Brantley Rd</t>
  </si>
  <si>
    <t>322 Stewart Ave, Columbus, Ohio, 43206</t>
  </si>
  <si>
    <t>322 Stewart Ave</t>
  </si>
  <si>
    <t>St Anselm</t>
  </si>
  <si>
    <t>13013 Chillicothe Rd, Chesterland, Ohio, 44026</t>
  </si>
  <si>
    <t>13013 Chillicothe Rd</t>
  </si>
  <si>
    <t>612 E Washington St, Medina, Ohio, 44256</t>
  </si>
  <si>
    <t>612 E Washington St</t>
  </si>
  <si>
    <t>St Sebastian</t>
  </si>
  <si>
    <t>352 Elmdale Ave, Akron, Ohio, 44320</t>
  </si>
  <si>
    <t>352 Elmdale Ave</t>
  </si>
  <si>
    <t>Centerville Primary Village North</t>
  </si>
  <si>
    <t>6450 Marshall Rd, Centerville, Ohio, 45459</t>
  </si>
  <si>
    <t>6450 Marshall Rd</t>
  </si>
  <si>
    <t>Mariemont Elementary School</t>
  </si>
  <si>
    <t>6750 Wooster Pike, Cincinnati, Ohio, 45227</t>
  </si>
  <si>
    <t>6750 Wooster Pike</t>
  </si>
  <si>
    <t>Kimpton Middle School</t>
  </si>
  <si>
    <t>380 N River Rd, Munroe Falls, Ohio, 44262</t>
  </si>
  <si>
    <t>380 N River Rd</t>
  </si>
  <si>
    <t>Sylvania Arbor Hills Junior High School</t>
  </si>
  <si>
    <t>5334 Whiteford Rd, Sylvania, Ohio, 43560</t>
  </si>
  <si>
    <t>5334 Whiteford Rd</t>
  </si>
  <si>
    <t>Wellington High School</t>
  </si>
  <si>
    <t>629 N Main St, Wellington, Ohio, 44090</t>
  </si>
  <si>
    <t>629 N Main St</t>
  </si>
  <si>
    <t>Grove City High School</t>
  </si>
  <si>
    <t>4665 Hoover Rd, Grove City, Ohio, 43123</t>
  </si>
  <si>
    <t>4665 Hoover Rd</t>
  </si>
  <si>
    <t>Westland High School</t>
  </si>
  <si>
    <t>146 Galloway Rd, Galloway, Ohio, 43119</t>
  </si>
  <si>
    <t>146 Galloway Rd</t>
  </si>
  <si>
    <t>Annehurst Elementary School</t>
  </si>
  <si>
    <t>925 W Main St, Westerville, Ohio, 43081</t>
  </si>
  <si>
    <t>925 W Main St</t>
  </si>
  <si>
    <t>Chamberlin Hill Elementary School</t>
  </si>
  <si>
    <t>600 W Yates Ave, Findlay, Ohio, 45840</t>
  </si>
  <si>
    <t>600 W Yates Ave</t>
  </si>
  <si>
    <t>Helke Elementary School</t>
  </si>
  <si>
    <t>611 Randler Ave, Vandalia, Ohio, 45377</t>
  </si>
  <si>
    <t>611 Randler Ave</t>
  </si>
  <si>
    <t>Cloverleaf Middle School</t>
  </si>
  <si>
    <t>7500 Buffham Rd, Seville, Ohio, 44273</t>
  </si>
  <si>
    <t>7500 Buffham Rd</t>
  </si>
  <si>
    <t>Mount Vernon Middle School</t>
  </si>
  <si>
    <t>302 Yellow Jacket Drive, Mount Vernon, Ohio, 43050</t>
  </si>
  <si>
    <t>302 Yellow Jacket Drive</t>
  </si>
  <si>
    <t>Pleasant Street Elementary School</t>
  </si>
  <si>
    <t>305 E Pleasant St, Mount Vernon, Ohio, 43050</t>
  </si>
  <si>
    <t>305 E Pleasant St</t>
  </si>
  <si>
    <t>Rushwood Elementary School</t>
  </si>
  <si>
    <t>8200 Rushwood Ln, Northfield, Ohio, 44067</t>
  </si>
  <si>
    <t>8200 Rushwood Ln</t>
  </si>
  <si>
    <t>Geo G Dodge Elementary School</t>
  </si>
  <si>
    <t>10225 Ravenna Rd, Twinsburg, Ohio, 44087</t>
  </si>
  <si>
    <t>10225 Ravenna Rd</t>
  </si>
  <si>
    <t>Eastwood Middle School</t>
  </si>
  <si>
    <t>4800 Sugar Ridge Rd, Pemberville, Ohio, 43450</t>
  </si>
  <si>
    <t>4800 Sugar Ridge Rd</t>
  </si>
  <si>
    <t>6200 Noranda Dr, Dayton, Ohio, 45415</t>
  </si>
  <si>
    <t>6200 Noranda Dr</t>
  </si>
  <si>
    <t>45415</t>
  </si>
  <si>
    <t>Mayfield Preschool</t>
  </si>
  <si>
    <t>6116 Wilson Mills Rd, Mayfield Village, Ohio, 44143</t>
  </si>
  <si>
    <t>Mayfield Village</t>
  </si>
  <si>
    <t>7191 Troy Manor Rd, Huber Heights, Ohio, 45424</t>
  </si>
  <si>
    <t>7191 Troy Manor Rd</t>
  </si>
  <si>
    <t>Glendening Elementary School</t>
  </si>
  <si>
    <t>4200 Glendenning Dr, Groveport, Ohio, 43125</t>
  </si>
  <si>
    <t>4200 Glendenning Dr</t>
  </si>
  <si>
    <t>Sedalia Elementary</t>
  </si>
  <si>
    <t>5400 Sedalia Dr, Columbus, Ohio, 43232</t>
  </si>
  <si>
    <t>5400 Sedalia Dr</t>
  </si>
  <si>
    <t>Ansonia Middle School</t>
  </si>
  <si>
    <t>Sheridan Middle School</t>
  </si>
  <si>
    <t>8660 Sheridan Road, Thornville, Ohio, 43076</t>
  </si>
  <si>
    <t>8660 Sheridan Road</t>
  </si>
  <si>
    <t>Waynesville Middle School</t>
  </si>
  <si>
    <t>723 Dayton Rd, Waynesville, Ohio, 45068</t>
  </si>
  <si>
    <t>723 Dayton Rd</t>
  </si>
  <si>
    <t>Triway Middle School</t>
  </si>
  <si>
    <t>3145 Shreve Rd, Wooster, Ohio, 44691</t>
  </si>
  <si>
    <t>3145 Shreve Rd</t>
  </si>
  <si>
    <t>General Sherman Junior High School</t>
  </si>
  <si>
    <t>1930 Election House Rd NW, Lancaster, Ohio, 43130</t>
  </si>
  <si>
    <t>1930 Election House Rd NW</t>
  </si>
  <si>
    <t>Thomas Ewing Junior High School</t>
  </si>
  <si>
    <t>2024 Sheridan Dr, Lancaster, Ohio, 43130</t>
  </si>
  <si>
    <t>2024 Sheridan Dr</t>
  </si>
  <si>
    <t>Orchard Hollow Elementary School</t>
  </si>
  <si>
    <t>8700 Hendricks Rd, Mentor, Ohio, 44060</t>
  </si>
  <si>
    <t>8700 Hendricks Rd</t>
  </si>
  <si>
    <t>Shore Middle School</t>
  </si>
  <si>
    <t>5670 Hopkins Rd, Mentor, Ohio, 44060</t>
  </si>
  <si>
    <t>5670 Hopkins Rd</t>
  </si>
  <si>
    <t>Edgewood Primary School</t>
  </si>
  <si>
    <t>100 Maple Ave, Trenton, Ohio, 45067</t>
  </si>
  <si>
    <t>100 Maple Ave</t>
  </si>
  <si>
    <t>Kenton Ridge Elementary</t>
  </si>
  <si>
    <t>2250 Montego Dr, Springfield, Ohio, 45503</t>
  </si>
  <si>
    <t>2250 Montego Dr</t>
  </si>
  <si>
    <t>Northeastern Elementary School</t>
  </si>
  <si>
    <t>Faircrest Memorial Elementary School</t>
  </si>
  <si>
    <t>616 Faircrest St SW, Canton, Ohio, 44706</t>
  </si>
  <si>
    <t>616 Faircrest St SW</t>
  </si>
  <si>
    <t>Lake Middle / High School</t>
  </si>
  <si>
    <t>709 Market Ave SW, Uniontown, Ohio, 44685</t>
  </si>
  <si>
    <t>709 Market Ave SW</t>
  </si>
  <si>
    <t>Marlington Middle School</t>
  </si>
  <si>
    <t>10325 Moulin Ave NE, Alliance, Ohio, 44601</t>
  </si>
  <si>
    <t>10325 Moulin Ave NE</t>
  </si>
  <si>
    <t>T C Knapp Elementary School</t>
  </si>
  <si>
    <t>5151 Oakcliff St SW, Canton, Ohio, 44706</t>
  </si>
  <si>
    <t>5151 Oakcliff St SW</t>
  </si>
  <si>
    <t>Seneca East Middle School</t>
  </si>
  <si>
    <t>Madison Pre-K</t>
  </si>
  <si>
    <t>Henry F Lamuth Middle School</t>
  </si>
  <si>
    <t>6700 Auburn Rd, Painesville, Ohio, 44077</t>
  </si>
  <si>
    <t>6700 Auburn Rd</t>
  </si>
  <si>
    <t>Troy Intermediate Elementary School</t>
  </si>
  <si>
    <t>237 Belmar Blvd, Avon Lake, Ohio, 44012</t>
  </si>
  <si>
    <t>237 Belmar Blvd</t>
  </si>
  <si>
    <t>Jefferson Area Junior High School</t>
  </si>
  <si>
    <t>Sherwood Elementary School</t>
  </si>
  <si>
    <t>7080 Grantham Way, Cincinnati, Ohio, 45230</t>
  </si>
  <si>
    <t>7080 Grantham Way</t>
  </si>
  <si>
    <t>Benjamin Logan Middle School</t>
  </si>
  <si>
    <t>4626 County Road 26, Bellefontaine, Ohio, 43311</t>
  </si>
  <si>
    <t>4626 County Road 26</t>
  </si>
  <si>
    <t>Spencerville Middle School</t>
  </si>
  <si>
    <t>Howland Glen Elementary School</t>
  </si>
  <si>
    <t>8000 Bridle Ln NE, Warren, Ohio, 44484</t>
  </si>
  <si>
    <t>8000 Bridle Ln NE</t>
  </si>
  <si>
    <t>Howland Springs Elementary School</t>
  </si>
  <si>
    <t>9500 Howland Springs Rd SE, Warren, Ohio, 44484</t>
  </si>
  <si>
    <t>9500 Howland Springs Rd SE</t>
  </si>
  <si>
    <t>Southeast Primary Elementary School</t>
  </si>
  <si>
    <t>8301 Tallmadge Rd, Ravenna, Ohio, 44266</t>
  </si>
  <si>
    <t>8301 Tallmadge Rd</t>
  </si>
  <si>
    <t>Pleasant View Middle School</t>
  </si>
  <si>
    <t>2767 Holt Rd, Grove City, Ohio, 43123</t>
  </si>
  <si>
    <t>2767 Holt Rd</t>
  </si>
  <si>
    <t>Beulah Park Middle School</t>
  </si>
  <si>
    <t>3160 Demorest Rd, Grove City, Ohio, 43123</t>
  </si>
  <si>
    <t>3160 Demorest Rd</t>
  </si>
  <si>
    <t>Finland Middle School</t>
  </si>
  <si>
    <t>1827 Finland Ave, Columbus, Ohio, 43223</t>
  </si>
  <si>
    <t>1827 Finland Ave</t>
  </si>
  <si>
    <t>215 Norton Rd, Columbus, Ohio, 43228</t>
  </si>
  <si>
    <t>215 Norton Rd</t>
  </si>
  <si>
    <t>Roseville Elementary  School</t>
  </si>
  <si>
    <t>35 Elm St, Roseville, Ohio, 43777</t>
  </si>
  <si>
    <t>Roseville</t>
  </si>
  <si>
    <t>43777</t>
  </si>
  <si>
    <t>Maysville Middle School</t>
  </si>
  <si>
    <t>3725 Panther Dr, Zanesville, Ohio, 43701</t>
  </si>
  <si>
    <t>3725 Panther Dr</t>
  </si>
  <si>
    <t>Meigs Middle School</t>
  </si>
  <si>
    <t>42353 Charles Chancey Dr, Pomeroy, Ohio, 45769</t>
  </si>
  <si>
    <t>42353 Charles Chancey Dr</t>
  </si>
  <si>
    <t>Franklin Junior High School</t>
  </si>
  <si>
    <t>Mayfield Middle School</t>
  </si>
  <si>
    <t>1123 Som Center Rd, Cleveland, Ohio, 44124</t>
  </si>
  <si>
    <t>1123 Som Center Rd</t>
  </si>
  <si>
    <t>Sylvania Mccord Junior High School</t>
  </si>
  <si>
    <t>4304 N Mccord Rd, Sylvania, Ohio, 43560</t>
  </si>
  <si>
    <t>4304 N Mccord Rd</t>
  </si>
  <si>
    <t>Orrville Middle School</t>
  </si>
  <si>
    <t>801 Mineral Spring St, Orrville, Ohio, 44667</t>
  </si>
  <si>
    <t>801 Mineral Spring St</t>
  </si>
  <si>
    <t>Lexington Junior High School</t>
  </si>
  <si>
    <t>90 Frederick St, Lexington, Ohio, 44904</t>
  </si>
  <si>
    <t>90 Frederick St</t>
  </si>
  <si>
    <t>Fredericktown Middle School</t>
  </si>
  <si>
    <t>Learwood Middle School</t>
  </si>
  <si>
    <t>340 Lear Rd, Avon Lake, Ohio, 44012</t>
  </si>
  <si>
    <t>340 Lear Rd</t>
  </si>
  <si>
    <t>Bellefontaine Middle School</t>
  </si>
  <si>
    <t>1201 Ludlow Rd, Bellefontaine, Ohio, 43311</t>
  </si>
  <si>
    <t>1201 Ludlow Rd</t>
  </si>
  <si>
    <t>Baker Middle School</t>
  </si>
  <si>
    <t>200 Lincoln Dr, Fairborn, Ohio, 45324</t>
  </si>
  <si>
    <t>200 Lincoln Dr</t>
  </si>
  <si>
    <t>Grand River Academy</t>
  </si>
  <si>
    <t>3042 College St, Austinburg, Ohio, 44010</t>
  </si>
  <si>
    <t>3042 College St</t>
  </si>
  <si>
    <t>Lake Ridge Academy</t>
  </si>
  <si>
    <t>37501 Center Ridge Rd, North Ridgeville, Ohio, 44039</t>
  </si>
  <si>
    <t>37501 Center Ridge Rd</t>
  </si>
  <si>
    <t>Walsh Jesuit</t>
  </si>
  <si>
    <t>4550 Wyoga Lake Rd, Cuyahoga Falls, Ohio, 44224</t>
  </si>
  <si>
    <t>4550 Wyoga Lake Rd</t>
  </si>
  <si>
    <t>220 S Walnut St, Marysville, Ohio, 43040</t>
  </si>
  <si>
    <t>220 S Walnut St</t>
  </si>
  <si>
    <t>Hillel Academy Of Dayton</t>
  </si>
  <si>
    <t>305 Sugar Camp Cir, Dayton, Ohio, 45409</t>
  </si>
  <si>
    <t>305 Sugar Camp Cir</t>
  </si>
  <si>
    <t>Rockwern Academy</t>
  </si>
  <si>
    <t>8401 Montgomery Rd, Cincinnati, Ohio, 45236</t>
  </si>
  <si>
    <t>8401 Montgomery Rd</t>
  </si>
  <si>
    <t>Ridgewood School  The</t>
  </si>
  <si>
    <t>2420 Saint Paris Pike, Springfield, Ohio, 45504</t>
  </si>
  <si>
    <t>2420 Saint Paris Pike</t>
  </si>
  <si>
    <t>Ridgewood School, The</t>
  </si>
  <si>
    <t>Columbus Torah Academy</t>
  </si>
  <si>
    <t>181 Noe Bixby Rd, Columbus, Ohio, 43213</t>
  </si>
  <si>
    <t>181 Noe Bixby Rd</t>
  </si>
  <si>
    <t>Luis Munoz Marin School</t>
  </si>
  <si>
    <t>1701 Castle Ave, Cleveland, Ohio, 44113</t>
  </si>
  <si>
    <t>1701 Castle Ave</t>
  </si>
  <si>
    <t>Joseph M Gallagher School</t>
  </si>
  <si>
    <t>4016 Woodbine Ave, Cleveland, Ohio, 44113</t>
  </si>
  <si>
    <t>4016 Woodbine Ave</t>
  </si>
  <si>
    <t>Bundy Elementary School</t>
  </si>
  <si>
    <t>527 S Missouri Ave, Wellston, Ohio, 45692</t>
  </si>
  <si>
    <t>527 S Missouri Ave</t>
  </si>
  <si>
    <t>Garrett Morgan School of Engineering &amp; Innovation</t>
  </si>
  <si>
    <t>4600 Detroit Ave, Cleveland, Ohio, 44102</t>
  </si>
  <si>
    <t>4600 Detroit Ave</t>
  </si>
  <si>
    <t>Jefferson Middle School</t>
  </si>
  <si>
    <t>227 N Jefferson St, Delphos, Ohio, 45833</t>
  </si>
  <si>
    <t>227 N Jefferson St</t>
  </si>
  <si>
    <t>Paulding Elementary School</t>
  </si>
  <si>
    <t>Worthington Hills Elementary School</t>
  </si>
  <si>
    <t>1221 Candlewood Dr, Columbus, Ohio, 43235</t>
  </si>
  <si>
    <t>1221 Candlewood Dr</t>
  </si>
  <si>
    <t>Amherst Junior High School</t>
  </si>
  <si>
    <t>548 Milan Ave, Amherst, Ohio, 44001</t>
  </si>
  <si>
    <t>548 Milan Ave</t>
  </si>
  <si>
    <t>Tinora Middle School</t>
  </si>
  <si>
    <t>Winton Woods High School</t>
  </si>
  <si>
    <t>Orchard Middle School</t>
  </si>
  <si>
    <t>6800 Som Center Rd, Solon, Ohio, 44139</t>
  </si>
  <si>
    <t>6800 Som Center Rd</t>
  </si>
  <si>
    <t>Teays Valley East Middle School</t>
  </si>
  <si>
    <t>655 Viking Way, Ashville, Ohio, 43103</t>
  </si>
  <si>
    <t>655 Viking Way</t>
  </si>
  <si>
    <t>Westfall Middle School</t>
  </si>
  <si>
    <t>19545 Pherson Pike, Williamsport, Ohio, 43164</t>
  </si>
  <si>
    <t>19545 Pherson Pike</t>
  </si>
  <si>
    <t>Woodlands Elementary School</t>
  </si>
  <si>
    <t>1810 Maple Ave, Huron, Ohio, 44839</t>
  </si>
  <si>
    <t>1810 Maple Ave</t>
  </si>
  <si>
    <t>1670 Wonderlick Rd, Lima, Ohio, 45805</t>
  </si>
  <si>
    <t>1670 Wonderlick Rd</t>
  </si>
  <si>
    <t>7 Elm St, Poland, Ohio, 44514</t>
  </si>
  <si>
    <t>7 Elm St</t>
  </si>
  <si>
    <t>Middletown Middle School</t>
  </si>
  <si>
    <t>551 N Breiel Blvd, Middletown, Ohio, 45042</t>
  </si>
  <si>
    <t>551 N Breiel Blvd</t>
  </si>
  <si>
    <t>Harrison Middle School</t>
  </si>
  <si>
    <t>9840 West Rd, Harrison, Ohio, 45030</t>
  </si>
  <si>
    <t>9840 West Rd</t>
  </si>
  <si>
    <t>Lake Catholic</t>
  </si>
  <si>
    <t>6733 Reynolds Rd, Mentor, Ohio, 44060</t>
  </si>
  <si>
    <t>6733 Reynolds Rd</t>
  </si>
  <si>
    <t>Joseph and Florence Mandel Jewish Day School</t>
  </si>
  <si>
    <t>26500 Shaker Blvd, Beachwood, Ohio, 44122</t>
  </si>
  <si>
    <t>26500 Shaker Blvd</t>
  </si>
  <si>
    <t>Cleveland School Of The Arts High School</t>
  </si>
  <si>
    <t>2064 Stearns Rd, Cleveland, Ohio, 44106</t>
  </si>
  <si>
    <t>2064 Stearns Rd</t>
  </si>
  <si>
    <t>Barnesville Middle School</t>
  </si>
  <si>
    <t>970 Shamrock Dr, Barnesville, Ohio, 43713</t>
  </si>
  <si>
    <t>970 Shamrock Dr</t>
  </si>
  <si>
    <t>Charles Huber Elementary School</t>
  </si>
  <si>
    <t>8895 Emeraldgate Dr, Huber Heights, Ohio, 45424</t>
  </si>
  <si>
    <t>8895 Emeraldgate Dr</t>
  </si>
  <si>
    <t>Eastern Elementary School</t>
  </si>
  <si>
    <t>155 Castor Rd, Lexington, Ohio, 44904</t>
  </si>
  <si>
    <t>155 Castor Rd</t>
  </si>
  <si>
    <t>Pymatuning Valley Middle School</t>
  </si>
  <si>
    <t>5445 Rt 6, Andover, Ohio, 44003</t>
  </si>
  <si>
    <t>5445 Rt 6</t>
  </si>
  <si>
    <t>Hickory Ridge Elementary School</t>
  </si>
  <si>
    <t>4628 Hickory Ridge Ave, Brunswick, Ohio, 44212</t>
  </si>
  <si>
    <t>4628 Hickory Ridge Ave</t>
  </si>
  <si>
    <t>10761 Pippin Rd, Cincinnati, Ohio, 45231</t>
  </si>
  <si>
    <t>10761 Pippin Rd</t>
  </si>
  <si>
    <t>Laurelville Elementary School</t>
  </si>
  <si>
    <t>Newton Falls Junior High School</t>
  </si>
  <si>
    <t>907 1/2 Milton Blvd, Newton Falls, Ohio, 44444</t>
  </si>
  <si>
    <t>907 1/2 Milton Blvd</t>
  </si>
  <si>
    <t>Westwood Middle School</t>
  </si>
  <si>
    <t>42350 Adelbert St, Elyria, Ohio, 44035</t>
  </si>
  <si>
    <t>42350 Adelbert St</t>
  </si>
  <si>
    <t>Chapman Elementary School</t>
  </si>
  <si>
    <t>13883 Drake Rd, Strongsville, Ohio, 44136</t>
  </si>
  <si>
    <t>13883 Drake Rd</t>
  </si>
  <si>
    <t>Dublin Coffman High School</t>
  </si>
  <si>
    <t>6780 Coffman Rd, Dublin, Ohio, 43017</t>
  </si>
  <si>
    <t>6780 Coffman Rd</t>
  </si>
  <si>
    <t>New Albany Middle School</t>
  </si>
  <si>
    <t>6600 E Dublin Granville Rd, New Albany, Ohio, 43054</t>
  </si>
  <si>
    <t>6600 E Dublin Granville Rd</t>
  </si>
  <si>
    <t>West Holmes Middle School</t>
  </si>
  <si>
    <t>10901 State Route 39, Millersburg, Ohio, 44654</t>
  </si>
  <si>
    <t>10901 State Route 39</t>
  </si>
  <si>
    <t>Fairfield South Elementary School</t>
  </si>
  <si>
    <t>5460 Bibury Rd, Fairfield, Ohio, 45014</t>
  </si>
  <si>
    <t>5460 Bibury Rd</t>
  </si>
  <si>
    <t>Bellflower Elementary School</t>
  </si>
  <si>
    <t>6655 Reynolds Rd, Mentor, Ohio, 44060</t>
  </si>
  <si>
    <t>6655 Reynolds Rd</t>
  </si>
  <si>
    <t>Norwood Middle School</t>
  </si>
  <si>
    <t>2060 Sherman Ave, Norwood, Ohio, 45212</t>
  </si>
  <si>
    <t>2060 Sherman Ave</t>
  </si>
  <si>
    <t>New Lexington High School</t>
  </si>
  <si>
    <t>2547 Panther Dr NE, New Lexington, Ohio, 43764</t>
  </si>
  <si>
    <t>2547 Panther Dr NE</t>
  </si>
  <si>
    <t>Carlisle Junior High School</t>
  </si>
  <si>
    <t>Lake Center Christian School</t>
  </si>
  <si>
    <t>12893 Kaufman Ave NW, Hartville, Ohio, 44632</t>
  </si>
  <si>
    <t>12893 Kaufman Ave NW</t>
  </si>
  <si>
    <t>Hartville</t>
  </si>
  <si>
    <t>44632</t>
  </si>
  <si>
    <t>Central Baptist Academy - Elementary</t>
  </si>
  <si>
    <t>7645 Winton Rd, Cincinnati, Ohio, 45224</t>
  </si>
  <si>
    <t>7645 Winton Rd</t>
  </si>
  <si>
    <t>The Childrens Home of Cincinnati</t>
  </si>
  <si>
    <t>5050 Madison Rd, Cincinnati, Ohio, 45227</t>
  </si>
  <si>
    <t>5050 Madison Rd</t>
  </si>
  <si>
    <t>Heritage Christian</t>
  </si>
  <si>
    <t>2107 6th St SW, Canton, Ohio, 44706</t>
  </si>
  <si>
    <t>2107 6th St SW</t>
  </si>
  <si>
    <t>Troy Junior High School</t>
  </si>
  <si>
    <t>556 Adams St, Troy, Ohio, 45373</t>
  </si>
  <si>
    <t>556 Adams St</t>
  </si>
  <si>
    <t>Trimble Junior High</t>
  </si>
  <si>
    <t>Buckeye Junior High School</t>
  </si>
  <si>
    <t>3024 Columbia Rd, Medina, Ohio, 44256</t>
  </si>
  <si>
    <t>3024 Columbia Rd</t>
  </si>
  <si>
    <t>Ayer Elementary School</t>
  </si>
  <si>
    <t>8471 Forest Rd, Cincinnati, Ohio, 45255</t>
  </si>
  <si>
    <t>8471 Forest Rd</t>
  </si>
  <si>
    <t>Springboro Junior High School</t>
  </si>
  <si>
    <t>1605 S Main St, Springboro, Ohio, 45066</t>
  </si>
  <si>
    <t>1605 S Main St</t>
  </si>
  <si>
    <t>Violet Elementary School</t>
  </si>
  <si>
    <t>8855 Education Dr, Pickerington, Ohio, 43147</t>
  </si>
  <si>
    <t>8855 Education Dr</t>
  </si>
  <si>
    <t>Hopewell Junior School</t>
  </si>
  <si>
    <t>8200 Cox Rd, West Chester, Ohio, 45069</t>
  </si>
  <si>
    <t>8200 Cox Rd</t>
  </si>
  <si>
    <t>Crenshaw Middle School</t>
  </si>
  <si>
    <t>2525 19th St NE, Canton, Ohio, 44705</t>
  </si>
  <si>
    <t>2525 19th St NE</t>
  </si>
  <si>
    <t>Unioto Middle School</t>
  </si>
  <si>
    <t>160 Moundsville Rd, Chillicothe, Ohio, 45601</t>
  </si>
  <si>
    <t>160 Moundsville Rd</t>
  </si>
  <si>
    <t>Pointview Elementary School</t>
  </si>
  <si>
    <t>720 Pointview Dr, Westerville, Ohio, 43081</t>
  </si>
  <si>
    <t>720 Pointview Dr</t>
  </si>
  <si>
    <t>Marion C Seltzer Elementary School</t>
  </si>
  <si>
    <t>1468 W 98th St, Cleveland, Ohio, 44102</t>
  </si>
  <si>
    <t>1468 W 98th St</t>
  </si>
  <si>
    <t>Marion-Sterling Elementary School</t>
  </si>
  <si>
    <t>3033 Central Ave, Cleveland, Ohio, 44115</t>
  </si>
  <si>
    <t>3033 Central Ave</t>
  </si>
  <si>
    <t>44115</t>
  </si>
  <si>
    <t>Union Furnace Elementary School</t>
  </si>
  <si>
    <t>36140 Limebank Road, Union Furnace, Ohio, 43158</t>
  </si>
  <si>
    <t>36140 Limebank Road</t>
  </si>
  <si>
    <t>Union Furnace</t>
  </si>
  <si>
    <t>43158</t>
  </si>
  <si>
    <t>Flat Ridge Elementary School</t>
  </si>
  <si>
    <t>2609 CO Rd 600, Charm, Ohio, 44617</t>
  </si>
  <si>
    <t>2609 CO Rd 600</t>
  </si>
  <si>
    <t>Charm</t>
  </si>
  <si>
    <t>44617</t>
  </si>
  <si>
    <t>The Lippman School</t>
  </si>
  <si>
    <t>750 White Pond Dr, Akron, Ohio, 44320</t>
  </si>
  <si>
    <t>750 White Pond Dr</t>
  </si>
  <si>
    <t>Ratner School  The</t>
  </si>
  <si>
    <t>27575 Shaker Blvd, Pepper Pike, Ohio, 44124</t>
  </si>
  <si>
    <t>27575 Shaker Blvd</t>
  </si>
  <si>
    <t>Bishop Leibold E And W Campus</t>
  </si>
  <si>
    <t>6666 Springboro Pike, Dayton, Ohio, 45449</t>
  </si>
  <si>
    <t>6666 Springboro Pike</t>
  </si>
  <si>
    <t>Covington Middle School</t>
  </si>
  <si>
    <t>Hylen Souders Elementary School</t>
  </si>
  <si>
    <t>4121 Miller Paul Rd, Galena, Ohio, 43021</t>
  </si>
  <si>
    <t>4121 Miller Paul Rd</t>
  </si>
  <si>
    <t>Galena</t>
  </si>
  <si>
    <t>43021</t>
  </si>
  <si>
    <t>Tippecanoe Middle School</t>
  </si>
  <si>
    <t>555 N Hyatt St, Tipp City, Ohio, 45371</t>
  </si>
  <si>
    <t>555 N Hyatt St</t>
  </si>
  <si>
    <t>Jackson Intermediate</t>
  </si>
  <si>
    <t>9370 Lancer Rd, Hebron, Ohio, 43025</t>
  </si>
  <si>
    <t>9370 Lancer Rd</t>
  </si>
  <si>
    <t>Upper Sandusky Middle School</t>
  </si>
  <si>
    <t>Van Cleve Elementary School</t>
  </si>
  <si>
    <t>617 E Main St, Troy, Ohio, 45373</t>
  </si>
  <si>
    <t>617 E Main St</t>
  </si>
  <si>
    <t>Willyard Elementary School</t>
  </si>
  <si>
    <t>680 Summit Rd, Ravenna, Ohio, 44266</t>
  </si>
  <si>
    <t>680 Summit Rd</t>
  </si>
  <si>
    <t>Dayton Christian School</t>
  </si>
  <si>
    <t>Baldwin Road Junior High School</t>
  </si>
  <si>
    <t>2300 Baldwin Pl, Reynoldsburg, Ohio, 43068</t>
  </si>
  <si>
    <t>2300 Baldwin Pl</t>
  </si>
  <si>
    <t>Jackson-Milton Elementary School</t>
  </si>
  <si>
    <t>14110 Mahoning Ave, North Jackson, Ohio, 44451</t>
  </si>
  <si>
    <t>14110 Mahoning Ave</t>
  </si>
  <si>
    <t>Sycamore Junior High School</t>
  </si>
  <si>
    <t>5757 Cooper Rd, Cincinnati, Ohio, 45242</t>
  </si>
  <si>
    <t>5757 Cooper Rd</t>
  </si>
  <si>
    <t>Winton Woods Elementary School</t>
  </si>
  <si>
    <t>David H. Ponitz Career Technology  Center</t>
  </si>
  <si>
    <t>741 Washington St, Dayton, Ohio, 45402</t>
  </si>
  <si>
    <t>741 Washington St</t>
  </si>
  <si>
    <t>Harmon Middle School</t>
  </si>
  <si>
    <t>130 Aurora Hudson Rd, Aurora, Ohio, 44202</t>
  </si>
  <si>
    <t>130 Aurora Hudson Rd</t>
  </si>
  <si>
    <t>799 E Walnut St, Westerville, Ohio, 43081</t>
  </si>
  <si>
    <t>799 E Walnut St</t>
  </si>
  <si>
    <t>Robert Frost Elementary School</t>
  </si>
  <si>
    <t>270 North Spring Rd, Westerville, Ohio, 43081</t>
  </si>
  <si>
    <t>270 North Spring Rd</t>
  </si>
  <si>
    <t>Weisenborn Junior High</t>
  </si>
  <si>
    <t>6061 Troy Pike, Huber Heights, Ohio, 45424</t>
  </si>
  <si>
    <t>6061 Troy Pike</t>
  </si>
  <si>
    <t>Dalton Middle School</t>
  </si>
  <si>
    <t>Tri-Valley Middle School</t>
  </si>
  <si>
    <t>1360 Main St, Dresden, Ohio, 43821</t>
  </si>
  <si>
    <t>1360 Main St</t>
  </si>
  <si>
    <t>Mercy Montessori Center</t>
  </si>
  <si>
    <t>2335 Grandview Ave, Cincinnati, Ohio, 45206</t>
  </si>
  <si>
    <t>2335 Grandview Ave</t>
  </si>
  <si>
    <t>Legacy Christian Academy</t>
  </si>
  <si>
    <t>1101 Wesley Ave, Xenia, Ohio, 45385</t>
  </si>
  <si>
    <t>1101 Wesley Ave</t>
  </si>
  <si>
    <t>Springer School &amp; Center</t>
  </si>
  <si>
    <t>2121 Madison Rd, Cincinnati, Ohio, 45208</t>
  </si>
  <si>
    <t>2121 Madison Rd</t>
  </si>
  <si>
    <t>Cuyahoga Valley Christian Acad</t>
  </si>
  <si>
    <t>4687 Wyoga Lake Rd, Cuyahoga Falls, Ohio, 44224</t>
  </si>
  <si>
    <t>4687 Wyoga Lake Rd</t>
  </si>
  <si>
    <t>Mansfield Christian School</t>
  </si>
  <si>
    <t>500 Logan Rd, Mansfield, Ohio, 44907</t>
  </si>
  <si>
    <t>500 Logan Rd</t>
  </si>
  <si>
    <t>The Miami Valley School</t>
  </si>
  <si>
    <t>5151 Denise Dr, Dayton, Ohio, 45429</t>
  </si>
  <si>
    <t>5151 Denise Dr</t>
  </si>
  <si>
    <t>Briggs High School</t>
  </si>
  <si>
    <t>2555 Briggs Rd, Columbus, Ohio, 43223</t>
  </si>
  <si>
    <t>2555 Briggs Rd</t>
  </si>
  <si>
    <t>5175 Refugee Rd, Columbus, Ohio, 43232</t>
  </si>
  <si>
    <t>5175 Refugee Rd</t>
  </si>
  <si>
    <t>Innis Elementary School</t>
  </si>
  <si>
    <t>3399 Kohr Blvd, Columbus, Ohio, 43224</t>
  </si>
  <si>
    <t>3399 Kohr Blvd</t>
  </si>
  <si>
    <t>2901 Whitlow Rd, Columbus, Ohio, 43232</t>
  </si>
  <si>
    <t>2901 Whitlow Rd</t>
  </si>
  <si>
    <t>Ridgedale Elementary School</t>
  </si>
  <si>
    <t>3105 Hillman Ford Rd, Morral, Ohio, 43337</t>
  </si>
  <si>
    <t>3105 Hillman Ford Rd</t>
  </si>
  <si>
    <t>Versailles Middle School</t>
  </si>
  <si>
    <t>East Muskingum Middle School</t>
  </si>
  <si>
    <t>13120 John Glenn School Rd, New Concord, Ohio, 43762</t>
  </si>
  <si>
    <t>13120 John Glenn School Rd</t>
  </si>
  <si>
    <t>Oak Harbor Middle School</t>
  </si>
  <si>
    <t>315 N Church St, Oak Harbor, Ohio, 43449</t>
  </si>
  <si>
    <t>315 N Church St</t>
  </si>
  <si>
    <t>West Muskingum Middle School</t>
  </si>
  <si>
    <t>100 Kimes Rd, Zanesville, Ohio, 43701</t>
  </si>
  <si>
    <t>100 Kimes Rd</t>
  </si>
  <si>
    <t>Licking Heights Middle School</t>
  </si>
  <si>
    <t>4000 Mink St SW, Pataskala, Ohio, 43062</t>
  </si>
  <si>
    <t>4000 Mink St SW</t>
  </si>
  <si>
    <t>Watkins Middle School</t>
  </si>
  <si>
    <t>8868 Watkins Rd SW, Etna, Ohio, 43062</t>
  </si>
  <si>
    <t>8868 Watkins Rd SW</t>
  </si>
  <si>
    <t>833 Guilford Blvd, Medina, Ohio, 44256</t>
  </si>
  <si>
    <t>833 Guilford Blvd</t>
  </si>
  <si>
    <t>Groveport Madison Middle School South</t>
  </si>
  <si>
    <t>4400 Glendenning Dr, Groveport, Ohio, 43125</t>
  </si>
  <si>
    <t>4400 Glendenning Dr</t>
  </si>
  <si>
    <t>Bloom-Carroll Middle School</t>
  </si>
  <si>
    <t>71 S Beaver St, Carroll, Ohio, 43112</t>
  </si>
  <si>
    <t>71 S Beaver St</t>
  </si>
  <si>
    <t>Groveport Madison Middle School North</t>
  </si>
  <si>
    <t>5474 Sedalia Dr, Columbus, Ohio, 43232</t>
  </si>
  <si>
    <t>5474 Sedalia Dr</t>
  </si>
  <si>
    <t>Pfeiffer Intermediate School</t>
  </si>
  <si>
    <t>4315 13th St SW, Massillon, Ohio, 44646</t>
  </si>
  <si>
    <t>4315 13th St SW</t>
  </si>
  <si>
    <t>Westerville-North High School</t>
  </si>
  <si>
    <t>950 County Line Rd, Westerville, Ohio, 43081</t>
  </si>
  <si>
    <t>950 County Line Rd</t>
  </si>
  <si>
    <t>Jackson Memorial Middle School</t>
  </si>
  <si>
    <t>7355 Mudbrook Rd NW, Massillon, Ohio, 44646</t>
  </si>
  <si>
    <t>7355 Mudbrook Rd NW</t>
  </si>
  <si>
    <t>Fairfield Union Rushville Middle School</t>
  </si>
  <si>
    <t>6409 Cincinnati Zanesville Rd NE, Lancaster, Ohio, 43130</t>
  </si>
  <si>
    <t>6409 Cincinnati Zanesville Rd NE</t>
  </si>
  <si>
    <t>Lial Catholic School</t>
  </si>
  <si>
    <t>5700 Davis Rd, Whitehouse, Ohio, 43571</t>
  </si>
  <si>
    <t>5700 Davis Rd</t>
  </si>
  <si>
    <t>St Veronica</t>
  </si>
  <si>
    <t>4475 Mount Carmel Tobasco Rd, Cincinnati, Ohio, 45244</t>
  </si>
  <si>
    <t>4475 Mount Carmel Tobasco Rd</t>
  </si>
  <si>
    <t>Bethel Middle School</t>
  </si>
  <si>
    <t>Ramah Christian Academy</t>
  </si>
  <si>
    <t>4770 Lee Rd, Cleveland, Ohio, 44128</t>
  </si>
  <si>
    <t>4770 Lee Rd</t>
  </si>
  <si>
    <t>Delaware Christian</t>
  </si>
  <si>
    <t>45 Belle Ave, Delaware, Ohio, 43015</t>
  </si>
  <si>
    <t>45 Belle Ave</t>
  </si>
  <si>
    <t xml:space="preserve">Kenneth W Clement </t>
  </si>
  <si>
    <t>14311 Woodworth Rd, Cleveland, Ohio, 44112</t>
  </si>
  <si>
    <t>14311 Woodworth Rd</t>
  </si>
  <si>
    <t>Fort Hayes Arts and Academic HS</t>
  </si>
  <si>
    <t>546 Jack Gibbs Blvd, Columbus, Ohio, 43215</t>
  </si>
  <si>
    <t>546 Jack Gibbs Blvd</t>
  </si>
  <si>
    <t>Ashland Christian</t>
  </si>
  <si>
    <t>1144 W Main St, Ashland, Ohio, 44805</t>
  </si>
  <si>
    <t>1144 W Main St</t>
  </si>
  <si>
    <t>W O Cline Elementary School</t>
  </si>
  <si>
    <t>99 Virginia Ave, Centerville, Ohio, 45458</t>
  </si>
  <si>
    <t>99 Virginia Ave</t>
  </si>
  <si>
    <t>Valley Christian School</t>
  </si>
  <si>
    <t>4401 Southern Blvd, Youngstown, Ohio, 44512</t>
  </si>
  <si>
    <t>4401 Southern Blvd</t>
  </si>
  <si>
    <t>Liberty Union Middle School</t>
  </si>
  <si>
    <t>994 S Main St, Baltimore, Ohio, 43105</t>
  </si>
  <si>
    <t>994 S Main St</t>
  </si>
  <si>
    <t>East Broadway Elementary School</t>
  </si>
  <si>
    <t>1755 E Broadway St, Toledo, Ohio, 43605</t>
  </si>
  <si>
    <t>1755 E Broadway St</t>
  </si>
  <si>
    <t>Old West End Academy Elementary School</t>
  </si>
  <si>
    <t>3131 Cambridge St, Toledo, Ohio, 43610</t>
  </si>
  <si>
    <t>3131 Cambridge St</t>
  </si>
  <si>
    <t>Turpin High School</t>
  </si>
  <si>
    <t>2650 Bartels Rd, Cincinnati, Ohio, 45244</t>
  </si>
  <si>
    <t>2650 Bartels Rd</t>
  </si>
  <si>
    <t>5700 Jaycox Rd, North Ridgeville, Ohio, 44039</t>
  </si>
  <si>
    <t>5700 Jaycox Rd</t>
  </si>
  <si>
    <t>Beechcroft High School</t>
  </si>
  <si>
    <t>6100 Beechcroft Rd, Columbus, Ohio, 43229</t>
  </si>
  <si>
    <t>6100 Beechcroft Rd</t>
  </si>
  <si>
    <t>Centennial High School</t>
  </si>
  <si>
    <t>1441 Bethel Rd, Columbus, Ohio, 43220</t>
  </si>
  <si>
    <t>1441 Bethel Rd</t>
  </si>
  <si>
    <t>Gables Elementary School</t>
  </si>
  <si>
    <t>1680 Becket Ave, Columbus, Ohio, 43235</t>
  </si>
  <si>
    <t>1680 Becket Ave</t>
  </si>
  <si>
    <t>Sylvania Southview High School</t>
  </si>
  <si>
    <t>7225 Sylvania Ave, Sylvania, Ohio, 43560</t>
  </si>
  <si>
    <t>7225 Sylvania Ave</t>
  </si>
  <si>
    <t>Kenton Ridge Middle/High School</t>
  </si>
  <si>
    <t>School For Creative and Performing Arts</t>
  </si>
  <si>
    <t>108 W Central Pkwy, Cincinnati, Ohio, 45202</t>
  </si>
  <si>
    <t>108 W Central Pkwy</t>
  </si>
  <si>
    <t>Head Start</t>
  </si>
  <si>
    <t>Zion Lutheran</t>
  </si>
  <si>
    <t>630 Cuthbert Rd, Toledo, Ohio, 43607</t>
  </si>
  <si>
    <t>630 Cuthbert Rd</t>
  </si>
  <si>
    <t>Lawrence School</t>
  </si>
  <si>
    <t>1551 E Wallings Rd, Broadview Heights, Ohio, 44147</t>
  </si>
  <si>
    <t>1551 E Wallings Rd</t>
  </si>
  <si>
    <t>Magsig Middle School</t>
  </si>
  <si>
    <t>192 W Franklin St, Centerville, Ohio, 45459</t>
  </si>
  <si>
    <t>192 W Franklin St</t>
  </si>
  <si>
    <t>Mifflin Alternative Middle School</t>
  </si>
  <si>
    <t>3000 Agler Rd, Columbus, Ohio, 43219</t>
  </si>
  <si>
    <t>3000 Agler Rd</t>
  </si>
  <si>
    <t>Avalon Elementary School</t>
  </si>
  <si>
    <t>5220 Avalon Ave, Columbus, Ohio, 43229</t>
  </si>
  <si>
    <t>5220 Avalon Ave</t>
  </si>
  <si>
    <t>First Baptist Christian</t>
  </si>
  <si>
    <t>11400 Lagrange Rd, Elyria, Ohio, 44035</t>
  </si>
  <si>
    <t>11400 Lagrange Rd</t>
  </si>
  <si>
    <t>East Liverpool Christian School</t>
  </si>
  <si>
    <t>46682 Florence St, East Liverpool, Ohio, 43920</t>
  </si>
  <si>
    <t>46682 Florence St</t>
  </si>
  <si>
    <t>Bexley Middle School</t>
  </si>
  <si>
    <t>300 S Cassingham Rd, Bexley, Ohio, 43209</t>
  </si>
  <si>
    <t>300 S Cassingham Rd</t>
  </si>
  <si>
    <t>Spaulding Elementary School</t>
  </si>
  <si>
    <t>6755 Linton Rd, Goshen, Ohio, 45122</t>
  </si>
  <si>
    <t>6755 Linton Rd</t>
  </si>
  <si>
    <t>Zanesville Seventh-Day Advent</t>
  </si>
  <si>
    <t>824 Taylor St, Zanesville, Ohio, 43701</t>
  </si>
  <si>
    <t>824 Taylor St</t>
  </si>
  <si>
    <t>Piqua Seventh-Day Adventist</t>
  </si>
  <si>
    <t>4020 W State Route 185, Piqua, Ohio, 45356</t>
  </si>
  <si>
    <t>4020 W State Route 185</t>
  </si>
  <si>
    <t>Eastwood Seventh-day Adventist Junior Academy</t>
  </si>
  <si>
    <t>6350 S Sunbury Rd, Westerville, Ohio, 43081</t>
  </si>
  <si>
    <t>6350 S Sunbury Rd</t>
  </si>
  <si>
    <t>Woodford Academy</t>
  </si>
  <si>
    <t>3716 Woodford Rd, Cincinnati, Ohio, 45213</t>
  </si>
  <si>
    <t>3716 Woodford Rd</t>
  </si>
  <si>
    <t>Cincinnati Christian Schools</t>
  </si>
  <si>
    <t>7474 Morris Rd, Fairfield Township, Ohio, 45011</t>
  </si>
  <si>
    <t>7474 Morris Rd</t>
  </si>
  <si>
    <t>Fairfield Township</t>
  </si>
  <si>
    <t>Canfield Village Middle School</t>
  </si>
  <si>
    <t>42 Wadsworth St, Canfield, Ohio, 44406</t>
  </si>
  <si>
    <t>42 Wadsworth St</t>
  </si>
  <si>
    <t>Crossgates Pre-School</t>
  </si>
  <si>
    <t>3901 Shadylawn Dr, Toledo, Ohio, 43614</t>
  </si>
  <si>
    <t>3901 Shadylawn Dr</t>
  </si>
  <si>
    <t>Springfield Christian</t>
  </si>
  <si>
    <t>501 S Wittenberg Ave, Springfield, Ohio, 45506</t>
  </si>
  <si>
    <t>501 S Wittenberg Ave</t>
  </si>
  <si>
    <t>All Saints Of St John Vianney</t>
  </si>
  <si>
    <t>28702 Euclid Ave, Wickliffe, Ohio, 44092</t>
  </si>
  <si>
    <t>28702 Euclid Ave</t>
  </si>
  <si>
    <t>Ruffing Montessori Ingalls</t>
  </si>
  <si>
    <t>3380 Fairmount Blvd, Cleveland Heights, Ohio, 44118</t>
  </si>
  <si>
    <t>3380 Fairmount Blvd</t>
  </si>
  <si>
    <t>Ruffing Montessori Rocky River</t>
  </si>
  <si>
    <t>1285 Orchard Park Dr, Rocky River, Ohio, 44116</t>
  </si>
  <si>
    <t>1285 Orchard Park Dr</t>
  </si>
  <si>
    <t>Discovery</t>
  </si>
  <si>
    <t>855 Millsboro Rd, Mansfield, Ohio, 44903</t>
  </si>
  <si>
    <t>855 Millsboro Rd</t>
  </si>
  <si>
    <t>Creekside Middle School</t>
  </si>
  <si>
    <t>1111 Nilles Rd, Fairfield, Ohio, 45014</t>
  </si>
  <si>
    <t>1111 Nilles Rd</t>
  </si>
  <si>
    <t>The New School</t>
  </si>
  <si>
    <t>3 Burton Woods Ln, Cincinnati, Ohio, 45229</t>
  </si>
  <si>
    <t>3 Burton Woods Ln</t>
  </si>
  <si>
    <t>9316 Minuteman Way, West Chester, Ohio, 45069</t>
  </si>
  <si>
    <t>9316 Minuteman Way</t>
  </si>
  <si>
    <t>3695 Elm St, Whitehall, Ohio, 43213</t>
  </si>
  <si>
    <t>3695 Elm St</t>
  </si>
  <si>
    <t>Hudson Montessori</t>
  </si>
  <si>
    <t>7545 Darrow Rd, Hudson, Ohio, 44236</t>
  </si>
  <si>
    <t>7545 Darrow Rd</t>
  </si>
  <si>
    <t>Worthington Christian School</t>
  </si>
  <si>
    <t>6670 Worthington Galena Rd, Worthington, Ohio, 43085</t>
  </si>
  <si>
    <t>6670 Worthington Galena Rd</t>
  </si>
  <si>
    <t>Lakeview Middle School</t>
  </si>
  <si>
    <t>Dover Middle School</t>
  </si>
  <si>
    <t>2131 N Wooster Ave, Dover, Ohio, 44622</t>
  </si>
  <si>
    <t>2131 N Wooster Ave</t>
  </si>
  <si>
    <t>Brunswick Memorial Elementary School</t>
  </si>
  <si>
    <t>3845 Magnolia Dr, Brunswick, Ohio, 44212</t>
  </si>
  <si>
    <t>3845 Magnolia Dr</t>
  </si>
  <si>
    <t>Windham Junior High School</t>
  </si>
  <si>
    <t>Southeast Junior High School</t>
  </si>
  <si>
    <t>8540 Tallmadge Rd, Diamond, Ohio, 44412</t>
  </si>
  <si>
    <t>8540 Tallmadge Rd</t>
  </si>
  <si>
    <t>Diamond</t>
  </si>
  <si>
    <t>44412</t>
  </si>
  <si>
    <t>Chapel Hill Christian Green Campus</t>
  </si>
  <si>
    <t>1639 Killian Rd, Akron, Ohio, 44312</t>
  </si>
  <si>
    <t>1639 Killian Rd</t>
  </si>
  <si>
    <t>225 Lincoln St SW, Hartville, Ohio, 44632</t>
  </si>
  <si>
    <t>225 Lincoln St SW</t>
  </si>
  <si>
    <t>27979 White Rd, Perrysburg, Ohio, 43551</t>
  </si>
  <si>
    <t>27979 White Rd</t>
  </si>
  <si>
    <t xml:space="preserve">Coshocton Elementary </t>
  </si>
  <si>
    <t>1203 Cambridge Rd, Coshocton, Ohio, 43812</t>
  </si>
  <si>
    <t>1203 Cambridge Rd</t>
  </si>
  <si>
    <t>Toledo Christian</t>
  </si>
  <si>
    <t>2303 Brookford Dr, Toledo, Ohio, 43614</t>
  </si>
  <si>
    <t>2303 Brookford Dr</t>
  </si>
  <si>
    <t>Fayetteville-Perry Middle School</t>
  </si>
  <si>
    <t>521 S Apple St, Fayetteville, Ohio, 45118</t>
  </si>
  <si>
    <t>521 S Apple St</t>
  </si>
  <si>
    <t>North Baltimore Middle School</t>
  </si>
  <si>
    <t>Valley Christian Academy</t>
  </si>
  <si>
    <t>1037 East Blvd, Aurora, Ohio, 44202</t>
  </si>
  <si>
    <t>1037 East Blvd</t>
  </si>
  <si>
    <t>Lucas Heritage Middle School</t>
  </si>
  <si>
    <t>80 Lucas North Rd, Lucas, Ohio, 44843</t>
  </si>
  <si>
    <t>80 Lucas North Rd</t>
  </si>
  <si>
    <t>Tree Of Life-Clintonville</t>
  </si>
  <si>
    <t>50 Westview Ave, Columbus, Ohio, 43214</t>
  </si>
  <si>
    <t>50 Westview Ave</t>
  </si>
  <si>
    <t>Middletown Christian</t>
  </si>
  <si>
    <t>3011 Union Rd, Franklin, Ohio, 45005</t>
  </si>
  <si>
    <t>3011 Union Rd</t>
  </si>
  <si>
    <t>Massillon Christian</t>
  </si>
  <si>
    <t>965 Overlook Ave SW, Massillon, Ohio, 44647</t>
  </si>
  <si>
    <t>965 Overlook Ave SW</t>
  </si>
  <si>
    <t>Boyd E Smith Elementary School</t>
  </si>
  <si>
    <t>1052 Jer Les St, Milford, Ohio, 45150</t>
  </si>
  <si>
    <t>1052 Jer Les St</t>
  </si>
  <si>
    <t>River View Intermediate School</t>
  </si>
  <si>
    <t>26546 State Route 60, Warsaw, Ohio, 43844</t>
  </si>
  <si>
    <t>26546 State Route 60</t>
  </si>
  <si>
    <t>Deer Run Elementary School</t>
  </si>
  <si>
    <t>8815 Avery Rd, Dublin, Ohio, 43017</t>
  </si>
  <si>
    <t>8815 Avery Rd</t>
  </si>
  <si>
    <t>Meadowbrook Middle School</t>
  </si>
  <si>
    <t>58607 Marietta Rd, Byesville, Ohio, 43723</t>
  </si>
  <si>
    <t>58607 Marietta Rd</t>
  </si>
  <si>
    <t>Parma Heights Christian Acad</t>
  </si>
  <si>
    <t>8971 W Ridgewood Dr, Parma Heights, Ohio, 44130</t>
  </si>
  <si>
    <t>8971 W Ridgewood Dr</t>
  </si>
  <si>
    <t>Gross Schechter Day School</t>
  </si>
  <si>
    <t>27601 Fairmount Blvd, Pepper Pike, Ohio, 44124</t>
  </si>
  <si>
    <t>27601 Fairmount Blvd</t>
  </si>
  <si>
    <t>One School Christian Academy</t>
  </si>
  <si>
    <t>817 N Hamilton Rd, Gahanna, Ohio, 43230</t>
  </si>
  <si>
    <t>817 N Hamilton Rd</t>
  </si>
  <si>
    <t>8081 Saddle Run, Powell, Ohio, 43065</t>
  </si>
  <si>
    <t>8081 Saddle Run</t>
  </si>
  <si>
    <t>Powell</t>
  </si>
  <si>
    <t>43065</t>
  </si>
  <si>
    <t>West Side Montessori</t>
  </si>
  <si>
    <t>7115 W Bancroft St, Toledo, Ohio, 43615</t>
  </si>
  <si>
    <t>7115 W Bancroft St</t>
  </si>
  <si>
    <t>Clintonville Academy</t>
  </si>
  <si>
    <t>3916 Indianola Ave, Columbus, Ohio, 43214</t>
  </si>
  <si>
    <t>3916 Indianola Ave</t>
  </si>
  <si>
    <t>13000 Coventry Ave, Pickerington, Ohio, 43147</t>
  </si>
  <si>
    <t>13000 Coventry Ave</t>
  </si>
  <si>
    <t>Yeshiva Derech Hatorah</t>
  </si>
  <si>
    <t>1508 Warrensville Center Rd, Cleveland Heights, Ohio, 44121</t>
  </si>
  <si>
    <t>1508 Warrensville Center Rd</t>
  </si>
  <si>
    <t>Holy Cross Lutheran School</t>
  </si>
  <si>
    <t>4260 Rocky River Dr, Cleveland, Ohio, 44135</t>
  </si>
  <si>
    <t>4260 Rocky River Dr</t>
  </si>
  <si>
    <t>Tree Of Life-Northridge Branch</t>
  </si>
  <si>
    <t>935 Northridge Rd, Columbus, Ohio, 43224</t>
  </si>
  <si>
    <t>935 Northridge Rd</t>
  </si>
  <si>
    <t>Marburn Academy</t>
  </si>
  <si>
    <t>9555 Johnstown Rd, New Albany, Ohio, 43054</t>
  </si>
  <si>
    <t>9555 Johnstown Rd</t>
  </si>
  <si>
    <t>Our Lady Of Bethlehem</t>
  </si>
  <si>
    <t>4567 Olentangy River Rd, Columbus, Ohio, 43214</t>
  </si>
  <si>
    <t>4567 Olentangy River Rd</t>
  </si>
  <si>
    <t>Grace Christian School</t>
  </si>
  <si>
    <t>7510 E Broad St, Blacklick, Ohio, 43004</t>
  </si>
  <si>
    <t>7510 E Broad St</t>
  </si>
  <si>
    <t>Clinton-Massie Elementary School</t>
  </si>
  <si>
    <t>2380 Lebanon Rd, Clarksville, Ohio, 45113</t>
  </si>
  <si>
    <t>2380 Lebanon Rd</t>
  </si>
  <si>
    <t>Welsh Hills School</t>
  </si>
  <si>
    <t>2610 Newark Granville Rd, Granville, Ohio, 43023</t>
  </si>
  <si>
    <t>2610 Newark Granville Rd</t>
  </si>
  <si>
    <t>Holly Hill Elementary School</t>
  </si>
  <si>
    <t>3520 State Route 132, Amelia, Ohio, 45102</t>
  </si>
  <si>
    <t>3520 State Route 132</t>
  </si>
  <si>
    <t>London Elementary School</t>
  </si>
  <si>
    <t>380 Elm St, London, Ohio, 43140</t>
  </si>
  <si>
    <t>380 Elm St</t>
  </si>
  <si>
    <t>Toronto Elementary School</t>
  </si>
  <si>
    <t>1309 Dennis Way, Toronto, Ohio, 43964</t>
  </si>
  <si>
    <t>1309 Dennis Way</t>
  </si>
  <si>
    <t>Highland  Elementary School</t>
  </si>
  <si>
    <t>1250 Township Road 16, Marengo, Ohio, 43334</t>
  </si>
  <si>
    <t>1250 Township Road 16</t>
  </si>
  <si>
    <t>Madison Christian School</t>
  </si>
  <si>
    <t>3565 Bixby Rd, Groveport, Ohio, 43125</t>
  </si>
  <si>
    <t>3565 Bixby Rd</t>
  </si>
  <si>
    <t>Medina Christian Academy</t>
  </si>
  <si>
    <t>3646 Medina Rd, Medina, Ohio, 44256</t>
  </si>
  <si>
    <t>3646 Medina Rd</t>
  </si>
  <si>
    <t>The Wellington School</t>
  </si>
  <si>
    <t>3650 Reed Rd, Columbus, Ohio, 43220</t>
  </si>
  <si>
    <t>3650 Reed Rd</t>
  </si>
  <si>
    <t>Troy Christian Elementary School</t>
  </si>
  <si>
    <t>1586 Mckaig Ave, Troy, Ohio, 45373</t>
  </si>
  <si>
    <t>1586 Mckaig Ave</t>
  </si>
  <si>
    <t>Open Door Christian Schools</t>
  </si>
  <si>
    <t>8287 W Ridge Rd, Elyria, Ohio, 44035</t>
  </si>
  <si>
    <t>8287 W Ridge Rd</t>
  </si>
  <si>
    <t>Victory Christian</t>
  </si>
  <si>
    <t>2053 Pleasant Valley Rd, Niles, Ohio, 44446</t>
  </si>
  <si>
    <t>2053 Pleasant Valley Rd</t>
  </si>
  <si>
    <t>Our Shepherd Evangel Lutheran</t>
  </si>
  <si>
    <t>508 Mentor Ave, Painesville, Ohio, 44077</t>
  </si>
  <si>
    <t>508 Mentor Ave</t>
  </si>
  <si>
    <t>The Sonshine Christian Academy</t>
  </si>
  <si>
    <t>1763 Cleveland Ave, Columbus, Ohio, 43211</t>
  </si>
  <si>
    <t>1763 Cleveland Ave</t>
  </si>
  <si>
    <t>Adams County Christian</t>
  </si>
  <si>
    <t>187 Willow Dr, West Union, Ohio, 45693</t>
  </si>
  <si>
    <t>187 Willow Dr</t>
  </si>
  <si>
    <t>Montessori Children's School</t>
  </si>
  <si>
    <t>28370 Bassett Rd, Westlake, Ohio, 44145</t>
  </si>
  <si>
    <t>28370 Bassett Rd</t>
  </si>
  <si>
    <t>Shenandoah Elementary School</t>
  </si>
  <si>
    <t>Fairbanks Middle School</t>
  </si>
  <si>
    <t>Federal Hocking Middle School</t>
  </si>
  <si>
    <t>Calumet Christian</t>
  </si>
  <si>
    <t>2774 Calumet St, Columbus, Ohio, 43202</t>
  </si>
  <si>
    <t>2774 Calumet St</t>
  </si>
  <si>
    <t>Gilead Christian</t>
  </si>
  <si>
    <t>220 S Main St, Mount Gilead, Ohio, 43338</t>
  </si>
  <si>
    <t>220 S Main St</t>
  </si>
  <si>
    <t>3260 Riverside Green Dr, Dublin, Ohio, 43017</t>
  </si>
  <si>
    <t>3260 Riverside Green Dr</t>
  </si>
  <si>
    <t>McGuffey Montessori School</t>
  </si>
  <si>
    <t>5128 Westgate Dr, Oxford, Ohio, 45056</t>
  </si>
  <si>
    <t>5128 Westgate Dr</t>
  </si>
  <si>
    <t>South Suburban Montessori</t>
  </si>
  <si>
    <t>4450 Oakes Rd Bldg 7, Brecksville, Ohio, 44141</t>
  </si>
  <si>
    <t>4450 Oakes Rd Bldg 7</t>
  </si>
  <si>
    <t>Oakwood Junior High School</t>
  </si>
  <si>
    <t>Fuchs Mizrachi Of Cleveland</t>
  </si>
  <si>
    <t>26600 Shaker Blvd, Beachwood, Ohio, 44122</t>
  </si>
  <si>
    <t>26600 Shaker Blvd</t>
  </si>
  <si>
    <t>Christian Star Academy</t>
  </si>
  <si>
    <t>7 E Sugar St, Mount Vernon, Ohio, 43050</t>
  </si>
  <si>
    <t>7 E Sugar St</t>
  </si>
  <si>
    <t>Hershey Montessori</t>
  </si>
  <si>
    <t>10229 Prouty Rd, Painesville, Ohio, 44077</t>
  </si>
  <si>
    <t>10229 Prouty Rd</t>
  </si>
  <si>
    <t>Bethel Christian Academy</t>
  </si>
  <si>
    <t>12901 W Pleasant Valley Rd, Parma, Ohio, 44130</t>
  </si>
  <si>
    <t>12901 W Pleasant Valley Rd</t>
  </si>
  <si>
    <t>Beautiful Savior Lutheran</t>
  </si>
  <si>
    <t>11981 Pippin Rd, Cincinnati, Ohio, 45231</t>
  </si>
  <si>
    <t>11981 Pippin Rd</t>
  </si>
  <si>
    <t>New Beginnings Christian</t>
  </si>
  <si>
    <t>492 Williams Rd, Columbus, Ohio, 43207</t>
  </si>
  <si>
    <t>492 Williams Rd</t>
  </si>
  <si>
    <t>Academy Of World Languages School</t>
  </si>
  <si>
    <t>2030 Fairfax Ave, Cincinnati, Ohio, 45207</t>
  </si>
  <si>
    <t>2030 Fairfax Ave</t>
  </si>
  <si>
    <t>Firelands Montessori Academy</t>
  </si>
  <si>
    <t>329 Ohio St, Huron, Ohio, 44839</t>
  </si>
  <si>
    <t>329 Ohio St</t>
  </si>
  <si>
    <t>Children's Meeting House</t>
  </si>
  <si>
    <t>927 Obannonville Rd, Loveland, Ohio, 45140</t>
  </si>
  <si>
    <t>927 Obannonville Rd</t>
  </si>
  <si>
    <t>Xavier University Montessori</t>
  </si>
  <si>
    <t>3800 Victory Pkwy, Cincinnati, Ohio, 45207</t>
  </si>
  <si>
    <t>3800 Victory Pkwy</t>
  </si>
  <si>
    <t>Hillsboro Early Childhood Center</t>
  </si>
  <si>
    <t>Donovan  Elementary School</t>
  </si>
  <si>
    <t>401 Justice Dr, Lebanon, Ohio, 45036</t>
  </si>
  <si>
    <t>401 Justice Dr</t>
  </si>
  <si>
    <t>Akiva Academy</t>
  </si>
  <si>
    <t>505 Gypsy Ln, Youngstown, Ohio, 44504</t>
  </si>
  <si>
    <t>505 Gypsy Ln</t>
  </si>
  <si>
    <t>Sutter Park Preschool</t>
  </si>
  <si>
    <t>1850 Sutter Pkwy, Powell, Ohio, 43065</t>
  </si>
  <si>
    <t>1850 Sutter Pkwy</t>
  </si>
  <si>
    <t>Mccord Middle School</t>
  </si>
  <si>
    <t>1500 Hard Rd, Columbus, Ohio, 43235</t>
  </si>
  <si>
    <t>1500 Hard Rd</t>
  </si>
  <si>
    <t>Rossford Junior High School</t>
  </si>
  <si>
    <t>Fairfield Educational Building</t>
  </si>
  <si>
    <t>1748 Happy Valley Dr, Fairfield, Ohio, 45014</t>
  </si>
  <si>
    <t>1748 Happy Valley Dr</t>
  </si>
  <si>
    <t>Blue Ash Educational Bldg</t>
  </si>
  <si>
    <t>10149 Kenwood Rd, Cincinnati, Ohio, 45242</t>
  </si>
  <si>
    <t>10149 Kenwood Rd</t>
  </si>
  <si>
    <t>Alexandria Montessori</t>
  </si>
  <si>
    <t>175 E Franklin St, Centerville, Ohio, 45459</t>
  </si>
  <si>
    <t>175 E Franklin St</t>
  </si>
  <si>
    <t>Dayton Montessori Society</t>
  </si>
  <si>
    <t>5515 Brandt Pike, Huber Heights, Ohio, 45424</t>
  </si>
  <si>
    <t>5515 Brandt Pike</t>
  </si>
  <si>
    <t>St Margaret Of York</t>
  </si>
  <si>
    <t>9495 Columbia Rd, Loveland, Ohio, 45140</t>
  </si>
  <si>
    <t>9495 Columbia Rd</t>
  </si>
  <si>
    <t>Linden Grove School</t>
  </si>
  <si>
    <t>4122 Myrtle Ave, Cincinnati, Ohio, 45236</t>
  </si>
  <si>
    <t>4122 Myrtle Ave</t>
  </si>
  <si>
    <t>Secrest Elementary School</t>
  </si>
  <si>
    <t>58860 Wintergreen Rd, Senecaville, Ohio, 43780</t>
  </si>
  <si>
    <t>58860 Wintergreen Rd</t>
  </si>
  <si>
    <t>Senecaville</t>
  </si>
  <si>
    <t>43780</t>
  </si>
  <si>
    <t>Spring Garden</t>
  </si>
  <si>
    <t>1791 Jacoby Rd, Copley, Ohio, 44321</t>
  </si>
  <si>
    <t>1791 Jacoby Rd</t>
  </si>
  <si>
    <t>Harvest Preparatory School</t>
  </si>
  <si>
    <t>4595 Gender Rd, Canal Winchester, Ohio, 43110</t>
  </si>
  <si>
    <t>4595 Gender Rd</t>
  </si>
  <si>
    <t>The Montessori School of the Mahoning Valley</t>
  </si>
  <si>
    <t>2008 Lynn Ave, Youngstown, Ohio, 44514</t>
  </si>
  <si>
    <t>2008 Lynn Ave</t>
  </si>
  <si>
    <t>Summit Christian School</t>
  </si>
  <si>
    <t>3313 Northampton Rd, Cuyahoga Falls, Ohio, 44223</t>
  </si>
  <si>
    <t>3313 Northampton Rd</t>
  </si>
  <si>
    <t>Canton Montessori</t>
  </si>
  <si>
    <t>125 15th St NW, Canton, Ohio, 44703</t>
  </si>
  <si>
    <t>125 15th St NW</t>
  </si>
  <si>
    <t>Scottish Corners Elementary School</t>
  </si>
  <si>
    <t>5950 Sells Mill Dr, Dublin, Ohio, 43017</t>
  </si>
  <si>
    <t>5950 Sells Mill Dr</t>
  </si>
  <si>
    <t>Columbus Montessori Ed Ctr</t>
  </si>
  <si>
    <t>979 S James Rd, Columbus, Ohio, 43227</t>
  </si>
  <si>
    <t>979 S James Rd</t>
  </si>
  <si>
    <t>Nurtury</t>
  </si>
  <si>
    <t>250 N Spring Grove St, Medina, Ohio, 44256</t>
  </si>
  <si>
    <t>250 N Spring Grove St</t>
  </si>
  <si>
    <t>Birchwood School of Hawken</t>
  </si>
  <si>
    <t>4400 W 140th St, Cleveland, Ohio, 44135</t>
  </si>
  <si>
    <t>4400 W 140th St</t>
  </si>
  <si>
    <t>East Dayton Christian</t>
  </si>
  <si>
    <t>999 Spinning Rd, Dayton, Ohio, 45431</t>
  </si>
  <si>
    <t>999 Spinning Rd</t>
  </si>
  <si>
    <t>Salem Christian Academy</t>
  </si>
  <si>
    <t>6500 Southway Rd, Clayton, Ohio, 45315</t>
  </si>
  <si>
    <t>6500 Southway Rd</t>
  </si>
  <si>
    <t>Granby Elementary School</t>
  </si>
  <si>
    <t>1490 Hard Rd, Columbus, Ohio, 43235</t>
  </si>
  <si>
    <t>1490 Hard Rd</t>
  </si>
  <si>
    <t>Worthington Park Elementary School</t>
  </si>
  <si>
    <t>500 Park Rd, Westerville, Ohio, 43081</t>
  </si>
  <si>
    <t>500 Park Rd</t>
  </si>
  <si>
    <t>High Point Elementary School</t>
  </si>
  <si>
    <t>700 Venetian Way, Gahanna, Ohio, 43230</t>
  </si>
  <si>
    <t>700 Venetian Way</t>
  </si>
  <si>
    <t>1819 Graham Rd, Stow, Ohio, 44224</t>
  </si>
  <si>
    <t>1819 Graham Rd</t>
  </si>
  <si>
    <t>Brunswick Middle School</t>
  </si>
  <si>
    <t>1483 Pearl Rd, Brunswick, Ohio, 44212</t>
  </si>
  <si>
    <t>1483 Pearl Rd</t>
  </si>
  <si>
    <t>Freedom Elementary School</t>
  </si>
  <si>
    <t>6035 Beckett Ridge Blvd, West Chester, Ohio, 45069</t>
  </si>
  <si>
    <t>6035 Beckett Ridge Blvd</t>
  </si>
  <si>
    <t>Ann Simpson Davis Middle School</t>
  </si>
  <si>
    <t>2400 Sutter Pkwy, Dublin, Ohio, 43016</t>
  </si>
  <si>
    <t>2400 Sutter Pkwy</t>
  </si>
  <si>
    <t>Griffith Thomas Elementary School</t>
  </si>
  <si>
    <t>4671 Tuttle Rd, Dublin, Ohio, 43017</t>
  </si>
  <si>
    <t>4671 Tuttle Rd</t>
  </si>
  <si>
    <t>Wyandot Elementary School</t>
  </si>
  <si>
    <t>5620 Dublinshire Dr, Dublin, Ohio, 43017</t>
  </si>
  <si>
    <t>5620 Dublinshire Dr</t>
  </si>
  <si>
    <t>2213 White Rd, Grove City, Ohio, 43123</t>
  </si>
  <si>
    <t>2213 White Rd</t>
  </si>
  <si>
    <t>St Vincent Family Centers</t>
  </si>
  <si>
    <t>Southington Middle School</t>
  </si>
  <si>
    <t>Greenfield Middle School</t>
  </si>
  <si>
    <t>Clark Montessori High School</t>
  </si>
  <si>
    <t>3030 Erie Ave, Cincinnati, Ohio, 45208</t>
  </si>
  <si>
    <t>3030 Erie Ave</t>
  </si>
  <si>
    <t>Kings High School</t>
  </si>
  <si>
    <t>5500 Columbia Rd, Kings Mills, Ohio, 45034</t>
  </si>
  <si>
    <t>5500 Columbia Rd</t>
  </si>
  <si>
    <t>Shiloh Elementary School</t>
  </si>
  <si>
    <t>420 Trux St, Plymouth, Ohio, 44865</t>
  </si>
  <si>
    <t>420 Trux St</t>
  </si>
  <si>
    <t>Children's Academy</t>
  </si>
  <si>
    <t>100 Obetz Rd, Columbus, Ohio, 43207</t>
  </si>
  <si>
    <t>100 Obetz Rd</t>
  </si>
  <si>
    <t>North Royalton Middle School</t>
  </si>
  <si>
    <t>14709 Ridge Rd, North Royalton, Ohio, 44133</t>
  </si>
  <si>
    <t>14709 Ridge Rd</t>
  </si>
  <si>
    <t>Albert Chapman Elementary School</t>
  </si>
  <si>
    <t>8450 Sawmill Rd, Powell, Ohio, 43065</t>
  </si>
  <si>
    <t>8450 Sawmill Rd</t>
  </si>
  <si>
    <t>Daniel Wright Elementary School</t>
  </si>
  <si>
    <t>2335 W Case Rd, Columbus, Ohio, 43235</t>
  </si>
  <si>
    <t>2335 W Case Rd</t>
  </si>
  <si>
    <t>Indian Hill Primary Elementary School</t>
  </si>
  <si>
    <t>6207 Drake Rd, Cincinnati, Ohio, 45243</t>
  </si>
  <si>
    <t>6207 Drake Rd</t>
  </si>
  <si>
    <t>McVay Elementary School</t>
  </si>
  <si>
    <t>270 S Hempstead Rd, Westerville, Ohio, 43081</t>
  </si>
  <si>
    <t>270 S Hempstead Rd</t>
  </si>
  <si>
    <t>Wilder Elementary School</t>
  </si>
  <si>
    <t>6375 Goldfinch Dr, Westerville, Ohio, 43081</t>
  </si>
  <si>
    <t>6375 Goldfinch Dr</t>
  </si>
  <si>
    <t>Heritage Middle School</t>
  </si>
  <si>
    <t>390 N Spring Rd, Westerville, Ohio, 43082</t>
  </si>
  <si>
    <t>390 N Spring Rd</t>
  </si>
  <si>
    <t>Talawanda Middle School</t>
  </si>
  <si>
    <t>4030 Oxford Reily Rd, Oxford, Ohio, 45056</t>
  </si>
  <si>
    <t>4030 Oxford Reily Rd</t>
  </si>
  <si>
    <t>Symmes Elementary School</t>
  </si>
  <si>
    <t>11820 Enyart Rd, Loveland, Ohio, 45140</t>
  </si>
  <si>
    <t>11820 Enyart Rd</t>
  </si>
  <si>
    <t>Parkview Early Education Center</t>
  </si>
  <si>
    <t>Clinton-Massie Middle School</t>
  </si>
  <si>
    <t>Cardington-Lincoln Middle School</t>
  </si>
  <si>
    <t>Wooster Christian</t>
  </si>
  <si>
    <t>480 B Fry St., Wooster, Ohio, 44691</t>
  </si>
  <si>
    <t>480 B Fry St.</t>
  </si>
  <si>
    <t>Mansion Day School - Excel Preparatory Schools</t>
  </si>
  <si>
    <t>72 Woodland Ave, Columbus, Ohio, 43203</t>
  </si>
  <si>
    <t>72 Woodland Ave</t>
  </si>
  <si>
    <t>Jefferson County Christian</t>
  </si>
  <si>
    <t>125 Fernwood Rd, Wintersville, Ohio, 43953</t>
  </si>
  <si>
    <t>125 Fernwood Rd</t>
  </si>
  <si>
    <t>Slate Hill Elementary School</t>
  </si>
  <si>
    <t>7625 Alta View Blvd, Worthington, Ohio, 43085</t>
  </si>
  <si>
    <t>7625 Alta View Blvd</t>
  </si>
  <si>
    <t>Eleanor Gerson Sn</t>
  </si>
  <si>
    <t>10427 Detroit Ave, Cleveland, Ohio, 44102</t>
  </si>
  <si>
    <t>10427 Detroit Ave</t>
  </si>
  <si>
    <t>Miami Montessori School  The</t>
  </si>
  <si>
    <t>86 Troy Town Dr, Troy, Ohio, 45373</t>
  </si>
  <si>
    <t>86 Troy Town Dr</t>
  </si>
  <si>
    <t>Miami Montessori School, The</t>
  </si>
  <si>
    <t>Martins Ferry Christian</t>
  </si>
  <si>
    <t>710 S Zane Hwy, Martins Ferry, Ohio, 43935</t>
  </si>
  <si>
    <t>710 S Zane Hwy</t>
  </si>
  <si>
    <t>Coldwater Elementary School</t>
  </si>
  <si>
    <t>Birch Primary School</t>
  </si>
  <si>
    <t>24100 Palm Dr, North Olmsted, Ohio, 44070</t>
  </si>
  <si>
    <t>24100 Palm Dr</t>
  </si>
  <si>
    <t>Buckeye Local High School</t>
  </si>
  <si>
    <t>10692 State Route 150, Rayland, Ohio, 43943</t>
  </si>
  <si>
    <t>10692 State Route 150</t>
  </si>
  <si>
    <t>Fort Meigs Elementary School</t>
  </si>
  <si>
    <t>26431 Fort Meigs Rd, Perrysburg, Ohio, 43551</t>
  </si>
  <si>
    <t>26431 Fort Meigs Rd</t>
  </si>
  <si>
    <t>Shawnee Early Childhood School</t>
  </si>
  <si>
    <t>9394 Sterling Dr, Cincinnati, Ohio, 45241</t>
  </si>
  <si>
    <t>9394 Sterling Dr</t>
  </si>
  <si>
    <t>6923 Dutchland Blvd, Liberty Township, Ohio, 45044</t>
  </si>
  <si>
    <t>6923 Dutchland Blvd</t>
  </si>
  <si>
    <t>Osu Child Care Center</t>
  </si>
  <si>
    <t>725 Ackerman Rd, Columbus, Ohio, 43202</t>
  </si>
  <si>
    <t>725 Ackerman Rd</t>
  </si>
  <si>
    <t>Vinton County Middle School</t>
  </si>
  <si>
    <t>63870 Locker Plant Road, Mc Arthur, Ohio, 45651</t>
  </si>
  <si>
    <t>63870 Locker Plant Road</t>
  </si>
  <si>
    <t>Cincinnati Hills Christian Academy</t>
  </si>
  <si>
    <t>11300 Snider Rd, Cincinnati, Ohio, 45249</t>
  </si>
  <si>
    <t>11300 Snider Rd</t>
  </si>
  <si>
    <t>Worthington Kilbourne High School</t>
  </si>
  <si>
    <t>1499 Hard Rd, Columbus, Ohio, 43235</t>
  </si>
  <si>
    <t>1499 Hard Rd</t>
  </si>
  <si>
    <t>East Richland Christian Schools</t>
  </si>
  <si>
    <t>67885 Friends Church Rd, Saint Clairsville, Ohio, 43950</t>
  </si>
  <si>
    <t>67885 Friends Church Rd</t>
  </si>
  <si>
    <t>Bluffsview Elementary School</t>
  </si>
  <si>
    <t>7111 Linworth Rd, Columbus, Ohio, 43235</t>
  </si>
  <si>
    <t>7111 Linworth Rd</t>
  </si>
  <si>
    <t>Grove City Christian</t>
  </si>
  <si>
    <t>4750 Hoover Rd, Grove City, Ohio, 43123</t>
  </si>
  <si>
    <t>4750 Hoover Rd</t>
  </si>
  <si>
    <t>Nightingale Montessori Inc</t>
  </si>
  <si>
    <t>2525 N Limestone St, Springfield, Ohio, 45503</t>
  </si>
  <si>
    <t>2525 N Limestone St</t>
  </si>
  <si>
    <t>Montessori School of Bowling Green</t>
  </si>
  <si>
    <t>515 Sand Ridge Rd, Bowling Green, Ohio, 43402</t>
  </si>
  <si>
    <t>515 Sand Ridge Rd</t>
  </si>
  <si>
    <t>Logan-Hocking Middle School</t>
  </si>
  <si>
    <t>13579 Maysville Williams Rd, Logan, Ohio, 43138</t>
  </si>
  <si>
    <t>13579 Maysville Williams Rd</t>
  </si>
  <si>
    <t>Pickerington Ridgeview Junior High School</t>
  </si>
  <si>
    <t>130 Hill Rd S, Pickerington, Ohio, 43147</t>
  </si>
  <si>
    <t>130 Hill Rd S</t>
  </si>
  <si>
    <t>Willoughby Montessori Dayschl</t>
  </si>
  <si>
    <t>5543 Som Center Rd, Willoughby, Ohio, 44094</t>
  </si>
  <si>
    <t>5543 Som Center Rd</t>
  </si>
  <si>
    <t>Hilliard Station Sixth Grade Elementary School</t>
  </si>
  <si>
    <t>5600 Scioto Darby Rd, Hilliard, Ohio, 43026</t>
  </si>
  <si>
    <t>5600 Scioto Darby Rd</t>
  </si>
  <si>
    <t>Arlington Christian Academy</t>
  </si>
  <si>
    <t>539 S Arlington St, Akron, Ohio, 44306</t>
  </si>
  <si>
    <t>539 S Arlington St</t>
  </si>
  <si>
    <t>Northridge Middle School</t>
  </si>
  <si>
    <t>Christian Academy Schools</t>
  </si>
  <si>
    <t>2151 W Russell Rd, Sidney, Ohio, 45365</t>
  </si>
  <si>
    <t>2151 W Russell Rd</t>
  </si>
  <si>
    <t>Solon Middle School</t>
  </si>
  <si>
    <t>6835 Som Center Rd, Solon, Ohio, 44139</t>
  </si>
  <si>
    <t>6835 Som Center Rd</t>
  </si>
  <si>
    <t>6845 Som Center Rd, Solon, Ohio, 44139</t>
  </si>
  <si>
    <t>6845 Som Center Rd</t>
  </si>
  <si>
    <t>Heritage Early Childhood School</t>
  </si>
  <si>
    <t>5052 Hamilton Mason Rd, Liberty Twp, Ohio, 45011</t>
  </si>
  <si>
    <t>5052 Hamilton Mason Rd</t>
  </si>
  <si>
    <t>East Woods Intermediate School</t>
  </si>
  <si>
    <t>120 N Hayden Pkwy, Hudson, Ohio, 44236</t>
  </si>
  <si>
    <t>120 N Hayden Pkwy</t>
  </si>
  <si>
    <t>Parkway Elementary School</t>
  </si>
  <si>
    <t>Mansfield Seventh-Day Advent</t>
  </si>
  <si>
    <t>1040 W Cook Rd, Mansfield, Ohio, 44906</t>
  </si>
  <si>
    <t>1040 W Cook Rd</t>
  </si>
  <si>
    <t>Gahanna South Middle School</t>
  </si>
  <si>
    <t>349 Shady Spring Dr, Gahanna, Ohio, 43230</t>
  </si>
  <si>
    <t>349 Shady Spring Dr</t>
  </si>
  <si>
    <t>Kingsway Christian</t>
  </si>
  <si>
    <t>11138 Old Lincoln Way E, Orrville, Ohio, 44667</t>
  </si>
  <si>
    <t>11138 Old Lincoln Way E</t>
  </si>
  <si>
    <t>Lebanon United Methodist Kdg</t>
  </si>
  <si>
    <t>122 E Silver St, Lebanon, Ohio, 45036</t>
  </si>
  <si>
    <t>122 E Silver St</t>
  </si>
  <si>
    <t>A. I. Root Middle School</t>
  </si>
  <si>
    <t>333 W Sturbridge Dr, Medina, Ohio, 44256</t>
  </si>
  <si>
    <t>333 W Sturbridge Dr</t>
  </si>
  <si>
    <t>Taylor Road Elementary School</t>
  </si>
  <si>
    <t>8200 Taylor Rd SW, Reynoldsburg, Ohio, 43068</t>
  </si>
  <si>
    <t>8200 Taylor Rd SW</t>
  </si>
  <si>
    <t>5005 Oxford State Rd, Trenton, Ohio, 45067</t>
  </si>
  <si>
    <t>5005 Oxford State Rd</t>
  </si>
  <si>
    <t>Wyandot Run Elementary School</t>
  </si>
  <si>
    <t>2800 Carriage Rd, Powell, Ohio, 43065</t>
  </si>
  <si>
    <t>2800 Carriage Rd</t>
  </si>
  <si>
    <t>East Canton Middle School</t>
  </si>
  <si>
    <t>Norwich Elementary School</t>
  </si>
  <si>
    <t>4454 Davidson Rd, Hilliard, Ohio, 43026</t>
  </si>
  <si>
    <t>4454 Davidson Rd</t>
  </si>
  <si>
    <t>Hilliard Crossing Elementary School</t>
  </si>
  <si>
    <t>3340 Hilliard Rome Rd, Hilliard, Ohio, 43026</t>
  </si>
  <si>
    <t>3340 Hilliard Rome Rd</t>
  </si>
  <si>
    <t>Millcreek Elementary School</t>
  </si>
  <si>
    <t>Canal Winchester Middle School</t>
  </si>
  <si>
    <t>7155 Parkview Dr, Canal Winchester, Ohio, 43110</t>
  </si>
  <si>
    <t>7155 Parkview Dr</t>
  </si>
  <si>
    <t>Royal Redeemer Lutheran</t>
  </si>
  <si>
    <t>11680 Royalton Rd, North Royalton, Ohio, 44133</t>
  </si>
  <si>
    <t>11680 Royalton Rd</t>
  </si>
  <si>
    <t>Kilbourne Middle School</t>
  </si>
  <si>
    <t>50 E Dublin Granville Rd, Worthington, Ohio, 43085</t>
  </si>
  <si>
    <t>50 E Dublin Granville Rd</t>
  </si>
  <si>
    <t>North Ridgeville Early Childhood Learning Community</t>
  </si>
  <si>
    <t>5490 Mills Creek Ln, North Ridgeville, Ohio, 44039</t>
  </si>
  <si>
    <t>5490 Mills Creek Ln</t>
  </si>
  <si>
    <t>Crooksville Elementary School</t>
  </si>
  <si>
    <t>Cuyahoga Hts Middle School</t>
  </si>
  <si>
    <t>4840 E 71st St, Cuyahoga Heights, Ohio, 44125</t>
  </si>
  <si>
    <t>4840 E 71st St</t>
  </si>
  <si>
    <t>Loveland Elementary School</t>
  </si>
  <si>
    <t>600 Loveland Madeira Rd, Loveland, Ohio, 45140</t>
  </si>
  <si>
    <t>600 Loveland Madeira Rd</t>
  </si>
  <si>
    <t>Euclid Schools Early Learning Village</t>
  </si>
  <si>
    <t>27000 Elinore Ave, Euclid, Ohio, 44132</t>
  </si>
  <si>
    <t>27000 Elinore Ave</t>
  </si>
  <si>
    <t>Montessori Community</t>
  </si>
  <si>
    <t>621 Country Club Dr, Newark, Ohio, 43055</t>
  </si>
  <si>
    <t>621 Country Club Dr</t>
  </si>
  <si>
    <t>Gloria Dei Montessori</t>
  </si>
  <si>
    <t>615 Shiloh Dr, Dayton, Ohio, 45415</t>
  </si>
  <si>
    <t>615 Shiloh Dr</t>
  </si>
  <si>
    <t>Kids Country Fairlawn</t>
  </si>
  <si>
    <t>2955 Smith Rd, Fairlawn, Ohio, 44333</t>
  </si>
  <si>
    <t>2955 Smith Rd</t>
  </si>
  <si>
    <t>Hilliard Weaver Middle School</t>
  </si>
  <si>
    <t>4600 Avery Rd, Hilliard, Ohio, 43026</t>
  </si>
  <si>
    <t>4600 Avery Rd</t>
  </si>
  <si>
    <t>Cherokee Elementary School</t>
  </si>
  <si>
    <t>5345 Kyles Station Rd, Liberty Twp, Ohio, 45011</t>
  </si>
  <si>
    <t>5345 Kyles Station Rd</t>
  </si>
  <si>
    <t>Independence Elementary School</t>
  </si>
  <si>
    <t>7480 Princeton Rd, Liberty Township, Ohio, 45044</t>
  </si>
  <si>
    <t>7480 Princeton Rd</t>
  </si>
  <si>
    <t>Holloway Elementary School</t>
  </si>
  <si>
    <t>6611 Pilliod Rd, Holland, Ohio, 43528</t>
  </si>
  <si>
    <t>6611 Pilliod Rd</t>
  </si>
  <si>
    <t>Hitchcock Woods</t>
  </si>
  <si>
    <t>8482 Hitchcock Rd, Boardman, Ohio, 44512</t>
  </si>
  <si>
    <t>8482 Hitchcock Rd</t>
  </si>
  <si>
    <t>Weaver Child Development Center  Inc</t>
  </si>
  <si>
    <t>515 48th St NW, Canton, Ohio, 44709</t>
  </si>
  <si>
    <t>515 48th St NW</t>
  </si>
  <si>
    <t>Weaver Child Development Center, Inc</t>
  </si>
  <si>
    <t>Willard Grizzell Middle School</t>
  </si>
  <si>
    <t>8705 Avery Rd, Dublin, Ohio, 43017</t>
  </si>
  <si>
    <t>8705 Avery Rd</t>
  </si>
  <si>
    <t>692 Mohawk Dr, Mc Dermott, Ohio, 45652</t>
  </si>
  <si>
    <t>692 Mohawk Dr</t>
  </si>
  <si>
    <t>Northwest Elementary School</t>
  </si>
  <si>
    <t>4738 Henley Deemer Rd, Mc Dermott, Ohio, 45652</t>
  </si>
  <si>
    <t>4738 Henley Deemer Rd</t>
  </si>
  <si>
    <t>Mt  Orab Middle School</t>
  </si>
  <si>
    <t>472 W Main St, Mount Orab, Ohio, 45154</t>
  </si>
  <si>
    <t>472 W Main St</t>
  </si>
  <si>
    <t>Blacklick Elementary School</t>
  </si>
  <si>
    <t>6540 Havens Corners Rd, Blacklick, Ohio, 43004</t>
  </si>
  <si>
    <t>6540 Havens Corners Rd</t>
  </si>
  <si>
    <t>Dublin Scioto High School</t>
  </si>
  <si>
    <t>4000 Hard Rd, Dublin, Ohio, 43016</t>
  </si>
  <si>
    <t>4000 Hard Rd</t>
  </si>
  <si>
    <t>Central Montessori Academy</t>
  </si>
  <si>
    <t>1904 Springdale Rd, Cincinnati, Ohio, 45231</t>
  </si>
  <si>
    <t>1904 Springdale Rd</t>
  </si>
  <si>
    <t>Scribes And Scribblers Devl Ct</t>
  </si>
  <si>
    <t>14101 Uhlin Dr, Cleveland, Ohio, 44130</t>
  </si>
  <si>
    <t>14101 Uhlin Dr</t>
  </si>
  <si>
    <t>Emmanuel Christian Academy</t>
  </si>
  <si>
    <t>350 S Portage Path, Akron, Ohio, 44320</t>
  </si>
  <si>
    <t>350 S Portage Path</t>
  </si>
  <si>
    <t>Stiles Family Center</t>
  </si>
  <si>
    <t>4704 Stiles Ave, Columbus, Ohio, 43228</t>
  </si>
  <si>
    <t>4704 Stiles Ave</t>
  </si>
  <si>
    <t>Headstart Eastland</t>
  </si>
  <si>
    <t>986 E Main St, Newark, Ohio, 43055</t>
  </si>
  <si>
    <t>986 E Main St</t>
  </si>
  <si>
    <t>Smoky Row Children's Center</t>
  </si>
  <si>
    <t>8615 Smoky Row Rd, Powell, Ohio, 43065</t>
  </si>
  <si>
    <t>8615 Smoky Row Rd</t>
  </si>
  <si>
    <t>Village Christian Schools</t>
  </si>
  <si>
    <t>4581 Long-Spurling Rd, Pleasant Plain, Ohio, 45162</t>
  </si>
  <si>
    <t>4581 Long-Spurling Rd</t>
  </si>
  <si>
    <t>Pleasant Plain</t>
  </si>
  <si>
    <t>45162</t>
  </si>
  <si>
    <t>Ripley Union Lewis Huntington Elementary School</t>
  </si>
  <si>
    <t>Buckeye Woods Elementary School</t>
  </si>
  <si>
    <t>2525 Holton Rd, Grove City, Ohio, 43123</t>
  </si>
  <si>
    <t>2525 Holton Rd</t>
  </si>
  <si>
    <t>Darby Woods Elementary School</t>
  </si>
  <si>
    <t>255 Westwoods Blvd, Galloway, Ohio, 43119</t>
  </si>
  <si>
    <t>255 Westwoods Blvd</t>
  </si>
  <si>
    <t>Mason Early Childhood Center Elementary School</t>
  </si>
  <si>
    <t>4631 Hickory Woods Dr, Mason, Ohio, 45040</t>
  </si>
  <si>
    <t>4631 Hickory Woods Dr</t>
  </si>
  <si>
    <t>Stevenson Elementary School</t>
  </si>
  <si>
    <t>152 Cynthia St, Heath, Ohio, 43056</t>
  </si>
  <si>
    <t>152 Cynthia St</t>
  </si>
  <si>
    <t>Liberty-Benton Middle School</t>
  </si>
  <si>
    <t>Amanda-Clearcreek Middle School</t>
  </si>
  <si>
    <t>Robert F Schultz Elementary School</t>
  </si>
  <si>
    <t>499 Applegate Ln, Delaware, Ohio, 43015</t>
  </si>
  <si>
    <t>499 Applegate Ln</t>
  </si>
  <si>
    <t>Brooklyn School</t>
  </si>
  <si>
    <t>Brice Christian Academy</t>
  </si>
  <si>
    <t>3160 Brice Rd, Brice, Ohio, 43109</t>
  </si>
  <si>
    <t>3160 Brice Rd</t>
  </si>
  <si>
    <t>Brice</t>
  </si>
  <si>
    <t>43109</t>
  </si>
  <si>
    <t>Nicholas School</t>
  </si>
  <si>
    <t>1306 Garbry Rd, Piqua, Ohio, 45356</t>
  </si>
  <si>
    <t>1306 Garbry Rd</t>
  </si>
  <si>
    <t>Montessori Center of South Dayton</t>
  </si>
  <si>
    <t>2900 Acosta St, Kettering, Ohio, 45420</t>
  </si>
  <si>
    <t>2900 Acosta St</t>
  </si>
  <si>
    <t>Terry's Montessori School</t>
  </si>
  <si>
    <t>209 Wyoming Ave, Cincinnati, Ohio, 45215</t>
  </si>
  <si>
    <t>209 Wyoming Ave</t>
  </si>
  <si>
    <t>Mary Emma Bailey Elementary School</t>
  </si>
  <si>
    <t>4900 Brandonway Dr, Dublin, Ohio, 43017</t>
  </si>
  <si>
    <t>4900 Brandonway Dr</t>
  </si>
  <si>
    <t>Mariemont Junior High School</t>
  </si>
  <si>
    <t>3847 Southern Avenue, Cincinnati, Ohio, 45227</t>
  </si>
  <si>
    <t>3847 Southern Avenue</t>
  </si>
  <si>
    <t>11525 Snider Rd, Cincinnati, Ohio, 45249</t>
  </si>
  <si>
    <t>11525 Snider Rd</t>
  </si>
  <si>
    <t>Hilliard Horizon Elementary School</t>
  </si>
  <si>
    <t>6000 Renner Rd, Columbus, Ohio, 43228</t>
  </si>
  <si>
    <t>6000 Renner Rd</t>
  </si>
  <si>
    <t>Miracle City Academy</t>
  </si>
  <si>
    <t>204 Commercial Blvd, Piketon, Ohio, 45661</t>
  </si>
  <si>
    <t>204 Commercial Blvd</t>
  </si>
  <si>
    <t>Portage Collab Montessori Middle School</t>
  </si>
  <si>
    <t>1000 55th St NE, Canton, Ohio, 44721</t>
  </si>
  <si>
    <t>1000 55th St NE</t>
  </si>
  <si>
    <t>Woodridge Elementary School</t>
  </si>
  <si>
    <t>4351 Quick Rd, Peninsula, Ohio, 44264</t>
  </si>
  <si>
    <t>4351 Quick Rd</t>
  </si>
  <si>
    <t>Decolores Montessori School</t>
  </si>
  <si>
    <t>312 Central Ave, Greenville, Ohio, 45331</t>
  </si>
  <si>
    <t>312 Central Ave</t>
  </si>
  <si>
    <t>Villa Maria Teresa</t>
  </si>
  <si>
    <t>50 Warner Rd, Hubbard, Ohio, 44425</t>
  </si>
  <si>
    <t>50 Warner Rd</t>
  </si>
  <si>
    <t>Alum Creek Elementary School</t>
  </si>
  <si>
    <t>2515 Parklawn Dr, Lewis Center, Ohio, 43035</t>
  </si>
  <si>
    <t>2515 Parklawn Dr</t>
  </si>
  <si>
    <t>Bell Creek Intermediate School</t>
  </si>
  <si>
    <t>3777 Upper Bellbrook Rd, Bellbrook, Ohio, 45305</t>
  </si>
  <si>
    <t>3777 Upper Bellbrook Rd</t>
  </si>
  <si>
    <t>Tussing Elementary School</t>
  </si>
  <si>
    <t>7117 Tussing Rd, Reynoldsburg, Ohio, 43068</t>
  </si>
  <si>
    <t>7117 Tussing Rd</t>
  </si>
  <si>
    <t>Pike Christian Academy</t>
  </si>
  <si>
    <t>400 Clough St, Waverly, Ohio, 45690</t>
  </si>
  <si>
    <t>400 Clough St</t>
  </si>
  <si>
    <t>Green Intermediate Elementary School</t>
  </si>
  <si>
    <t>1737 Steese Rd, Uniontown, Ohio, 44685</t>
  </si>
  <si>
    <t>1737 Steese Rd</t>
  </si>
  <si>
    <t>Cornerstone Elementary School</t>
  </si>
  <si>
    <t>101 W Bowman St, Wooster, Ohio, 44691</t>
  </si>
  <si>
    <t>101 W Bowman St</t>
  </si>
  <si>
    <t>Hilliard Darby High School</t>
  </si>
  <si>
    <t>4200 Leppert Rd, Hilliard, Ohio, 43026</t>
  </si>
  <si>
    <t>4200 Leppert Rd</t>
  </si>
  <si>
    <t>Adena Middle School</t>
  </si>
  <si>
    <t>Creekside Early Childhood School</t>
  </si>
  <si>
    <t>5070 Tylersville Rd, West Chester, Ohio, 45069</t>
  </si>
  <si>
    <t>5070 Tylersville Rd</t>
  </si>
  <si>
    <t>Lakota Ridge Junior School</t>
  </si>
  <si>
    <t>6199 Beckett Ridge Blvd, West Chester, Ohio, 45069</t>
  </si>
  <si>
    <t>6199 Beckett Ridge Blvd</t>
  </si>
  <si>
    <t>Lakota East High School</t>
  </si>
  <si>
    <t>6840 Lakota Ln, Liberty Township, Ohio, 45044</t>
  </si>
  <si>
    <t>6840 Lakota Ln</t>
  </si>
  <si>
    <t>Cypress Christian</t>
  </si>
  <si>
    <t>375 Alton Darby Creek Rd, Galloway, Ohio, 43119</t>
  </si>
  <si>
    <t>375 Alton Darby Creek Rd</t>
  </si>
  <si>
    <t>Crossroads Middle School</t>
  </si>
  <si>
    <t>255 Donald Dr, Fairfield, Ohio, 45014</t>
  </si>
  <si>
    <t>255 Donald Dr</t>
  </si>
  <si>
    <t>Fairfield East Elementary School</t>
  </si>
  <si>
    <t>6711 Morris Rd, Hamilton, Ohio, 45011</t>
  </si>
  <si>
    <t>6711 Morris Rd</t>
  </si>
  <si>
    <t>Russellville Elementary School</t>
  </si>
  <si>
    <t>239 W Main St, Russellville, Ohio, 45168</t>
  </si>
  <si>
    <t>239 W Main St</t>
  </si>
  <si>
    <t>Russellville</t>
  </si>
  <si>
    <t>45168</t>
  </si>
  <si>
    <t>Eastern MS</t>
  </si>
  <si>
    <t>11519 US Highway 62, Winchester, Ohio, 45697</t>
  </si>
  <si>
    <t>11519 US Highway 62</t>
  </si>
  <si>
    <t>Gibsonburg Middle School</t>
  </si>
  <si>
    <t>Batavia Middle School</t>
  </si>
  <si>
    <t>East Clinton Junior High School</t>
  </si>
  <si>
    <t>Columbia Intermediate School</t>
  </si>
  <si>
    <t>8263 Columbia Rd, Kings Mills, Ohio, 45034</t>
  </si>
  <si>
    <t>8263 Columbia Rd</t>
  </si>
  <si>
    <t>St Brigid Of Kildare</t>
  </si>
  <si>
    <t>7175 Avery Rd, Dublin, Ohio, 43017</t>
  </si>
  <si>
    <t>7175 Avery Rd</t>
  </si>
  <si>
    <t>Children's House-Delhi  The</t>
  </si>
  <si>
    <t>416 Anderson Ferry Rd, Cincinnati, Ohio, 45238</t>
  </si>
  <si>
    <t>416 Anderson Ferry Rd</t>
  </si>
  <si>
    <t>Children's House-Delhi, The</t>
  </si>
  <si>
    <t>Mill Valley Elementary School</t>
  </si>
  <si>
    <t>633 Mill Wood Blvd, Marysville, Ohio, 43040</t>
  </si>
  <si>
    <t>633 Mill Wood Blvd</t>
  </si>
  <si>
    <t>Coldwater Middle School</t>
  </si>
  <si>
    <t>Anthony Wayne Junior High School</t>
  </si>
  <si>
    <t>6035 Finzel Rd, Whitehouse, Ohio, 43571</t>
  </si>
  <si>
    <t>6035 Finzel Rd</t>
  </si>
  <si>
    <t>Buckeye Valley Local Middle School</t>
  </si>
  <si>
    <t>683 Coover Rd, Delaware, Ohio, 43015</t>
  </si>
  <si>
    <t>683 Coover Rd</t>
  </si>
  <si>
    <t>Heartland Christian School</t>
  </si>
  <si>
    <t>28 Pittsburgh St, Columbiana, Ohio, 44408</t>
  </si>
  <si>
    <t>28 Pittsburgh St</t>
  </si>
  <si>
    <t>Troy Christian High School</t>
  </si>
  <si>
    <t>700 S Dorset Rd, Troy, Ohio, 45373</t>
  </si>
  <si>
    <t>700 S Dorset Rd</t>
  </si>
  <si>
    <t>Darby Creek Elementary School</t>
  </si>
  <si>
    <t>6305 Pinefield Dr, Hilliard, Ohio, 43026</t>
  </si>
  <si>
    <t>6305 Pinefield Dr</t>
  </si>
  <si>
    <t>Felicity-Franklin Local Middle School</t>
  </si>
  <si>
    <t>Sylvania Timberstone Junior High School</t>
  </si>
  <si>
    <t>9000 Sylvania Ave, Sylvania, Ohio, 43560</t>
  </si>
  <si>
    <t>9000 Sylvania Ave</t>
  </si>
  <si>
    <t>Ravenna Preschool</t>
  </si>
  <si>
    <t>531 Washington Ave, Ravenna, Ohio, 44266</t>
  </si>
  <si>
    <t>531 Washington Ave</t>
  </si>
  <si>
    <t>Locust Corner Elementary School</t>
  </si>
  <si>
    <t>3431 Locust Corner Rd, Cincinnati, Ohio, 45245</t>
  </si>
  <si>
    <t>3431 Locust Corner Rd</t>
  </si>
  <si>
    <t>Portsmouth West Elementary School</t>
  </si>
  <si>
    <t>15332A Us Highway 52, West Portsmouth, Ohio, 45663</t>
  </si>
  <si>
    <t>15332A Us Highway 52</t>
  </si>
  <si>
    <t>Portsmouth West Middle School</t>
  </si>
  <si>
    <t>15332 US Highway 52 Unit B, West Portsmouth, Ohio, 45663</t>
  </si>
  <si>
    <t>15332 US Highway 52 Unit B</t>
  </si>
  <si>
    <t>Celina Intermediate Elementary School</t>
  </si>
  <si>
    <t>227 Portland St, Celina, Ohio, 45822</t>
  </si>
  <si>
    <t>227 Portland St</t>
  </si>
  <si>
    <t>Kinsner Elementary School</t>
  </si>
  <si>
    <t>19091 Waterford Pkwy, Strongsville, Ohio, 44149</t>
  </si>
  <si>
    <t>19091 Waterford Pkwy</t>
  </si>
  <si>
    <t>Safely Home</t>
  </si>
  <si>
    <t>121 Center Rd, Bedford, Ohio, 44146</t>
  </si>
  <si>
    <t>121 Center Rd</t>
  </si>
  <si>
    <t>ELP Stewart</t>
  </si>
  <si>
    <t>1199 V Odom Blvd, Akron, Ohio, 44307</t>
  </si>
  <si>
    <t>1199 V Odom Blvd</t>
  </si>
  <si>
    <t>Granville Christian Academy</t>
  </si>
  <si>
    <t>1820 Newark Granville Rd, Granville, Ohio, 43023</t>
  </si>
  <si>
    <t>1820 Newark Granville Rd</t>
  </si>
  <si>
    <t>Akron Montessori</t>
  </si>
  <si>
    <t>3882 Bywood Ave, Fairlawn, Ohio, 44333</t>
  </si>
  <si>
    <t>3882 Bywood Ave</t>
  </si>
  <si>
    <t>Mason Intermediate Elementary School</t>
  </si>
  <si>
    <t>6307 S Mason Montgomery Rd, Mason, Ohio, 45040</t>
  </si>
  <si>
    <t>6307 S Mason Montgomery Rd</t>
  </si>
  <si>
    <t>Avon Middle School</t>
  </si>
  <si>
    <t>3445 Long Rd, Avon, Ohio, 44011</t>
  </si>
  <si>
    <t>3445 Long Rd</t>
  </si>
  <si>
    <t>Sunrise Academy</t>
  </si>
  <si>
    <t>5657 Scioto Darby Rd, Hilliard, Ohio, 43026</t>
  </si>
  <si>
    <t>5657 Scioto Darby Rd</t>
  </si>
  <si>
    <t>Seton Catholic</t>
  </si>
  <si>
    <t>6923 Stow Rd, Hudson, Ohio, 44236</t>
  </si>
  <si>
    <t>6923 Stow Rd</t>
  </si>
  <si>
    <t>Miami Valley Christian Academy</t>
  </si>
  <si>
    <t>6830 School St, Newtown, Ohio, 45244</t>
  </si>
  <si>
    <t>6830 School St</t>
  </si>
  <si>
    <t>Newtown</t>
  </si>
  <si>
    <t>Bluffton Middle School</t>
  </si>
  <si>
    <t>116 S Jackson St, Bluffton, Ohio, 45817</t>
  </si>
  <si>
    <t>116 S Jackson St</t>
  </si>
  <si>
    <t>Bowling Green Preschool</t>
  </si>
  <si>
    <t>Scioto Ridge Elementary School</t>
  </si>
  <si>
    <t>8715 Big Bear Ave, Powell, Ohio, 43065</t>
  </si>
  <si>
    <t>8715 Big Bear Ave</t>
  </si>
  <si>
    <t>Arrowhead Elementary School</t>
  </si>
  <si>
    <t>2385 Hollenback Rd, Lewis Center, Ohio, 43035</t>
  </si>
  <si>
    <t>2385 Hollenback Rd</t>
  </si>
  <si>
    <t>Union Local Middle School</t>
  </si>
  <si>
    <t>66859 Belmont Morristown Rd, Belmont, Ohio, 43718</t>
  </si>
  <si>
    <t>66859 Belmont Morristown Rd</t>
  </si>
  <si>
    <t>Union Local Elementary School</t>
  </si>
  <si>
    <t>66699 Belmont Morristown Rd, Belmont, Ohio, 43718</t>
  </si>
  <si>
    <t>66699 Belmont Morristown Rd</t>
  </si>
  <si>
    <t>Montessori Academy of Cincinnati</t>
  </si>
  <si>
    <t>8293 Duke Blvd, Mason, Ohio, 45040</t>
  </si>
  <si>
    <t>8293 Duke Blvd</t>
  </si>
  <si>
    <t>Columbus Jewish Day School</t>
  </si>
  <si>
    <t>150 E Dublin Granville Rd, New Albany, Ohio, 43054</t>
  </si>
  <si>
    <t>150 E Dublin Granville Rd</t>
  </si>
  <si>
    <t>Jolly Tots Too!</t>
  </si>
  <si>
    <t>5511 N Hamilton Rd, Columbus, Ohio, 43230</t>
  </si>
  <si>
    <t>5511 N Hamilton Rd</t>
  </si>
  <si>
    <t>Kids Country Medina</t>
  </si>
  <si>
    <t>3550 Octagon Dr, Medina, Ohio, 44256</t>
  </si>
  <si>
    <t>3550 Octagon Dr</t>
  </si>
  <si>
    <t>Tree Of Life-Dublin Branch</t>
  </si>
  <si>
    <t>2900 Martin Rd, Dublin, Ohio, 43017</t>
  </si>
  <si>
    <t>2900 Martin Rd</t>
  </si>
  <si>
    <t>Hanna Perkins</t>
  </si>
  <si>
    <t>19910 Malvern Rd, Shaker Heights, Ohio, 44122</t>
  </si>
  <si>
    <t>19910 Malvern Rd</t>
  </si>
  <si>
    <t>Shepherd Christian</t>
  </si>
  <si>
    <t>425 S Hamilton Rd, Gahanna, Ohio, 43230</t>
  </si>
  <si>
    <t>425 S Hamilton Rd</t>
  </si>
  <si>
    <t>Hillcrest Training School</t>
  </si>
  <si>
    <t>246 Bonham Rd, Cincinnati, Ohio, 45215</t>
  </si>
  <si>
    <t>246 Bonham Rd</t>
  </si>
  <si>
    <t>Emmanuel  Christian School</t>
  </si>
  <si>
    <t>4607 W Laskey Rd, Toledo, Ohio, 43623</t>
  </si>
  <si>
    <t>4607 W Laskey Rd</t>
  </si>
  <si>
    <t>Springs East School</t>
  </si>
  <si>
    <t>9429 Loveland Madeira Rd, Cincinnati, Ohio, 45242</t>
  </si>
  <si>
    <t>9429 Loveland Madeira Rd</t>
  </si>
  <si>
    <t>Childrens House-Kdg-Bridgetown</t>
  </si>
  <si>
    <t>6155 Bridgetown Rd, Cincinnati, Ohio, 45248</t>
  </si>
  <si>
    <t>6155 Bridgetown Rd</t>
  </si>
  <si>
    <t>Ohio Valley Voices</t>
  </si>
  <si>
    <t>6642 Branch Hill Guinea Pike, Loveland, Ohio, 45140</t>
  </si>
  <si>
    <t>6642 Branch Hill Guinea Pike</t>
  </si>
  <si>
    <t>Royalmont Academy</t>
  </si>
  <si>
    <t>200 Northcrest Dr, Mason, Ohio, 45040</t>
  </si>
  <si>
    <t>200 Northcrest Dr</t>
  </si>
  <si>
    <t>Goddard School-Kindergarten</t>
  </si>
  <si>
    <t>8750 Olde Worthington Rd, Westerville, Ohio, 43082</t>
  </si>
  <si>
    <t>8750 Olde Worthington Rd</t>
  </si>
  <si>
    <t>KinderCare Learning Center</t>
  </si>
  <si>
    <t>1069 Nimitzview Dr, Cincinnati, Ohio, 45230</t>
  </si>
  <si>
    <t>1069 Nimitzview Dr</t>
  </si>
  <si>
    <t>Hershey Montessori Farm School</t>
  </si>
  <si>
    <t>11530 Madison Rd, Huntsburg, Ohio, 44046</t>
  </si>
  <si>
    <t>11530 Madison Rd</t>
  </si>
  <si>
    <t>Huntsburg</t>
  </si>
  <si>
    <t>44046</t>
  </si>
  <si>
    <t>St Mark's Evangelical Lutheran</t>
  </si>
  <si>
    <t>5849 Buckwheat Rd, Milford, Ohio, 45150</t>
  </si>
  <si>
    <t>5849 Buckwheat Rd</t>
  </si>
  <si>
    <t>International Academy Of Cincinnati  Inc.</t>
  </si>
  <si>
    <t>8094 Plantation Dr, West Chester, Ohio, 45069</t>
  </si>
  <si>
    <t>8094 Plantation Dr</t>
  </si>
  <si>
    <t>International Academy Of Cincinnati, Inc.</t>
  </si>
  <si>
    <t>Summit Acdy Comm Schl for Alternative Learners of Middletown</t>
  </si>
  <si>
    <t>Community School</t>
  </si>
  <si>
    <t>4700 Central Ave, Middletown, Ohio, 45044</t>
  </si>
  <si>
    <t>4700 Central Ave</t>
  </si>
  <si>
    <t>Summit Academy Management</t>
  </si>
  <si>
    <t>Community School Startup</t>
  </si>
  <si>
    <t>Summit Academy Community School Alternative Learners -Xenia</t>
  </si>
  <si>
    <t>1694 Pawnee Dr, Xenia, Ohio, 45385</t>
  </si>
  <si>
    <t>1694 Pawnee Dr</t>
  </si>
  <si>
    <t>Summit Academy Akron Middle School</t>
  </si>
  <si>
    <t>2791 Mogadore Rd, Akron, Ohio, 44312</t>
  </si>
  <si>
    <t>2791 Mogadore Rd</t>
  </si>
  <si>
    <t>Cliff Park High School</t>
  </si>
  <si>
    <t>821 N Limestone St, Springfield, Ohio, 45503</t>
  </si>
  <si>
    <t>821 N Limestone St</t>
  </si>
  <si>
    <t>Oakmont Education</t>
  </si>
  <si>
    <t>Dropout Recovery</t>
  </si>
  <si>
    <t>Marshall High School</t>
  </si>
  <si>
    <t>4720 Roosevelt Blvd, Middletown, Ohio, 45044</t>
  </si>
  <si>
    <t>4720 Roosevelt Blvd</t>
  </si>
  <si>
    <t>Montessori School of Wooster</t>
  </si>
  <si>
    <t>1170 Akron Rd, Wooster, Ohio, 44691</t>
  </si>
  <si>
    <t>1170 Akron Rd</t>
  </si>
  <si>
    <t>Kids Country-Green Campus</t>
  </si>
  <si>
    <t>1801 Town Park Blvd, Uniontown, Ohio, 44685</t>
  </si>
  <si>
    <t>1801 Town Park Blvd</t>
  </si>
  <si>
    <t>Potential Development/Autism</t>
  </si>
  <si>
    <t>2400 Market St, Youngstown, Ohio, 44507</t>
  </si>
  <si>
    <t>2400 Market St</t>
  </si>
  <si>
    <t>Christian Life Academy</t>
  </si>
  <si>
    <t>10595 Chillicothe Pike, Jackson, Ohio, 45640</t>
  </si>
  <si>
    <t>10595 Chillicothe Pike</t>
  </si>
  <si>
    <t>Bright Beginnings</t>
  </si>
  <si>
    <t>2973 Lantz Rd, Beavercreek, Ohio, 45434</t>
  </si>
  <si>
    <t>2973 Lantz Rd</t>
  </si>
  <si>
    <t>Miami Valley Academies</t>
  </si>
  <si>
    <t>5656 Springboro Pike, Dayton, Ohio, 45449</t>
  </si>
  <si>
    <t>5656 Springboro Pike</t>
  </si>
  <si>
    <t>EEG Miami Valley LLC</t>
  </si>
  <si>
    <t>Constellation Schools: Lorain Community Elementary</t>
  </si>
  <si>
    <t>1110 W 4th St, Lorain, Ohio, 44052</t>
  </si>
  <si>
    <t>1110 W 4th St</t>
  </si>
  <si>
    <t>Accel Constellation Holdings LLC</t>
  </si>
  <si>
    <t>Constellation Schools: Elyria Community</t>
  </si>
  <si>
    <t>300 N Abbe Rd, Elyria, Ohio, 44035</t>
  </si>
  <si>
    <t>300 N Abbe Rd</t>
  </si>
  <si>
    <t>YB Columbus Community School</t>
  </si>
  <si>
    <t>1183 Essex Ave, Columbus, Ohio, 43201</t>
  </si>
  <si>
    <t>1183 Essex Ave</t>
  </si>
  <si>
    <t>Constellation Schools: Westpark Community Elementary</t>
  </si>
  <si>
    <t>16210 Lorain Ave, Cleveland, Ohio, 44111</t>
  </si>
  <si>
    <t>16210 Lorain Ave</t>
  </si>
  <si>
    <t>Cleveland Clinic Lerner School for Autism</t>
  </si>
  <si>
    <t>2801 Martin Luther King Jr Dr, Cleveland, Ohio, 44104</t>
  </si>
  <si>
    <t>2801 Martin Luther King Jr Dr</t>
  </si>
  <si>
    <t>Holy Cross Prek And Kdg</t>
  </si>
  <si>
    <t>7707 Market Ave N, Canton, Ohio, 44721</t>
  </si>
  <si>
    <t>7707 Market Ave N</t>
  </si>
  <si>
    <t>Monarch School of Bellefaire JCB</t>
  </si>
  <si>
    <t>22001 Fairmount Blvd, Shaker Heights, Ohio, 44118</t>
  </si>
  <si>
    <t>22001 Fairmount Blvd</t>
  </si>
  <si>
    <t>The Children's Academy of Mason Inc.</t>
  </si>
  <si>
    <t>6956 Cintas Blvd, Mason, Ohio, 45040</t>
  </si>
  <si>
    <t>6956 Cintas Blvd</t>
  </si>
  <si>
    <t>All The Children Of The World Academy</t>
  </si>
  <si>
    <t>6841 Freeman Rd, Westerville, Ohio, 43082</t>
  </si>
  <si>
    <t>6841 Freeman Rd</t>
  </si>
  <si>
    <t>Cornerstone Christian Academy</t>
  </si>
  <si>
    <t>2846 Som Center Rd, Willoughby, Ohio, 44094</t>
  </si>
  <si>
    <t>2846 Som Center Rd</t>
  </si>
  <si>
    <t>Minerva Area Christian</t>
  </si>
  <si>
    <t>300 W Lincolnway, Minerva, Ohio, 44657</t>
  </si>
  <si>
    <t>300 W Lincolnway</t>
  </si>
  <si>
    <t>Cincinnati Hills-Otto Armleder</t>
  </si>
  <si>
    <t>140 W 9th St, Cincinnati, Ohio, 45202</t>
  </si>
  <si>
    <t>140 W 9th St</t>
  </si>
  <si>
    <t>Intergenerational School  The</t>
  </si>
  <si>
    <t>11327 Shaker Blvd Ste 200 E., Cleveland, Ohio, 44104</t>
  </si>
  <si>
    <t>11327 Shaker Blvd Ste 200 E.</t>
  </si>
  <si>
    <t>Data Aggregates to Local District</t>
  </si>
  <si>
    <t>Constellation Schools: Parma Community</t>
  </si>
  <si>
    <t>7667 Day Dr Fl 1ST, Parma, Ohio, 44129</t>
  </si>
  <si>
    <t>7667 Day Dr Fl 1ST</t>
  </si>
  <si>
    <t>Dohn Community</t>
  </si>
  <si>
    <t>608 E McMillan St, Cincinnati, Ohio, 45206</t>
  </si>
  <si>
    <t>608 E McMillan St</t>
  </si>
  <si>
    <t>Cincinnati Charter School Collaborative</t>
  </si>
  <si>
    <t>Washington Park Community School</t>
  </si>
  <si>
    <t>4000 Washington Park Blvd, Newburgh Heights, Ohio, 44105</t>
  </si>
  <si>
    <t>4000 Washington Park Blvd</t>
  </si>
  <si>
    <t>Newburgh Heights</t>
  </si>
  <si>
    <t>Summit Academy Community School for Alternative Learn-Canton</t>
  </si>
  <si>
    <t>1620 Market Ave S, Canton, Ohio, 44707</t>
  </si>
  <si>
    <t>1620 Market Ave S</t>
  </si>
  <si>
    <t>Summit Academy Community School Alternative Learners-Lorain</t>
  </si>
  <si>
    <t>2140 E 36th St, Lorain, Ohio, 44055</t>
  </si>
  <si>
    <t>2140 E 36th St</t>
  </si>
  <si>
    <t>T.C.P. World Academy</t>
  </si>
  <si>
    <t>6000 Ridge Ave, Cincinnati, Ohio, 45213</t>
  </si>
  <si>
    <t>6000 Ridge Ave</t>
  </si>
  <si>
    <t>Richard Allen Preparatory</t>
  </si>
  <si>
    <t>545 Odlin Ave, Dayton, Ohio, 45405</t>
  </si>
  <si>
    <t>545 Odlin Ave</t>
  </si>
  <si>
    <t>Educational Management and Development Group</t>
  </si>
  <si>
    <t>Graham School  The</t>
  </si>
  <si>
    <t>3950 Indianola Ave, Columbus, Ohio, 43214</t>
  </si>
  <si>
    <t>3950 Indianola Ave</t>
  </si>
  <si>
    <t>Cornerstone Academy Community School</t>
  </si>
  <si>
    <t>6015 E Walnut St, Westerville, Ohio, 43081</t>
  </si>
  <si>
    <t>6015 E Walnut St</t>
  </si>
  <si>
    <t>Accel Schools Ohio LLC</t>
  </si>
  <si>
    <t>Alliance Community Schools  Inc. dba Dayton Leadership Acade</t>
  </si>
  <si>
    <t>1416 W Riverview Ave, Dayton, Ohio, 45402</t>
  </si>
  <si>
    <t>1416 W Riverview Ave</t>
  </si>
  <si>
    <t>River Gate High School</t>
  </si>
  <si>
    <t>458 Franklin St SE, Warren, Ohio, 44483</t>
  </si>
  <si>
    <t>458 Franklin St SE</t>
  </si>
  <si>
    <t>ReGeneration Schools Avondale Elementary</t>
  </si>
  <si>
    <t>3595 Washington Ave, Cincinnati, Ohio, 45229</t>
  </si>
  <si>
    <t>3595 Washington Ave</t>
  </si>
  <si>
    <t>Cincinnati College Preparatory Academy</t>
  </si>
  <si>
    <t>1425 Linn St, Cincinnati, Ohio, 45214</t>
  </si>
  <si>
    <t>1425 Linn St</t>
  </si>
  <si>
    <t>Edge Learning</t>
  </si>
  <si>
    <t>92 N Union St, Akron, Ohio, 44304</t>
  </si>
  <si>
    <t>92 N Union St</t>
  </si>
  <si>
    <t>44304</t>
  </si>
  <si>
    <t>Ohio Achievement Charter Schools  Inc. dba Millennium Commun</t>
  </si>
  <si>
    <t>3500 Refugee Rd, Columbus, Ohio, 43232</t>
  </si>
  <si>
    <t>3500 Refugee Rd</t>
  </si>
  <si>
    <t>Summit Academy Akron Elementary School</t>
  </si>
  <si>
    <t>2503 Leland Ave, Akron, Ohio, 44312</t>
  </si>
  <si>
    <t>2503 Leland Ave</t>
  </si>
  <si>
    <t>1923 W 3rd St, Dayton, Ohio, 45417</t>
  </si>
  <si>
    <t>1923 W 3rd St</t>
  </si>
  <si>
    <t>Horizon Science Acad Cleveland</t>
  </si>
  <si>
    <t>6000 S Marginal Rd, Cleveland, Ohio, 44103</t>
  </si>
  <si>
    <t>6000 S Marginal Rd</t>
  </si>
  <si>
    <t>Concept Schools</t>
  </si>
  <si>
    <t>Horizon Science Academy Columbus</t>
  </si>
  <si>
    <t>1070 Morse Rd, Columbus, Ohio, 43229</t>
  </si>
  <si>
    <t>1070 Morse Rd</t>
  </si>
  <si>
    <t xml:space="preserve">Riverside Community School  Inc. dba Riverside Academy  </t>
  </si>
  <si>
    <t>3280 River Rd, Cincinnati, Ohio, 45204</t>
  </si>
  <si>
    <t>3280 River Rd</t>
  </si>
  <si>
    <t>Richard Allen Academy</t>
  </si>
  <si>
    <t>1206 Shuler Ave, Hamilton, Ohio, 45011</t>
  </si>
  <si>
    <t>1206 Shuler Ave</t>
  </si>
  <si>
    <t>Queen City Career Prep High School</t>
  </si>
  <si>
    <t>791 E Mcmillan St, Cincinnati, Ohio, 45206</t>
  </si>
  <si>
    <t>791 E Mcmillan St</t>
  </si>
  <si>
    <t>LS Cincinnati, LLC</t>
  </si>
  <si>
    <t>Invictus High School</t>
  </si>
  <si>
    <t>3122 Euclid Ave, Cleveland, Ohio, 44115</t>
  </si>
  <si>
    <t>3122 Euclid Ave</t>
  </si>
  <si>
    <t>Towpath Trail High School</t>
  </si>
  <si>
    <t>275 W Market St, Akron, Ohio, 44303</t>
  </si>
  <si>
    <t>275 W Market St</t>
  </si>
  <si>
    <t>Toledo School For The Arts</t>
  </si>
  <si>
    <t>333 14th St, Toledo, Ohio, 43604</t>
  </si>
  <si>
    <t>333 14th St</t>
  </si>
  <si>
    <t>Youngstown Community School</t>
  </si>
  <si>
    <t>50 Essex St, Youngstown, Ohio, 44502</t>
  </si>
  <si>
    <t>50 Essex St</t>
  </si>
  <si>
    <t>Constellation Schools: Old Brooklyn Community Elementary</t>
  </si>
  <si>
    <t>4430 State Rd, Cleveland, Ohio, 44109</t>
  </si>
  <si>
    <t>4430 State Rd</t>
  </si>
  <si>
    <t>Autism Model School</t>
  </si>
  <si>
    <t>3020 Tremainsville Rd, Toledo, Ohio, 43613</t>
  </si>
  <si>
    <t>3020 Tremainsville Rd</t>
  </si>
  <si>
    <t>Green Inspiration Academy</t>
  </si>
  <si>
    <t>4901 Galaxy Pkwy Ste L, Cleveland, Ohio, 44128</t>
  </si>
  <si>
    <t>4901 Galaxy Pkwy Ste L</t>
  </si>
  <si>
    <t>AJ Hart Management, LLC.</t>
  </si>
  <si>
    <t>Middlebury Academy</t>
  </si>
  <si>
    <t>88 Kent St, Akron, Ohio, 44305</t>
  </si>
  <si>
    <t>88 Kent St</t>
  </si>
  <si>
    <t>EEG Middlebury Academy LLC</t>
  </si>
  <si>
    <t>City Day Community School</t>
  </si>
  <si>
    <t>320 S Main St, Dayton, Ohio, 45402</t>
  </si>
  <si>
    <t>320 S Main St</t>
  </si>
  <si>
    <t>Logan Christian School</t>
  </si>
  <si>
    <t>650 Walhonding Ave, Logan, Ohio, 43138</t>
  </si>
  <si>
    <t>650 Walhonding Ave</t>
  </si>
  <si>
    <t>Mother Teresa Catholic</t>
  </si>
  <si>
    <t>7197 Mother Teresa Lane, Liberty Township, Ohio, 45044</t>
  </si>
  <si>
    <t>7197 Mother Teresa Lane</t>
  </si>
  <si>
    <t>Cincinnati Waldorf School</t>
  </si>
  <si>
    <t>6743 Chestnut St, Cincinnati, Ohio, 45227</t>
  </si>
  <si>
    <t>6743 Chestnut St</t>
  </si>
  <si>
    <t>Harambee Christian</t>
  </si>
  <si>
    <t>1000 Bonham Ave, Columbus, Ohio, 43211</t>
  </si>
  <si>
    <t>1000 Bonham Ave</t>
  </si>
  <si>
    <t>Central College Christian School</t>
  </si>
  <si>
    <t>975 S Sunbury Rd, Westerville, Ohio, 43081</t>
  </si>
  <si>
    <t>975 S Sunbury Rd</t>
  </si>
  <si>
    <t>Toledo Islamic Academy</t>
  </si>
  <si>
    <t>5225 Alexis Rd, Sylvania, Ohio, 43560</t>
  </si>
  <si>
    <t>5225 Alexis Rd</t>
  </si>
  <si>
    <t>Cornerstone Community</t>
  </si>
  <si>
    <t>90 W Overdale Dr, Tallmadge, Ohio, 44278</t>
  </si>
  <si>
    <t>90 W Overdale Dr</t>
  </si>
  <si>
    <t>Cleveland Montessori</t>
  </si>
  <si>
    <t>12510 Mayfield Rd, Cleveland, Ohio, 44106</t>
  </si>
  <si>
    <t>12510 Mayfield Rd</t>
  </si>
  <si>
    <t>Fairfield Christian Academy</t>
  </si>
  <si>
    <t>1965 N Columbus St, Lancaster, Ohio, 43130</t>
  </si>
  <si>
    <t>1965 N Columbus St</t>
  </si>
  <si>
    <t>New Hope Christian Academy</t>
  </si>
  <si>
    <t>2264 Walnut Creek Pike, Circleville, Ohio, 43113</t>
  </si>
  <si>
    <t>2264 Walnut Creek Pike</t>
  </si>
  <si>
    <t>Dayton Islamic School  Inc</t>
  </si>
  <si>
    <t>3662 E Patterson Rd, Beavercreek, Ohio, 45430</t>
  </si>
  <si>
    <t>3662 E Patterson Rd</t>
  </si>
  <si>
    <t>Dayton Islamic School, Inc</t>
  </si>
  <si>
    <t>Joyland Presch &amp; Kindergarten</t>
  </si>
  <si>
    <t>5400 Wilcox Rd, Dublin, Ohio, 43016</t>
  </si>
  <si>
    <t>5400 Wilcox Rd</t>
  </si>
  <si>
    <t>2177 Emmanuel Way, Springfield, Ohio, 45502</t>
  </si>
  <si>
    <t>2177 Emmanuel Way</t>
  </si>
  <si>
    <t>Clear Fork Middle School</t>
  </si>
  <si>
    <t>Schilling School For Gifted</t>
  </si>
  <si>
    <t>8100 Cornell Rd, Cincinnati, Ohio, 45249</t>
  </si>
  <si>
    <t>8100 Cornell Rd</t>
  </si>
  <si>
    <t>38850 State Route 7, Reedsville, Ohio, 45772</t>
  </si>
  <si>
    <t>38850 State Route 7</t>
  </si>
  <si>
    <t>Rapid Run Middle School</t>
  </si>
  <si>
    <t>6345 Rapid Run Rd, Cincinnati, Ohio, 45233</t>
  </si>
  <si>
    <t>6345 Rapid Run Rd</t>
  </si>
  <si>
    <t>Henry Karrer Middle School</t>
  </si>
  <si>
    <t>7245 Tullymore Dr, Dublin, Ohio, 43016</t>
  </si>
  <si>
    <t>7245 Tullymore Dr</t>
  </si>
  <si>
    <t>Genoa Middle School</t>
  </si>
  <si>
    <t>5948 S Old 3c Hwy, Westerville, Ohio, 43082</t>
  </si>
  <si>
    <t>5948 S Old 3c Hwy</t>
  </si>
  <si>
    <t>Hillsboro Middle School</t>
  </si>
  <si>
    <t>Nagel Middle School</t>
  </si>
  <si>
    <t>1500 Nagel Rd, Cincinnati, Ohio, 45255</t>
  </si>
  <si>
    <t>1500 Nagel Rd</t>
  </si>
  <si>
    <t>Wauseon Primary School</t>
  </si>
  <si>
    <t>940 E Leggett St, Wauseon, Ohio, 43567</t>
  </si>
  <si>
    <t>940 E Leggett St</t>
  </si>
  <si>
    <t>Twinsburg High School</t>
  </si>
  <si>
    <t>10084 Ravenna Rd, Twinsburg, Ohio, 44087</t>
  </si>
  <si>
    <t>10084 Ravenna Rd</t>
  </si>
  <si>
    <t>Medlar View Elementary School</t>
  </si>
  <si>
    <t>4400 Medlar Rd, Miamisburg, Ohio, 45342</t>
  </si>
  <si>
    <t>4400 Medlar Rd</t>
  </si>
  <si>
    <t>Southeast Intermediate Elementary School</t>
  </si>
  <si>
    <t>6767 Gender Rd, Canal Winchester, Ohio, 43110</t>
  </si>
  <si>
    <t>6767 Gender Rd</t>
  </si>
  <si>
    <t>Huntington Middle School</t>
  </si>
  <si>
    <t>Stanton Middle School</t>
  </si>
  <si>
    <t>1175 Hudson Rd, Kent, Ohio, 44240</t>
  </si>
  <si>
    <t>1175 Hudson Rd</t>
  </si>
  <si>
    <t>Piqua Junior High School</t>
  </si>
  <si>
    <t>1 Tomahawk Trl, Piqua, Ohio, 45356</t>
  </si>
  <si>
    <t>1 Tomahawk Trl</t>
  </si>
  <si>
    <t>Lowellville Elementary School</t>
  </si>
  <si>
    <t>John C Dempsey Middle School</t>
  </si>
  <si>
    <t>599 Pennsylvania Ave, Delaware, Ohio, 43015</t>
  </si>
  <si>
    <t>599 Pennsylvania Ave</t>
  </si>
  <si>
    <t>The Good Shepherd Catholic Montessori</t>
  </si>
  <si>
    <t>4460 Berwick St, Cincinnati, Ohio, 45227</t>
  </si>
  <si>
    <t>4460 Berwick St</t>
  </si>
  <si>
    <t xml:space="preserve">Eastmoor Academy </t>
  </si>
  <si>
    <t>417 S Weyant Ave, Columbus, Ohio, 43213</t>
  </si>
  <si>
    <t>417 S Weyant Ave</t>
  </si>
  <si>
    <t>Mogadore Junior High School</t>
  </si>
  <si>
    <t>Ridgewood Middle School</t>
  </si>
  <si>
    <t>517 S Oak St, West Lafayette, Ohio, 43845</t>
  </si>
  <si>
    <t>517 S Oak St</t>
  </si>
  <si>
    <t>Springboro Intermediate School</t>
  </si>
  <si>
    <t>705 S Main St, Springboro, Ohio, 45066</t>
  </si>
  <si>
    <t>705 S Main St</t>
  </si>
  <si>
    <t>Franklin Woods Intermediate School</t>
  </si>
  <si>
    <t>1831 Finland Ave, Columbus, Ohio, 43223</t>
  </si>
  <si>
    <t>1831 Finland Ave</t>
  </si>
  <si>
    <t>Holt Crossing Intermediate School</t>
  </si>
  <si>
    <t>2706 Holt Rd, Grove City, Ohio, 43123</t>
  </si>
  <si>
    <t>2706 Holt Rd</t>
  </si>
  <si>
    <t>Galloway Ridge Intermediate School</t>
  </si>
  <si>
    <t>122 Galloway Rd, Galloway, Ohio, 43119</t>
  </si>
  <si>
    <t>122 Galloway Rd</t>
  </si>
  <si>
    <t>Park Street Intermediate School</t>
  </si>
  <si>
    <t>3191 Park St, Grove City, Ohio, 43123</t>
  </si>
  <si>
    <t>3191 Park St</t>
  </si>
  <si>
    <t>Julian &amp; Marjorie Lange School Elementary School</t>
  </si>
  <si>
    <t>219 W Dorothy Ln, Dayton, Ohio, 45429</t>
  </si>
  <si>
    <t>219 W Dorothy Ln</t>
  </si>
  <si>
    <t>Little Miami Elementary School</t>
  </si>
  <si>
    <t>605 Welch Rd, Morrow, Ohio, 45152</t>
  </si>
  <si>
    <t>605 Welch Rd</t>
  </si>
  <si>
    <t>12410 Harmon Rd, Pickerington, Ohio, 43147</t>
  </si>
  <si>
    <t>12410 Harmon Rd</t>
  </si>
  <si>
    <t>Diley Middle School</t>
  </si>
  <si>
    <t>750 Preston Trails Dr, Pickerington, Ohio, 43147</t>
  </si>
  <si>
    <t>750 Preston Trails Dr</t>
  </si>
  <si>
    <t>Southeastern Jr. High School</t>
  </si>
  <si>
    <t>Tinora Elementary School</t>
  </si>
  <si>
    <t>5751 Domersville Rd, Defiance, Ohio, 43512</t>
  </si>
  <si>
    <t>5751 Domersville Rd</t>
  </si>
  <si>
    <t>Lynchburg-Clay Elementary School</t>
  </si>
  <si>
    <t>6760 State Route 134, Lynchburg, Ohio, 45142</t>
  </si>
  <si>
    <t>6760 State Route 134</t>
  </si>
  <si>
    <t>Lynchburg-Clay Middle School</t>
  </si>
  <si>
    <t>8250 State Route 134, Lynchburg, Ohio, 45142</t>
  </si>
  <si>
    <t>8250 State Route 134</t>
  </si>
  <si>
    <t>Central Intermediate School</t>
  </si>
  <si>
    <t>151 Main St, Wadsworth, Ohio, 44281</t>
  </si>
  <si>
    <t>151 Main St</t>
  </si>
  <si>
    <t>Monroe High School</t>
  </si>
  <si>
    <t>220 Yankee Rd, Monroe, Ohio, 45050</t>
  </si>
  <si>
    <t>220 Yankee Rd</t>
  </si>
  <si>
    <t>230 Yankee Rd, Monroe, Ohio, 45050</t>
  </si>
  <si>
    <t>230 Yankee Rd</t>
  </si>
  <si>
    <t>Oak Creek Elementary School</t>
  </si>
  <si>
    <t>1256 Westwood Dr, Lewis Center, Ohio, 43035</t>
  </si>
  <si>
    <t>1256 Westwood Dr</t>
  </si>
  <si>
    <t>Bright Elementary School</t>
  </si>
  <si>
    <t>6100 Fair Ridge Rd, Hillsboro, Ohio, 45133</t>
  </si>
  <si>
    <t>6100 Fair Ridge Rd</t>
  </si>
  <si>
    <t>Stingel Elementary School</t>
  </si>
  <si>
    <t>426 Shelby Ontario Rd, Ontario, Ohio, 44906</t>
  </si>
  <si>
    <t>426 Shelby Ontario Rd</t>
  </si>
  <si>
    <t>Girard Junior High School</t>
  </si>
  <si>
    <t>Loveland Intermediate School</t>
  </si>
  <si>
    <t>Carson School</t>
  </si>
  <si>
    <t>4323 Glenway Ave, Cincinnati, Ohio, 45205</t>
  </si>
  <si>
    <t>4323 Glenway Ave</t>
  </si>
  <si>
    <t>Liberty Center Middle School</t>
  </si>
  <si>
    <t>H G Blake Elementary School</t>
  </si>
  <si>
    <t>4704 Lexington Ridge Dr, Medina, Ohio, 44256</t>
  </si>
  <si>
    <t>4704 Lexington Ridge Dr</t>
  </si>
  <si>
    <t>Choices Alternative School</t>
  </si>
  <si>
    <t>Portsmouth Elementary</t>
  </si>
  <si>
    <t>514 Union St, Portsmouth, Ohio, 45662</t>
  </si>
  <si>
    <t>514 Union St</t>
  </si>
  <si>
    <t>Creekview Intermediate Elementary School</t>
  </si>
  <si>
    <t>2000 Creekview Dr, Marysville, Ohio, 43040</t>
  </si>
  <si>
    <t>2000 Creekview Dr</t>
  </si>
  <si>
    <t>Alton Darby Elementary School</t>
  </si>
  <si>
    <t>2730 Alton Darby Creek Rd, Hilliard, Ohio, 43026</t>
  </si>
  <si>
    <t>2730 Alton Darby Creek Rd</t>
  </si>
  <si>
    <t>Hilliard Tharp Sixth Grade Elementary School</t>
  </si>
  <si>
    <t>4681 Leap Rd, Hilliard, Ohio, 43026</t>
  </si>
  <si>
    <t>4681 Leap Rd</t>
  </si>
  <si>
    <t>Hoffman Trails Elementary School</t>
  </si>
  <si>
    <t>4301 Hoffman Farms Dr, Hilliard, Ohio, 43026</t>
  </si>
  <si>
    <t>4301 Hoffman Farms Dr</t>
  </si>
  <si>
    <t>Hilliard Memorial Middle School</t>
  </si>
  <si>
    <t>2900 Walker Rd, Hilliard, Ohio, 43026</t>
  </si>
  <si>
    <t>2900 Walker Rd</t>
  </si>
  <si>
    <t>Triad Middle School</t>
  </si>
  <si>
    <t>7941 Brush Lake Rd, North Lewisburg, Ohio, 43060</t>
  </si>
  <si>
    <t>7941 Brush Lake Rd</t>
  </si>
  <si>
    <t>Leighton Elementary School</t>
  </si>
  <si>
    <t>121 Aurora Hudson Rd, Aurora, Ohio, 44202</t>
  </si>
  <si>
    <t>121 Aurora Hudson Rd</t>
  </si>
  <si>
    <t>Tyler Run Elementary School</t>
  </si>
  <si>
    <t>580 Salisbury Dr, Powell, Ohio, 43065</t>
  </si>
  <si>
    <t>580 Salisbury Dr</t>
  </si>
  <si>
    <t>Olentangy Liberty Middle School</t>
  </si>
  <si>
    <t>7940 Liberty Rd N, Powell, Ohio, 43065</t>
  </si>
  <si>
    <t>7940 Liberty Rd N</t>
  </si>
  <si>
    <t>2271 Holton Rd, Grove City, Ohio, 43123</t>
  </si>
  <si>
    <t>2271 Holton Rd</t>
  </si>
  <si>
    <t>Central Crossing High School</t>
  </si>
  <si>
    <t>4500 Big Run South Rd, Grove City, Ohio, 43123</t>
  </si>
  <si>
    <t>4500 Big Run South Rd</t>
  </si>
  <si>
    <t>Columbus Africentric Early College High School</t>
  </si>
  <si>
    <t>Southern Elementary School</t>
  </si>
  <si>
    <t>Morgan Junior High School</t>
  </si>
  <si>
    <t>820 Junior Raider Dr, Mc Connelsville, Ohio, 43756</t>
  </si>
  <si>
    <t>820 Junior Raider Dr</t>
  </si>
  <si>
    <t>4265 N State Route 376 NW, Mc Connelsville, Ohio, 43756</t>
  </si>
  <si>
    <t>4265 N State Route 376 NW</t>
  </si>
  <si>
    <t>9675 State Route 37, Malta, Ohio, 43758</t>
  </si>
  <si>
    <t>9675 State Route 37</t>
  </si>
  <si>
    <t>Malta</t>
  </si>
  <si>
    <t>43758</t>
  </si>
  <si>
    <t>3555 State Route 792, Stockport, Ohio, 43787</t>
  </si>
  <si>
    <t>3555 State Route 792</t>
  </si>
  <si>
    <t>Stockport</t>
  </si>
  <si>
    <t>43787</t>
  </si>
  <si>
    <t>Fairfield Local Middle School</t>
  </si>
  <si>
    <t>Belpre Elementary School</t>
  </si>
  <si>
    <t>2000 Rockland Ave, Belpre, Ohio, 45714</t>
  </si>
  <si>
    <t>2000 Rockland Ave</t>
  </si>
  <si>
    <t>New London Middle School</t>
  </si>
  <si>
    <t>Anna Middle School</t>
  </si>
  <si>
    <t>Virtual High School</t>
  </si>
  <si>
    <t>425 Ezzard Charles Dr, Cincinnati, Ohio, 45203</t>
  </si>
  <si>
    <t>425 Ezzard Charles Dr</t>
  </si>
  <si>
    <t>14060 Blosser Rd, Sherwood, Ohio, 43556</t>
  </si>
  <si>
    <t>14060 Blosser Rd</t>
  </si>
  <si>
    <t>Bellaire Elementary School</t>
  </si>
  <si>
    <t>53299 Pike St, Bellaire, Ohio, 43906</t>
  </si>
  <si>
    <t>53299 Pike St</t>
  </si>
  <si>
    <t>Bellaire Middle School</t>
  </si>
  <si>
    <t>54555 Bellaire-Neffs Rd, Bellaire, Ohio, 43906</t>
  </si>
  <si>
    <t>54555 Bellaire-Neffs Rd</t>
  </si>
  <si>
    <t>Moreland Hills Elementary School</t>
  </si>
  <si>
    <t>100 N East St, Pickerington, Ohio, 43147</t>
  </si>
  <si>
    <t>100 N East St</t>
  </si>
  <si>
    <t>Stark High School</t>
  </si>
  <si>
    <t>1379 Garfield Ave SW Ste B, Canton, Ohio, 44706</t>
  </si>
  <si>
    <t>1379 Garfield Ave SW Ste B</t>
  </si>
  <si>
    <t>EEG LS Canton LLC</t>
  </si>
  <si>
    <t>Black River Career Prep High School</t>
  </si>
  <si>
    <t>2015 W River Rd N, Elyria, Ohio, 44035</t>
  </si>
  <si>
    <t>2015 W River Rd N</t>
  </si>
  <si>
    <t>LS Elyria, LLC</t>
  </si>
  <si>
    <t>Focus Learning Academy of Southwest Columbus</t>
  </si>
  <si>
    <t>190 Southwood Ave, Columbus, Ohio, 43207</t>
  </si>
  <si>
    <t>190 Southwood Ave</t>
  </si>
  <si>
    <t>eSchool Consultants, Inc.</t>
  </si>
  <si>
    <t>Focus Learning Academy of Southeastern Columbus</t>
  </si>
  <si>
    <t>4480 Refugee Rd, Columbus, Ohio, 43232</t>
  </si>
  <si>
    <t>4480 Refugee Rd</t>
  </si>
  <si>
    <t>Focus Learning Academy of Northern Columbus</t>
  </si>
  <si>
    <t>1880 E Dublin Granville Rd, Columbus, Ohio, 43229</t>
  </si>
  <si>
    <t>1880 E Dublin Granville Rd</t>
  </si>
  <si>
    <t>Focus-Ed Investment Ventures LLC</t>
  </si>
  <si>
    <t>Community School Conversion</t>
  </si>
  <si>
    <t>Ohio Virtual Academy</t>
  </si>
  <si>
    <t>1690 Woodlands Dr Ste 100, Maumee, Ohio, 43537</t>
  </si>
  <si>
    <t>1690 Woodlands Dr Ste 100</t>
  </si>
  <si>
    <t>K12 Virtual Schools LLC</t>
  </si>
  <si>
    <t>Virtual School</t>
  </si>
  <si>
    <t>Hope Academy Northcoast</t>
  </si>
  <si>
    <t>4310 E 71st St, Cleveland, Ohio, 44105</t>
  </si>
  <si>
    <t>4310 E 71st St</t>
  </si>
  <si>
    <t>Bowling Green Christian Acdmy</t>
  </si>
  <si>
    <t>1165 Haskins Rd, Bowling Green, Ohio, 43402</t>
  </si>
  <si>
    <t>1165 Haskins Rd</t>
  </si>
  <si>
    <t>Dublin Prep Academy</t>
  </si>
  <si>
    <t>5720 Avery Rd, Dublin, Ohio, 43016</t>
  </si>
  <si>
    <t>5720 Avery Rd</t>
  </si>
  <si>
    <t>Bethlehem Lutheran School</t>
  </si>
  <si>
    <t>1240 S Maple Ave, Fairborn, Ohio, 45324</t>
  </si>
  <si>
    <t>1240 S Maple Ave</t>
  </si>
  <si>
    <t>Beatrice J. Stone Yavne</t>
  </si>
  <si>
    <t>2475 S Green Rd, Beachwood, Ohio, 44122</t>
  </si>
  <si>
    <t>2475 S Green Rd</t>
  </si>
  <si>
    <t>Liberty Bible Academy</t>
  </si>
  <si>
    <t>4900 Old Irwin Simpson Rd, Mason, Ohio, 45040</t>
  </si>
  <si>
    <t>4900 Old Irwin Simpson Rd</t>
  </si>
  <si>
    <t>International Acad Of Columbus</t>
  </si>
  <si>
    <t>2439 Fuji Dr, Columbus, Ohio, 43229</t>
  </si>
  <si>
    <t>2439 Fuji Dr</t>
  </si>
  <si>
    <t>Great Western Academy</t>
  </si>
  <si>
    <t>310 N Wilson Rd, Columbus, Ohio, 43204</t>
  </si>
  <si>
    <t>310 N Wilson Rd</t>
  </si>
  <si>
    <t>Imagine Schools, Inc.</t>
  </si>
  <si>
    <t>Trotwood Preparatory &amp; Fitness Academy</t>
  </si>
  <si>
    <t>3100 Shiloh Springs Rd, Trotwood, Ohio, 45426</t>
  </si>
  <si>
    <t>3100 Shiloh Springs Rd</t>
  </si>
  <si>
    <t>Performance Academies, LLC</t>
  </si>
  <si>
    <t>Middletown Preparatory &amp; Fitness Academy</t>
  </si>
  <si>
    <t>816 2nd Ave, Middletown, Ohio, 45044</t>
  </si>
  <si>
    <t>816 2nd Ave</t>
  </si>
  <si>
    <t>The Islamic School of Greater Toledo</t>
  </si>
  <si>
    <t>25877 Scheider Rd, Perrysburg, Ohio, 43551</t>
  </si>
  <si>
    <t>25877 Scheider Rd</t>
  </si>
  <si>
    <t>Faith Islamic Academy</t>
  </si>
  <si>
    <t>152 E Steels Corners Rd, Cuyahoga Falls, Ohio, 44224</t>
  </si>
  <si>
    <t>152 E Steels Corners Rd</t>
  </si>
  <si>
    <t>The Autism Academy Of Learning</t>
  </si>
  <si>
    <t>110 Arco Dr, Toledo, Ohio, 43607</t>
  </si>
  <si>
    <t>110 Arco Dr</t>
  </si>
  <si>
    <t>TRECA Digital Academy</t>
  </si>
  <si>
    <t>107 N Main St, Marion, Ohio, 43302</t>
  </si>
  <si>
    <t>107 N Main St</t>
  </si>
  <si>
    <t>Innovation Academy West</t>
  </si>
  <si>
    <t>13111 Crossburn Ave, Cleveland, Ohio, 44135</t>
  </si>
  <si>
    <t>13111 Crossburn Ave</t>
  </si>
  <si>
    <t>EEG Elementary</t>
  </si>
  <si>
    <t>Alternative Education Academy dba OHDELA</t>
  </si>
  <si>
    <t>4 Summit Park Dr Ste 350, Independence, Ohio, 44131</t>
  </si>
  <si>
    <t>4 Summit Park Dr Ste 350</t>
  </si>
  <si>
    <t>ACCEL Online Ohio LLC</t>
  </si>
  <si>
    <t>Constellation Schools: Puritas Community Elementary</t>
  </si>
  <si>
    <t>17720 Puritas Ave, Cleveland, Ohio, 44135</t>
  </si>
  <si>
    <t>17720 Puritas Ave</t>
  </si>
  <si>
    <t>Constellation Schools: Stockyard Community Elementary</t>
  </si>
  <si>
    <t>3200 W 65th St, Cleveland, Ohio, 44102</t>
  </si>
  <si>
    <t>3200 W 65th St</t>
  </si>
  <si>
    <t>North Dayton School of Discovery</t>
  </si>
  <si>
    <t>3901 Turner Rd, Dayton, Ohio, 45415</t>
  </si>
  <si>
    <t>3901 Turner Rd</t>
  </si>
  <si>
    <t>National Heritage Academies, Inc.</t>
  </si>
  <si>
    <t>Hamilton Cnty Math &amp; Science</t>
  </si>
  <si>
    <t>2675 Civic Center Dr, Cincinnati, Ohio, 45231</t>
  </si>
  <si>
    <t>2675 Civic Center Dr</t>
  </si>
  <si>
    <t>Arts &amp; College Preparatory Academy</t>
  </si>
  <si>
    <t>4401 Hilton Corporate Dr, Columbus, Ohio, 43232</t>
  </si>
  <si>
    <t>4401 Hilton Corporate Dr</t>
  </si>
  <si>
    <t>Sciotoville Community School</t>
  </si>
  <si>
    <t>224 Marshall St, Portsmouth, Ohio, 45662</t>
  </si>
  <si>
    <t>224 Marshall St</t>
  </si>
  <si>
    <t>Kings Mills Educational Center</t>
  </si>
  <si>
    <t>1797 Kings Mills Rd, Kings Mills, Ohio, 45034</t>
  </si>
  <si>
    <t>1797 Kings Mills Rd</t>
  </si>
  <si>
    <t>Henry Defer Intermediate Elementary School</t>
  </si>
  <si>
    <t>1895 Annalane Dr, Streetsboro, Ohio, 44241</t>
  </si>
  <si>
    <t>1895 Annalane Dr</t>
  </si>
  <si>
    <t>Pickerington Lakeview Junior High</t>
  </si>
  <si>
    <t>12445 Ault Rd, Pickerington, Ohio, 43147</t>
  </si>
  <si>
    <t>12445 Ault Rd</t>
  </si>
  <si>
    <t>Pickerington High School North</t>
  </si>
  <si>
    <t>7800 Refugee Rd, Pickerington, Ohio, 43147</t>
  </si>
  <si>
    <t>7800 Refugee Rd</t>
  </si>
  <si>
    <t>Hill Intermediate Elementary School</t>
  </si>
  <si>
    <t>150 Fossyl Dr, Bethel, Ohio, 45106</t>
  </si>
  <si>
    <t>150 Fossyl Dr</t>
  </si>
  <si>
    <t>Bick Primary Elementary School</t>
  </si>
  <si>
    <t>101 Fossyl Dr, Bethel, Ohio, 45106</t>
  </si>
  <si>
    <t>101 Fossyl Dr</t>
  </si>
  <si>
    <t>Maysville Elementary School</t>
  </si>
  <si>
    <t>3850 Panther Dr, Zanesville, Ohio, 43701</t>
  </si>
  <si>
    <t>3850 Panther Dr</t>
  </si>
  <si>
    <t>Alliance Middle School</t>
  </si>
  <si>
    <t>3205 S Union Ave, Alliance, Ohio, 44601</t>
  </si>
  <si>
    <t>3205 S Union Ave</t>
  </si>
  <si>
    <t>Alliance Intermediate School @ Northside</t>
  </si>
  <si>
    <t>701 Johnson Ave, Alliance, Ohio, 44601</t>
  </si>
  <si>
    <t>701 Johnson Ave</t>
  </si>
  <si>
    <t>Alliance Elementary School at Rockhill</t>
  </si>
  <si>
    <t>2400 S Rockhill Ave, Alliance, Ohio, 44601</t>
  </si>
  <si>
    <t>2400 S Rockhill Ave</t>
  </si>
  <si>
    <t>Strausser Elementary School</t>
  </si>
  <si>
    <t>8646 Strausser St NW, Massillon, Ohio, 44646</t>
  </si>
  <si>
    <t>8646 Strausser St NW</t>
  </si>
  <si>
    <t>Winchester Trail Elementary</t>
  </si>
  <si>
    <t>6865 Gender Rd, Canal Winchester, Ohio, 43110</t>
  </si>
  <si>
    <t>6865 Gender Rd</t>
  </si>
  <si>
    <t>Granville Intermediate School</t>
  </si>
  <si>
    <t>2025 Burg St, Granville, Ohio, 43023</t>
  </si>
  <si>
    <t>2025 Burg St</t>
  </si>
  <si>
    <t>Western Hills University High School</t>
  </si>
  <si>
    <t>2144 Ferguson Rd, Cincinnati, Ohio, 45238</t>
  </si>
  <si>
    <t>2144 Ferguson Rd</t>
  </si>
  <si>
    <t>Academy for Multilingual Immersion Studies</t>
  </si>
  <si>
    <t>1908 Seymour Ave, Cincinnati, Ohio, 45237</t>
  </si>
  <si>
    <t>1908 Seymour Ave</t>
  </si>
  <si>
    <t>Riverview East Academy</t>
  </si>
  <si>
    <t>3555 Kellogg Ave, Cincinnati, Ohio, 45226</t>
  </si>
  <si>
    <t>3555 Kellogg Ave</t>
  </si>
  <si>
    <t>Struthers Elementary School</t>
  </si>
  <si>
    <t>520 9th St, Struthers, Ohio, 44471</t>
  </si>
  <si>
    <t>520 9th St</t>
  </si>
  <si>
    <t>Olentangy Liberty High School</t>
  </si>
  <si>
    <t>3584 Home Rd, Powell, Ohio, 43065</t>
  </si>
  <si>
    <t>3584 Home Rd</t>
  </si>
  <si>
    <t>Greeneview Elementary School</t>
  </si>
  <si>
    <t>53 N Limestone St, Jamestown, Ohio, 45335</t>
  </si>
  <si>
    <t>53 N Limestone St</t>
  </si>
  <si>
    <t>Unity Elementary School</t>
  </si>
  <si>
    <t>925 E 3rd St, Lima, Ohio, 45804</t>
  </si>
  <si>
    <t>925 E 3rd St</t>
  </si>
  <si>
    <t>575 Calumet Ave, Lima, Ohio, 45804</t>
  </si>
  <si>
    <t>575 Calumet Ave</t>
  </si>
  <si>
    <t>816 College Ave, Lima, Ohio, 45805</t>
  </si>
  <si>
    <t>816 College Ave</t>
  </si>
  <si>
    <t>Eli Pinney Elementary School</t>
  </si>
  <si>
    <t>9989 Concord Rd, Dublin, Ohio, 43017</t>
  </si>
  <si>
    <t>9989 Concord Rd</t>
  </si>
  <si>
    <t>Navin Elementary School</t>
  </si>
  <si>
    <t>16265 County Home Rd, Marysville, Ohio, 43040</t>
  </si>
  <si>
    <t>16265 County Home Rd</t>
  </si>
  <si>
    <t>Fouse Elementary School</t>
  </si>
  <si>
    <t>5800 S Old 3c Hwy, Westerville, Ohio, 43082</t>
  </si>
  <si>
    <t>5800 S Old 3c Hwy</t>
  </si>
  <si>
    <t>Alcott Elementary School</t>
  </si>
  <si>
    <t>7117 Mount Royal Ave, Westerville, Ohio, 43082</t>
  </si>
  <si>
    <t>7117 Mount Royal Ave</t>
  </si>
  <si>
    <t>Westerville Central High School</t>
  </si>
  <si>
    <t>7118 Mount Royal Ave, Westerville, Ohio, 43082</t>
  </si>
  <si>
    <t>7118 Mount Royal Ave</t>
  </si>
  <si>
    <t>Westfall Elementary School</t>
  </si>
  <si>
    <t>9391 State Route 56, Williamsport, Ohio, 43164</t>
  </si>
  <si>
    <t>9391 State Route 56</t>
  </si>
  <si>
    <t>3851 US Hwy 20, Collins, Ohio, 44826</t>
  </si>
  <si>
    <t>3851 US Hwy 20</t>
  </si>
  <si>
    <t>Wheelersburg Middle School</t>
  </si>
  <si>
    <t>Minster Elementary School</t>
  </si>
  <si>
    <t>Withrow University High School</t>
  </si>
  <si>
    <t>2488 Madison Rd, Cincinnati, Ohio, 45208</t>
  </si>
  <si>
    <t>2488 Madison Rd</t>
  </si>
  <si>
    <t>Toledo Technology Academy High School</t>
  </si>
  <si>
    <t>3301 Upton Ave, Toledo, Ohio, 43613</t>
  </si>
  <si>
    <t>3301 Upton Ave</t>
  </si>
  <si>
    <t>Eastern Primary Elementary School</t>
  </si>
  <si>
    <t>Eastern Intermediate Elementary School</t>
  </si>
  <si>
    <t>Eastern Middle School</t>
  </si>
  <si>
    <t>Rock Hill Elementary School</t>
  </si>
  <si>
    <t>2676 County Road 26, Ironton, Ohio, 45638</t>
  </si>
  <si>
    <t>2676 County Road 26</t>
  </si>
  <si>
    <t>Rock Hill Middle School</t>
  </si>
  <si>
    <t>2171 County Road 26, Ironton, Ohio, 45638</t>
  </si>
  <si>
    <t>2171 County Road 26</t>
  </si>
  <si>
    <t>Rock Hill Sr High School</t>
  </si>
  <si>
    <t>2415 County Road 26, Ironton, Ohio, 45638</t>
  </si>
  <si>
    <t>2415 County Road 26</t>
  </si>
  <si>
    <t>VanGorden Elementary School</t>
  </si>
  <si>
    <t>6475 LeSourdsville West Chester Rd., Liberty Township, Ohio, 45011</t>
  </si>
  <si>
    <t>6475 LeSourdsville West Chester Rd.</t>
  </si>
  <si>
    <t>Lakota Plains Junior School</t>
  </si>
  <si>
    <t>5500 Princeton Road, Liberty Township, Ohio, 45011</t>
  </si>
  <si>
    <t>5500 Princeton Road</t>
  </si>
  <si>
    <t>Olentangy Orange Middle School</t>
  </si>
  <si>
    <t>2680 E Orange Rd, Lewis Center, Ohio, 43035</t>
  </si>
  <si>
    <t>2680 E Orange Rd</t>
  </si>
  <si>
    <t>Indian Springs Elementary</t>
  </si>
  <si>
    <t>3828 Home Rd, Powell, Ohio, 43065</t>
  </si>
  <si>
    <t>3828 Home Rd</t>
  </si>
  <si>
    <t>Walnut Creek Elementary</t>
  </si>
  <si>
    <t>5600 Grand Oak Blvd, Galena, Ohio, 43021</t>
  </si>
  <si>
    <t>5600 Grand Oak Blvd</t>
  </si>
  <si>
    <t>Dublin Jerome High School</t>
  </si>
  <si>
    <t>8300 Hyland Croy Rd, Dublin, Ohio, 43016</t>
  </si>
  <si>
    <t>8300 Hyland Croy Rd</t>
  </si>
  <si>
    <t>Buckeye Central Elementary School</t>
  </si>
  <si>
    <t>New Albany Early Learning Center</t>
  </si>
  <si>
    <t>5101 Swickard Woods Blvd, New Albany, Ohio, 43054</t>
  </si>
  <si>
    <t>5101 Swickard Woods Blvd</t>
  </si>
  <si>
    <t>Schnee Learning Center</t>
  </si>
  <si>
    <t>2222 Issaquah St, Cuyahoga Falls, Ohio, 44221</t>
  </si>
  <si>
    <t>2222 Issaquah St</t>
  </si>
  <si>
    <t>Blended School</t>
  </si>
  <si>
    <t>Rees E. Price Academy</t>
  </si>
  <si>
    <t>1228 Considine Ave, Cincinnati, Ohio, 45204</t>
  </si>
  <si>
    <t>1228 Considine Ave</t>
  </si>
  <si>
    <t>Cleveland School of Science &amp; Medicine</t>
  </si>
  <si>
    <t xml:space="preserve">Woodward Career Technical High School </t>
  </si>
  <si>
    <t>7005 Reading Rd, Cincinnati, Ohio, 45237</t>
  </si>
  <si>
    <t>7005 Reading Rd</t>
  </si>
  <si>
    <t>Aiken New Tech High School</t>
  </si>
  <si>
    <t>5641 Belmont Ave, Cincinnati, Ohio, 45224</t>
  </si>
  <si>
    <t>5641 Belmont Ave</t>
  </si>
  <si>
    <t>Patrick Henry Middle School</t>
  </si>
  <si>
    <t>E050 County Road 7, Hamler, Ohio, 43524</t>
  </si>
  <si>
    <t>E050 County Road 7</t>
  </si>
  <si>
    <t>William H. Taft Elementary School</t>
  </si>
  <si>
    <t>1000 Robinson St, Marion, Ohio, 43302</t>
  </si>
  <si>
    <t>1000 Robinson St</t>
  </si>
  <si>
    <t>James A. Garfield Elementary School</t>
  </si>
  <si>
    <t>1170 Brookside Rd, Marion, Ohio, 43302</t>
  </si>
  <si>
    <t>1170 Brookside Rd</t>
  </si>
  <si>
    <t>Roll Hill School</t>
  </si>
  <si>
    <t>2411 Baltimore Ave, Cincinnati, Ohio, 45225</t>
  </si>
  <si>
    <t>2411 Baltimore Ave</t>
  </si>
  <si>
    <t>Cambridge Primary School</t>
  </si>
  <si>
    <t>1115 Clairmont Ave, Cambridge, Ohio, 43725</t>
  </si>
  <si>
    <t>1115 Clairmont Ave</t>
  </si>
  <si>
    <t>Cambridge Intermediate School</t>
  </si>
  <si>
    <t>1451 Deerpath Dr, Cambridge, Ohio, 43725</t>
  </si>
  <si>
    <t>1451 Deerpath Dr</t>
  </si>
  <si>
    <t>Tomorrow Center</t>
  </si>
  <si>
    <t>3700 County Road 168, Cardington, Ohio, 43315</t>
  </si>
  <si>
    <t>3700 County Road 168</t>
  </si>
  <si>
    <t>Mahoning Unlimited Classroom DBA Valley Virtual</t>
  </si>
  <si>
    <t>7320 N Palmyra Rd, Canfield, Ohio, 44406</t>
  </si>
  <si>
    <t>7320 N Palmyra Rd</t>
  </si>
  <si>
    <t>GOAL Digital Academy</t>
  </si>
  <si>
    <t>890 W 4th St Ste 400, Mansfield, Ohio, 44906</t>
  </si>
  <si>
    <t>890 W 4th St Ste 400</t>
  </si>
  <si>
    <t>Fairborn Digital Academy</t>
  </si>
  <si>
    <t>57 E Dayton Yellow Springs Rd, Fairborn, Ohio, 45324</t>
  </si>
  <si>
    <t>57 E Dayton Yellow Springs Rd</t>
  </si>
  <si>
    <t>Skyway Career Prep High School</t>
  </si>
  <si>
    <t>3912 Sunforest Ct, Toledo, Ohio, 43623</t>
  </si>
  <si>
    <t>3912 Sunforest Ct</t>
  </si>
  <si>
    <t>LS Toledo, LLC</t>
  </si>
  <si>
    <t>Foxfire High School</t>
  </si>
  <si>
    <t>2805 Pinkerton Ln, Zanesville, Ohio, 43701</t>
  </si>
  <si>
    <t>2805 Pinkerton Ln</t>
  </si>
  <si>
    <t>West Central Learning Academy II</t>
  </si>
  <si>
    <t>522 W North St, Lima, Ohio, 45801</t>
  </si>
  <si>
    <t>522 W North St</t>
  </si>
  <si>
    <t>Lake Erie International High School</t>
  </si>
  <si>
    <t>11650 Detroit Ave, Cleveland, Ohio, 44102</t>
  </si>
  <si>
    <t>11650 Detroit Ave</t>
  </si>
  <si>
    <t>EEG High School</t>
  </si>
  <si>
    <t>Randall Park High School</t>
  </si>
  <si>
    <t>4836 Northfield Rd, North Randall, Ohio, 44128</t>
  </si>
  <si>
    <t>4836 Northfield Rd</t>
  </si>
  <si>
    <t>North Randall</t>
  </si>
  <si>
    <t>Mulberry Elementary School</t>
  </si>
  <si>
    <t>5950 Buckwheat Rd, Milford, Ohio, 45150</t>
  </si>
  <si>
    <t>5950 Buckwheat Rd</t>
  </si>
  <si>
    <t>McCormick Elementary School</t>
  </si>
  <si>
    <t>751 Loveland Miamiville Rd, Loveland, Ohio, 45140</t>
  </si>
  <si>
    <t>751 Loveland Miamiville Rd</t>
  </si>
  <si>
    <t>Meadowview Elementary School</t>
  </si>
  <si>
    <t>5556 Mount Zion Rd, Milford, Ohio, 45150</t>
  </si>
  <si>
    <t>5556 Mount Zion Rd</t>
  </si>
  <si>
    <t>Pattison Elementary School</t>
  </si>
  <si>
    <t>5330 S Milford Rd, Milford, Ohio, 45150</t>
  </si>
  <si>
    <t>5330 S Milford Rd</t>
  </si>
  <si>
    <t>7334 N Elyria Rd, West Salem, Ohio, 44287</t>
  </si>
  <si>
    <t>7334 N Elyria Rd</t>
  </si>
  <si>
    <t>Hayes Intermediate School</t>
  </si>
  <si>
    <t>4436 Haughn Rd, Grove City, Ohio, 43123</t>
  </si>
  <si>
    <t>4436 Haughn Rd</t>
  </si>
  <si>
    <t>Antwerp Local Middle School</t>
  </si>
  <si>
    <t>Larry Miller Intermediate Elementary School</t>
  </si>
  <si>
    <t>13125 John Glenn School Rd, New Concord, Ohio, 43762</t>
  </si>
  <si>
    <t>13125 John Glenn School Rd</t>
  </si>
  <si>
    <t>Jackson Southview Elementary School</t>
  </si>
  <si>
    <t>13842 State Route 93, Jackson, Ohio, 45640</t>
  </si>
  <si>
    <t>13842 State Route 93</t>
  </si>
  <si>
    <t>Nicholas-Liberty</t>
  </si>
  <si>
    <t>593 Infirmary Rd, Dayton, Ohio, 45417</t>
  </si>
  <si>
    <t>593 Infirmary Rd</t>
  </si>
  <si>
    <t>The Bostic Head Start Center</t>
  </si>
  <si>
    <t>2975 Kingston Ave, Grove City, Ohio, 43123</t>
  </si>
  <si>
    <t>2975 Kingston Ave</t>
  </si>
  <si>
    <t>Meigs Intermediate School</t>
  </si>
  <si>
    <t>36871 State Route 124, Middleport, Ohio, 45760</t>
  </si>
  <si>
    <t>36871 State Route 124</t>
  </si>
  <si>
    <t>Middleport</t>
  </si>
  <si>
    <t>45760</t>
  </si>
  <si>
    <t>Meigs Primary School</t>
  </si>
  <si>
    <t>Hamilton Intermediate School</t>
  </si>
  <si>
    <t>765 Rathmell Rd, Columbus, Ohio, 43207</t>
  </si>
  <si>
    <t>765 Rathmell Rd</t>
  </si>
  <si>
    <t>Oak Hill Middle/High School</t>
  </si>
  <si>
    <t>5063 State Route 93, Oak Hill, Ohio, 45656</t>
  </si>
  <si>
    <t>5063 State Route 93</t>
  </si>
  <si>
    <t>Oak Hill Elementary</t>
  </si>
  <si>
    <t>401 Evans St, Oak Hill, Ohio, 45656</t>
  </si>
  <si>
    <t>401 Evans St</t>
  </si>
  <si>
    <t>Glass City Academy</t>
  </si>
  <si>
    <t>1000 Monroe St, Toledo, Ohio, 43604</t>
  </si>
  <si>
    <t>1000 Monroe St</t>
  </si>
  <si>
    <t>Pathway School of Discovery</t>
  </si>
  <si>
    <t>173 Avondale Dr, Dayton, Ohio, 45404</t>
  </si>
  <si>
    <t>173 Avondale Dr</t>
  </si>
  <si>
    <t>Alliance Academy of Cincinnati</t>
  </si>
  <si>
    <t>1712 Duck Creek Rd, Cincinnati, Ohio, 45207</t>
  </si>
  <si>
    <t>1712 Duck Creek Rd</t>
  </si>
  <si>
    <t>Al Ihsan Islamic School</t>
  </si>
  <si>
    <t>4600 Rocky River Dr, Cleveland, Ohio, 44135</t>
  </si>
  <si>
    <t>4600 Rocky River Dr</t>
  </si>
  <si>
    <t>Fairland West Elementary School</t>
  </si>
  <si>
    <t>110 Township Road 1125, Proctorville, Ohio, 45669</t>
  </si>
  <si>
    <t>110 Township Road 1125</t>
  </si>
  <si>
    <t>Centerburg Middle School</t>
  </si>
  <si>
    <t>Holy Trinity Orthodox Christian Academy</t>
  </si>
  <si>
    <t>175 Laird Ave NE, Warren, Ohio, 44483</t>
  </si>
  <si>
    <t>175 Laird Ave NE</t>
  </si>
  <si>
    <t>Wildwood Environmental Academy</t>
  </si>
  <si>
    <t>1546 Dartford Rd, Maumee, Ohio, 43537</t>
  </si>
  <si>
    <t>1546 Dartford Rd</t>
  </si>
  <si>
    <t>The Leona Group, LLC</t>
  </si>
  <si>
    <t>Unioto Elementary</t>
  </si>
  <si>
    <t>138 Sandusky Blvd, Chillicothe, Ohio, 45601</t>
  </si>
  <si>
    <t>138 Sandusky Blvd</t>
  </si>
  <si>
    <t>Ella P. Stewart Academy for Girls</t>
  </si>
  <si>
    <t>707 Avondale Ave, Toledo, Ohio, 43604</t>
  </si>
  <si>
    <t>707 Avondale Ave</t>
  </si>
  <si>
    <t>Ohio Connections Academy  Inc</t>
  </si>
  <si>
    <t>130 E. Wilson Bridge Rd, Worthington, Ohio, 43085</t>
  </si>
  <si>
    <t>130 E. Wilson Bridge Rd</t>
  </si>
  <si>
    <t>Connections Education, LLC</t>
  </si>
  <si>
    <t>Quaker Digital Academy</t>
  </si>
  <si>
    <t>400 Mill Ave SE  Suite 901, New Philadelphia, Ohio, 44663</t>
  </si>
  <si>
    <t>400 Mill Ave SE  Suite 901</t>
  </si>
  <si>
    <t>North Union Elementary School</t>
  </si>
  <si>
    <t>420 Grove St, Richwood, Ohio, 43344</t>
  </si>
  <si>
    <t>420 Grove St</t>
  </si>
  <si>
    <t>Main Street School</t>
  </si>
  <si>
    <t>80 E Main St, Norwalk, Ohio, 44857</t>
  </si>
  <si>
    <t>80 E Main St</t>
  </si>
  <si>
    <t>Clear Fork Valley Preschool</t>
  </si>
  <si>
    <t>Greater Ohio Virtual School</t>
  </si>
  <si>
    <t>1879 Deerfield Rd, Lebanon, Ohio, 45036</t>
  </si>
  <si>
    <t>1879 Deerfield Rd</t>
  </si>
  <si>
    <t>Auglaize County Educational Academy</t>
  </si>
  <si>
    <t>11045 Dearbaugh Ave Ste 3, Wapakoneta, Ohio, 45895</t>
  </si>
  <si>
    <t>11045 Dearbaugh Ave Ste 3</t>
  </si>
  <si>
    <t>Malvern Middle School</t>
  </si>
  <si>
    <t>Summit Academy Community School - Cincinnati</t>
  </si>
  <si>
    <t>1660 Sternblock Ln, Cincinnati, Ohio, 45237</t>
  </si>
  <si>
    <t>1660 Sternblock Ln</t>
  </si>
  <si>
    <t>Summit Academy Community School-Columbus</t>
  </si>
  <si>
    <t>2521 Fairwood Ave Ste 100, Columbus, Ohio, 43207</t>
  </si>
  <si>
    <t>2521 Fairwood Ave Ste 100</t>
  </si>
  <si>
    <t>Summit Academy Community School-Warren</t>
  </si>
  <si>
    <t>2106 Arbor Ave SE, Warren, Ohio, 44484</t>
  </si>
  <si>
    <t>2106 Arbor Ave SE</t>
  </si>
  <si>
    <t>Summit Academy Community School - Dayton</t>
  </si>
  <si>
    <t>4128 Cedar Ridge Rd, Dayton, Ohio, 45414</t>
  </si>
  <si>
    <t>4128 Cedar Ridge Rd</t>
  </si>
  <si>
    <t>Summit Academy Secondary - Akron</t>
  </si>
  <si>
    <t>464 S Hawkins Ave, Akron, Ohio, 44320</t>
  </si>
  <si>
    <t>464 S Hawkins Ave</t>
  </si>
  <si>
    <t>Summit Academy Secondary - Youngstown</t>
  </si>
  <si>
    <t>2800 Shady Run Rd, Youngstown, Ohio, 44502</t>
  </si>
  <si>
    <t>2800 Shady Run Rd</t>
  </si>
  <si>
    <t>Summit Academy Secondary - Canton</t>
  </si>
  <si>
    <t>2400 Cleveland Ave NW, Canton, Ohio, 44709</t>
  </si>
  <si>
    <t>2400 Cleveland Ave NW</t>
  </si>
  <si>
    <t>Summit Academy - Toledo</t>
  </si>
  <si>
    <t>301 Collingwood Blvd, Toledo, Ohio, 43604</t>
  </si>
  <si>
    <t>301 Collingwood Blvd</t>
  </si>
  <si>
    <t>Summit Academy Community School-Parma</t>
  </si>
  <si>
    <t>5868 Stumph Rd, Parma, Ohio, 44130</t>
  </si>
  <si>
    <t>5868 Stumph Rd</t>
  </si>
  <si>
    <t>Bridges Community Academy dba Bridges Preparatory Academy</t>
  </si>
  <si>
    <t>190 St Francis Ave, Tiffin, Ohio, 44883</t>
  </si>
  <si>
    <t>190 St Francis Ave</t>
  </si>
  <si>
    <t>ACCEL Schools Tiffin LLc</t>
  </si>
  <si>
    <t>Constellation Schools: Old Brooklyn Community Middle</t>
  </si>
  <si>
    <t>Constellation Schools: Madison Community Elementary</t>
  </si>
  <si>
    <t>2015 W 95th St, Cleveland, Ohio, 44102</t>
  </si>
  <si>
    <t>2015 W 95th St</t>
  </si>
  <si>
    <t>Constellation Schools: Westpark Community Middle</t>
  </si>
  <si>
    <t>Constellation Schools: Lorain Community Middle</t>
  </si>
  <si>
    <t>Menlo Park Academy</t>
  </si>
  <si>
    <t>2149 W 53rd St, Cleveland, Ohio, 44102</t>
  </si>
  <si>
    <t>2149 W 53rd St</t>
  </si>
  <si>
    <t>Horizon Science Academy Toledo</t>
  </si>
  <si>
    <t>2600 W Sylvania Ave, Toledo, Ohio, 43613</t>
  </si>
  <si>
    <t>2600 W Sylvania Ave</t>
  </si>
  <si>
    <t>Palm Elementary School</t>
  </si>
  <si>
    <t>2319 E 34th St, Lorain, Ohio, 44055</t>
  </si>
  <si>
    <t>2319 E 34th St</t>
  </si>
  <si>
    <t>Granger Elementary School</t>
  </si>
  <si>
    <t>1724 Wilbur Rd, Medina, Ohio, 44256</t>
  </si>
  <si>
    <t>1724 Wilbur Rd</t>
  </si>
  <si>
    <t>Ulysses S. Grant Middle School</t>
  </si>
  <si>
    <t>420 Presidential Dr, Marion, Ohio, 43302</t>
  </si>
  <si>
    <t>420 Presidential Dr</t>
  </si>
  <si>
    <t>William McKinley Elementary School</t>
  </si>
  <si>
    <t>925 Chatfield Rd, Marion, Ohio, 43302</t>
  </si>
  <si>
    <t>925 Chatfield Rd</t>
  </si>
  <si>
    <t>Akron Alternative Academy</t>
  </si>
  <si>
    <t>77 W Thornton St, Akron, Ohio, 44311</t>
  </si>
  <si>
    <t>77 W Thornton St</t>
  </si>
  <si>
    <t>Crestwood Primary School</t>
  </si>
  <si>
    <t>11256 Bowen Rd, Mantua, Ohio, 44255</t>
  </si>
  <si>
    <t>11256 Bowen Rd</t>
  </si>
  <si>
    <t>Crestwood Intermediate School</t>
  </si>
  <si>
    <t>11260 Bowen Rd, Mantua, Ohio, 44255</t>
  </si>
  <si>
    <t>11260 Bowen Rd</t>
  </si>
  <si>
    <t>Chieftain Elementary School</t>
  </si>
  <si>
    <t>28296 Chieftain Dr, Logan, Ohio, 43138</t>
  </si>
  <si>
    <t>28296 Chieftain Dr</t>
  </si>
  <si>
    <t>Hocking Hills Elementary School</t>
  </si>
  <si>
    <t>19197 State Route 664 S, Logan, Ohio, 43138</t>
  </si>
  <si>
    <t>19197 State Route 664 S</t>
  </si>
  <si>
    <t>445 N Market St, Logan, Ohio, 43138</t>
  </si>
  <si>
    <t>445 N Market St</t>
  </si>
  <si>
    <t>Gateway Elementary School</t>
  </si>
  <si>
    <t>229 Gateway Av, Conneaut, Ohio, 44030</t>
  </si>
  <si>
    <t>229 Gateway Av</t>
  </si>
  <si>
    <t>Lakeshore Primary Elementary School</t>
  </si>
  <si>
    <t>755 Chestnut St, Conneaut, Ohio, 44030</t>
  </si>
  <si>
    <t>755 Chestnut St</t>
  </si>
  <si>
    <t>Mapleton Elementary School</t>
  </si>
  <si>
    <t>2 Mountie Dr, Ashland, Ohio, 44805</t>
  </si>
  <si>
    <t>2 Mountie Dr</t>
  </si>
  <si>
    <t>Findlay Digital Academy</t>
  </si>
  <si>
    <t>1219 W Main Cross St Ste 101, Findlay, Ohio, 45840</t>
  </si>
  <si>
    <t>1219 W Main Cross St Ste 101</t>
  </si>
  <si>
    <t>Buckeye On-Line School for Success</t>
  </si>
  <si>
    <t>119 E Fifth St, East Liverpool, Ohio, 43920</t>
  </si>
  <si>
    <t>119 E Fifth St</t>
  </si>
  <si>
    <t>Jackson Westview Elementary School</t>
  </si>
  <si>
    <t>16349 Beaver Pike, Jackson, Ohio, 45640</t>
  </si>
  <si>
    <t>16349 Beaver Pike</t>
  </si>
  <si>
    <t>Eastgate Elementary School</t>
  </si>
  <si>
    <t>1925 Stratford Way, Columbus, Ohio, 43219</t>
  </si>
  <si>
    <t>1925 Stratford Way</t>
  </si>
  <si>
    <t>Manchester Elementary School</t>
  </si>
  <si>
    <t>Columbus Adventist Academy</t>
  </si>
  <si>
    <t>3650B Sunbury Rd, Columbus, Ohio, 43219</t>
  </si>
  <si>
    <t>3650B Sunbury Rd</t>
  </si>
  <si>
    <t>615 Tremont Ave, Lima, Ohio, 45801</t>
  </si>
  <si>
    <t>615 Tremont Ave</t>
  </si>
  <si>
    <t>Liberty Arts Magnet K-8</t>
  </si>
  <si>
    <t>338 W Kibby St, Lima, Ohio, 45804</t>
  </si>
  <si>
    <t>338 W Kibby St</t>
  </si>
  <si>
    <t>Bluestone Elementary School</t>
  </si>
  <si>
    <t>1455 E 260th St, Euclid, Ohio, 44132</t>
  </si>
  <si>
    <t>1455 E 260th St</t>
  </si>
  <si>
    <t>Saint Martin de Porres High School</t>
  </si>
  <si>
    <t>6202 Saint Clair Ave, Cleveland, Ohio, 44103</t>
  </si>
  <si>
    <t>6202 Saint Clair Ave</t>
  </si>
  <si>
    <t>Guiding Shepherd Christian School</t>
  </si>
  <si>
    <t>220 S Main St, New Carlisle, Ohio, 45344</t>
  </si>
  <si>
    <t>Bowman Primary School</t>
  </si>
  <si>
    <t>825 Hart Rd., Lebanon, Ohio, 45036</t>
  </si>
  <si>
    <t>825 Hart Rd.</t>
  </si>
  <si>
    <t>Lebanon Junior High</t>
  </si>
  <si>
    <t>Ripley Union Lewis Huntington Junior High School</t>
  </si>
  <si>
    <t>Whitehall Preparatory and Fitness Academy</t>
  </si>
  <si>
    <t>3474 E Livingston Ave, Columbus, Ohio, 43227</t>
  </si>
  <si>
    <t>3474 E Livingston Ave</t>
  </si>
  <si>
    <t>Springfield Preparatory and Fitness Academy</t>
  </si>
  <si>
    <t>1615 Selma Rd, Springfield, Ohio, 45505</t>
  </si>
  <si>
    <t>1615 Selma Rd</t>
  </si>
  <si>
    <t>Northland Preparatory and Fitness Academy</t>
  </si>
  <si>
    <t>1875 Morse Rd, Columbus, Ohio, 43229</t>
  </si>
  <si>
    <t>1875 Morse Rd</t>
  </si>
  <si>
    <t>Whiteoak Junior High School</t>
  </si>
  <si>
    <t>44 North High Street, Mowrystown, Ohio, 45155</t>
  </si>
  <si>
    <t>44 North High Street</t>
  </si>
  <si>
    <t>Youngstown Rayen Early College High School</t>
  </si>
  <si>
    <t>Canton Harbor High School</t>
  </si>
  <si>
    <t>1731 Grace Ave NE, Canton, Ohio, 44705</t>
  </si>
  <si>
    <t>1731 Grace Ave NE</t>
  </si>
  <si>
    <t>Mad River Early Childhood Center</t>
  </si>
  <si>
    <t>Cleveland Academy for Scholarship Technology and Leadership</t>
  </si>
  <si>
    <t>3950 Prospect Ave E, Cleveland, Ohio, 44115</t>
  </si>
  <si>
    <t>3950 Prospect Ave E</t>
  </si>
  <si>
    <t>EEG CASTLE LLC</t>
  </si>
  <si>
    <t>Constellation Schools: Puritas Community Middle</t>
  </si>
  <si>
    <t>Pinnacle Academy</t>
  </si>
  <si>
    <t>860 E 222nd St, Euclid, Ohio, 44123</t>
  </si>
  <si>
    <t>860 E 222nd St</t>
  </si>
  <si>
    <t>Winterfield Venture Academy</t>
  </si>
  <si>
    <t>305 Wenz Rd, Toledo, Ohio, 43615</t>
  </si>
  <si>
    <t>305 Wenz Rd</t>
  </si>
  <si>
    <t>South-Western Preschool Center</t>
  </si>
  <si>
    <t>4324 Haughn Rd, Grove City, Ohio, 43123</t>
  </si>
  <si>
    <t>4324 Haughn Rd</t>
  </si>
  <si>
    <t>Liberty Christian Academy - East Campus</t>
  </si>
  <si>
    <t>10447 Refugee Rd SW, Pataskala, Ohio, 43062</t>
  </si>
  <si>
    <t>10447 Refugee Rd SW</t>
  </si>
  <si>
    <t>Columbus Humanities  Arts and Technology Academy</t>
  </si>
  <si>
    <t>1333 Morse Rd, Columbus, Ohio, 43229</t>
  </si>
  <si>
    <t>1333 Morse Rd</t>
  </si>
  <si>
    <t>Columbus Preparatory Academy</t>
  </si>
  <si>
    <t>3330 Chippewa St, Columbus, Ohio, 43204</t>
  </si>
  <si>
    <t>3330 Chippewa St</t>
  </si>
  <si>
    <t>Tatonka Education Services, Inc PBC</t>
  </si>
  <si>
    <t>Columbus Arts &amp; Technology Academy</t>
  </si>
  <si>
    <t>2255 Kimberly Pkwy E, Columbus, Ohio, 43232</t>
  </si>
  <si>
    <t>2255 Kimberly Pkwy E</t>
  </si>
  <si>
    <t>A+ Arts Academy</t>
  </si>
  <si>
    <t>1395 Fair Ave, Columbus, Ohio, 43205</t>
  </si>
  <si>
    <t>1395 Fair Ave</t>
  </si>
  <si>
    <t>EEG A+ Arts Academy, LLC</t>
  </si>
  <si>
    <t>Orion Academy</t>
  </si>
  <si>
    <t>1798 Queen City Ave, Cincinnati, Ohio, 45214</t>
  </si>
  <si>
    <t>1798 Queen City Ave</t>
  </si>
  <si>
    <t>Apex Academy</t>
  </si>
  <si>
    <t>16005 Terrace Rd, Cleveland, Ohio, 44112</t>
  </si>
  <si>
    <t>16005 Terrace Rd</t>
  </si>
  <si>
    <t>Northwest School of the Arts</t>
  </si>
  <si>
    <t>1441 W 116th St, Cleveland, Ohio, 44102</t>
  </si>
  <si>
    <t>1441 W 116th St</t>
  </si>
  <si>
    <t>Elevated Excellence Academy</t>
  </si>
  <si>
    <t>2015 N Bend Rd, Cincinnati, Ohio, 45224</t>
  </si>
  <si>
    <t>2015 N Bend Rd</t>
  </si>
  <si>
    <t xml:space="preserve">Emerson Academy </t>
  </si>
  <si>
    <t>501 Hickory St, Dayton, Ohio, 45410</t>
  </si>
  <si>
    <t>501 Hickory St</t>
  </si>
  <si>
    <t>Coshocton Opportunity School</t>
  </si>
  <si>
    <t>Lebanon Christian School</t>
  </si>
  <si>
    <t>1436 Deerfield Rd, Lebanon, Ohio, 45036</t>
  </si>
  <si>
    <t>1436 Deerfield Rd</t>
  </si>
  <si>
    <t>Summit Academy Transition High School-Cincinnati</t>
  </si>
  <si>
    <t>5800 Salvia Ave, Cincinnati, Ohio, 45224</t>
  </si>
  <si>
    <t>5800 Salvia Ave</t>
  </si>
  <si>
    <t>Summit Academy School - Lorain</t>
  </si>
  <si>
    <t>346 Illinois Ave, Lorain, Ohio, 44052</t>
  </si>
  <si>
    <t>346 Illinois Ave</t>
  </si>
  <si>
    <t>Summit Academy Middle School - Columbus</t>
  </si>
  <si>
    <t>2521 Fairwood Ave Ste 200, Columbus, Ohio, 43207</t>
  </si>
  <si>
    <t>2521 Fairwood Ave Ste 200</t>
  </si>
  <si>
    <t>Heir Force Community School</t>
  </si>
  <si>
    <t>150 W Grand Ave, Lima, Ohio, 45801</t>
  </si>
  <si>
    <t>150 W Grand Ave</t>
  </si>
  <si>
    <t>Summit Academy Transition High School-Columbus</t>
  </si>
  <si>
    <t>2521 Fairwood Ave, Columbus, Ohio, 43207</t>
  </si>
  <si>
    <t>2521 Fairwood Ave</t>
  </si>
  <si>
    <t>Summit Academy Alternative LearnersWarren Middle &amp; Secondary</t>
  </si>
  <si>
    <t>1461 Moncrest Dr NW, Warren, Ohio, 44485</t>
  </si>
  <si>
    <t>1461 Moncrest Dr NW</t>
  </si>
  <si>
    <t>44485</t>
  </si>
  <si>
    <t>Summit Academy Transition High School Dayton</t>
  </si>
  <si>
    <t>251 Erdiel Dr, Dayton, Ohio, 45415</t>
  </si>
  <si>
    <t>251 Erdiel Dr</t>
  </si>
  <si>
    <t>Summit Academy-Youngstown</t>
  </si>
  <si>
    <t>144 N Schenley Ave, Youngstown, Ohio, 44509</t>
  </si>
  <si>
    <t>144 N Schenley Ave</t>
  </si>
  <si>
    <t>Summit Academy Secondary School - Middletown</t>
  </si>
  <si>
    <t>3029 Yankee Rd, Middletown, Ohio, 45044</t>
  </si>
  <si>
    <t>3029 Yankee Rd</t>
  </si>
  <si>
    <t>Rittman Academy</t>
  </si>
  <si>
    <t>Risen Christ Lutheran School</t>
  </si>
  <si>
    <t>41 E Possum Rd, Springfield, Ohio, 45502</t>
  </si>
  <si>
    <t>41 E Possum Rd</t>
  </si>
  <si>
    <t>Capital City Career Prep High School</t>
  </si>
  <si>
    <t>2400 S Hamilton Rd, Columbus, Ohio, 43232</t>
  </si>
  <si>
    <t>2400 S Hamilton Rd</t>
  </si>
  <si>
    <t>LS Eastland, LLC</t>
  </si>
  <si>
    <t>Frank Jacinto Elementary</t>
  </si>
  <si>
    <t>2515 Marshall Ave, Lorain, Ohio, 44052</t>
  </si>
  <si>
    <t>2515 Marshall Ave</t>
  </si>
  <si>
    <t>Oakstone Community School</t>
  </si>
  <si>
    <t>5747 Cleveland Ave, Columbus, Ohio, 43231</t>
  </si>
  <si>
    <t>5747 Cleveland Ave</t>
  </si>
  <si>
    <t>Arcadia Middle School</t>
  </si>
  <si>
    <t>Avon Heritage Elementary School</t>
  </si>
  <si>
    <t>35575 Detroit Rd, Avon, Ohio, 44011</t>
  </si>
  <si>
    <t>35575 Detroit Rd</t>
  </si>
  <si>
    <t>Zenith Academy</t>
  </si>
  <si>
    <t>4606 Heaton Rd, Columbus, Ohio, 43229</t>
  </si>
  <si>
    <t>4606 Heaton Rd</t>
  </si>
  <si>
    <t>Prestige Solutions</t>
  </si>
  <si>
    <t>Phoenix Village Academy Primary 2 dba Wings Academy 1</t>
  </si>
  <si>
    <t>2450 Prospect Ave E, Cleveland, Ohio, 44115</t>
  </si>
  <si>
    <t>2450 Prospect Ave E</t>
  </si>
  <si>
    <t>The Genesis Group &amp; Associates LLC</t>
  </si>
  <si>
    <t>Maritime Academy of Toledo  The</t>
  </si>
  <si>
    <t>803 Water St, Toledo, Ohio, 43604</t>
  </si>
  <si>
    <t>803 Water St</t>
  </si>
  <si>
    <t>Educational Academy for Boys &amp; Girls</t>
  </si>
  <si>
    <t>35 Midland Ave, Columbus, Ohio, 43223</t>
  </si>
  <si>
    <t>35 Midland Ave</t>
  </si>
  <si>
    <t>Educational Solutions Co.</t>
  </si>
  <si>
    <t>Midnimo Cross Cultural Middle School</t>
  </si>
  <si>
    <t>1567 Loretta Ave, Columbus, Ohio, 43211</t>
  </si>
  <si>
    <t>1567 Loretta Ave</t>
  </si>
  <si>
    <t>Horizon Science Academy-Cincinnati</t>
  </si>
  <si>
    <t>1055 Laidlaw Ave, Cincinnati, Ohio, 45237</t>
  </si>
  <si>
    <t>1055 Laidlaw Ave</t>
  </si>
  <si>
    <t>Horizon Science Academy-Dayton</t>
  </si>
  <si>
    <t>4751 Sue Ann Blvd, Dayton, Ohio, 45415</t>
  </si>
  <si>
    <t>4751 Sue Ann Blvd</t>
  </si>
  <si>
    <t>Gem City Career Prep High School</t>
  </si>
  <si>
    <t>1721 N Main St, Dayton, Ohio, 45405</t>
  </si>
  <si>
    <t>1721 N Main St</t>
  </si>
  <si>
    <t>LS DAYTON, LLC</t>
  </si>
  <si>
    <t>Horizon Science Academy-Springfield</t>
  </si>
  <si>
    <t>630 S Reynolds Rd, Toledo, Ohio, 43615</t>
  </si>
  <si>
    <t>630 S Reynolds Rd</t>
  </si>
  <si>
    <t>National Road</t>
  </si>
  <si>
    <t>3505 East Pike, Zanesville, Ohio, 43701</t>
  </si>
  <si>
    <t>3505 East Pike</t>
  </si>
  <si>
    <t>Horizon Science Academy-Denison Middle School</t>
  </si>
  <si>
    <t>1700 Denison Ave, Cleveland, Ohio, 44109</t>
  </si>
  <si>
    <t>1700 Denison Ave</t>
  </si>
  <si>
    <t>General Johnnie Wilson Middle School</t>
  </si>
  <si>
    <t>2700 Washington Ave, Lorain, Ohio, 44052</t>
  </si>
  <si>
    <t>2700 Washington Ave</t>
  </si>
  <si>
    <t>Longfellow Middle School</t>
  </si>
  <si>
    <t>305 Louisiana Ave, Lorain, Ohio, 44052</t>
  </si>
  <si>
    <t>305 Louisiana Ave</t>
  </si>
  <si>
    <t>Bennett Venture Academy</t>
  </si>
  <si>
    <t>5130 Bennett Rd, Toledo, Ohio, 43612</t>
  </si>
  <si>
    <t>5130 Bennett Rd</t>
  </si>
  <si>
    <t>Stambaugh Charter Academy</t>
  </si>
  <si>
    <t>2420 Donald Ave, Youngstown, Ohio, 44509</t>
  </si>
  <si>
    <t>2420 Donald Ave</t>
  </si>
  <si>
    <t>Horizon Science Academy-Cleveland Middle School</t>
  </si>
  <si>
    <t>6100 S Marginal Rd, Cleveland, Ohio, 44103</t>
  </si>
  <si>
    <t>6100 S Marginal Rd</t>
  </si>
  <si>
    <t>Canton Arts Academy @ Summit</t>
  </si>
  <si>
    <t>1100 10th St NW, Canton, Ohio, 44703</t>
  </si>
  <si>
    <t>1100 10th St NW</t>
  </si>
  <si>
    <t>Grand Valley Elementary School</t>
  </si>
  <si>
    <t>Westside Academy</t>
  </si>
  <si>
    <t>4330 Clime Rd North, Columbus, Ohio, 43228</t>
  </si>
  <si>
    <t>4330 Clime Rd North</t>
  </si>
  <si>
    <t>Slate Ridge Elementary School</t>
  </si>
  <si>
    <t>10466 Taylor Rd SW, Reynoldsburg, Ohio, 43068</t>
  </si>
  <si>
    <t>10466 Taylor Rd SW</t>
  </si>
  <si>
    <t>Waggoner Road Middle School</t>
  </si>
  <si>
    <t>340 Waggoner Rd, Reynoldsburg, Ohio, 43068</t>
  </si>
  <si>
    <t>340 Waggoner Rd</t>
  </si>
  <si>
    <t>Canaan Middle School</t>
  </si>
  <si>
    <t>7055 US Highway 42 S, Plain, Ohio, 43064</t>
  </si>
  <si>
    <t>7055 US Highway 42 S</t>
  </si>
  <si>
    <t>Plain</t>
  </si>
  <si>
    <t>Charity Adams Earley Girls Academy</t>
  </si>
  <si>
    <t>440 Shoup Mill Rd, Dayton, Ohio, 45415</t>
  </si>
  <si>
    <t>440 Shoup Mill Rd</t>
  </si>
  <si>
    <t>Glen Oak Elementary School</t>
  </si>
  <si>
    <t>7300 Blue Holly Dr, Lewis Center, Ohio, 43035</t>
  </si>
  <si>
    <t>7300 Blue Holly Dr</t>
  </si>
  <si>
    <t>Early College Academy</t>
  </si>
  <si>
    <t>137 E State St, Columbus, Ohio, 43215</t>
  </si>
  <si>
    <t>137 E State St</t>
  </si>
  <si>
    <t>Promise Academy</t>
  </si>
  <si>
    <t>1701 E 13th St, Cleveland, Ohio, 44114</t>
  </si>
  <si>
    <t>1701 E 13th St</t>
  </si>
  <si>
    <t>East Bridge Academy of Excellence</t>
  </si>
  <si>
    <t>4795 Evanswood Dr, Columbus, Ohio, 43229</t>
  </si>
  <si>
    <t>4795 Evanswood Dr</t>
  </si>
  <si>
    <t>EEG Gateway LLC</t>
  </si>
  <si>
    <t>Par Excellence Academy dba Par Excellence STEM Academy</t>
  </si>
  <si>
    <t>1350 Granville Rd, Newark, Ohio, 43055</t>
  </si>
  <si>
    <t>1350 Granville Rd</t>
  </si>
  <si>
    <t>Charles School at Ohio Dominican University</t>
  </si>
  <si>
    <t>1270 Brentnell Ave, Columbus, Ohio, 43219</t>
  </si>
  <si>
    <t>1270 Brentnell Ave</t>
  </si>
  <si>
    <t>Graham School, The</t>
  </si>
  <si>
    <t>Toledo Preparatory and Fitness Academy</t>
  </si>
  <si>
    <t>3001 Hill Ave, Toledo, Ohio, 43607</t>
  </si>
  <si>
    <t>3001 Hill Ave</t>
  </si>
  <si>
    <t>Columbus Preparatory and Fitness Academy</t>
  </si>
  <si>
    <t>1258 Demorest Rd, Columbus, Ohio, 43204</t>
  </si>
  <si>
    <t>1258 Demorest Rd</t>
  </si>
  <si>
    <t>Mt. Healthy Preparatory and Fitness Academy</t>
  </si>
  <si>
    <t>7601 Harrison Ave, Cincinnati, Ohio, 45231</t>
  </si>
  <si>
    <t>7601 Harrison Ave</t>
  </si>
  <si>
    <t>Early Learning Preschool</t>
  </si>
  <si>
    <t>19543 Lunn Rd, Strongsville, Ohio, 44149</t>
  </si>
  <si>
    <t>19543 Lunn Rd</t>
  </si>
  <si>
    <t>Youngstown Academy of Excellence</t>
  </si>
  <si>
    <t>1408 Rigby St, Youngstown, Ohio, 44506</t>
  </si>
  <si>
    <t>1408 Rigby St</t>
  </si>
  <si>
    <t>44506</t>
  </si>
  <si>
    <t>Cleveland Arts and Social Sciences Academy</t>
  </si>
  <si>
    <t>10701 Shaker Blvd, Cleveland, Ohio, 44104</t>
  </si>
  <si>
    <t>10701 Shaker Blvd</t>
  </si>
  <si>
    <t>Lorain Preparatory Academy</t>
  </si>
  <si>
    <t>4119 Leavitt Rd, Lorain, Ohio, 44053</t>
  </si>
  <si>
    <t>4119 Leavitt Rd</t>
  </si>
  <si>
    <t>Cincinnati Hills Christian Academy- the Edyth B. Lindner Ele</t>
  </si>
  <si>
    <t>11312 Snider Rd, Cincinnati, Ohio, 45249</t>
  </si>
  <si>
    <t>11312 Snider Rd</t>
  </si>
  <si>
    <t>Cascade Career Prep High School</t>
  </si>
  <si>
    <t>1458 Brittain Rd, Akron, Ohio, 44310</t>
  </si>
  <si>
    <t>1458 Brittain Rd</t>
  </si>
  <si>
    <t>WHLS of Ohio, LLC</t>
  </si>
  <si>
    <t>Monroe Preparatory Academy</t>
  </si>
  <si>
    <t>328 E Monroe St, Sandusky, Ohio, 44870</t>
  </si>
  <si>
    <t>328 E Monroe St</t>
  </si>
  <si>
    <t>Linworth Children's Center</t>
  </si>
  <si>
    <t>7070 Bent Tree Blvd, Columbus, Ohio, 43235</t>
  </si>
  <si>
    <t>7070 Bent Tree Blvd</t>
  </si>
  <si>
    <t>Temple Christian School</t>
  </si>
  <si>
    <t>982 Brower Rd, Lima, Ohio, 45801</t>
  </si>
  <si>
    <t>982 Brower Rd</t>
  </si>
  <si>
    <t>The CinDay Academy</t>
  </si>
  <si>
    <t>11 Sycamore Creek Dr, Springboro, Ohio, 45066</t>
  </si>
  <si>
    <t>11 Sycamore Creek Dr</t>
  </si>
  <si>
    <t>Northwood Elementary</t>
  </si>
  <si>
    <t>2100 Creekview Dr, Marysville, Ohio, 43040</t>
  </si>
  <si>
    <t>2100 Creekview Dr</t>
  </si>
  <si>
    <t>Olentangy Meadows Elementary School</t>
  </si>
  <si>
    <t>8950 Emerald Hill Drive, Lewis, Ohio, 43035</t>
  </si>
  <si>
    <t>8950 Emerald Hill Drive</t>
  </si>
  <si>
    <t>Lewis</t>
  </si>
  <si>
    <t>Worthington Adventist Academy</t>
  </si>
  <si>
    <t>870 Griswold St, Worthington, Ohio, 43085</t>
  </si>
  <si>
    <t>870 Griswold St</t>
  </si>
  <si>
    <t>LICKING HEIGHTS CENTRAL INTERMEDIATE SCHOOL</t>
  </si>
  <si>
    <t>6565 Summit Rd SW, Pataskala, Ohio, 43062</t>
  </si>
  <si>
    <t>6565 Summit Rd SW</t>
  </si>
  <si>
    <t>Ohio Valley Christian School</t>
  </si>
  <si>
    <t>1100 4th Ave, Gallipolis, Ohio, 45631</t>
  </si>
  <si>
    <t>1100 4th Ave</t>
  </si>
  <si>
    <t>Green Primary School</t>
  </si>
  <si>
    <t>2300 Graybill Rd, Uniontown, Ohio, 44685</t>
  </si>
  <si>
    <t>2300 Graybill Rd</t>
  </si>
  <si>
    <t>Glacier Ridge Elementary</t>
  </si>
  <si>
    <t>7175 Glacier Ridge Blvd, Dublin, Ohio, 43017</t>
  </si>
  <si>
    <t>7175 Glacier Ridge Blvd</t>
  </si>
  <si>
    <t>Jesup W. Scott High School</t>
  </si>
  <si>
    <t>2400 Collingwood Blvd, Toledo, Ohio, 43620</t>
  </si>
  <si>
    <t>2400 Collingwood Blvd</t>
  </si>
  <si>
    <t>43620</t>
  </si>
  <si>
    <t>Noble Academy-Cleveland</t>
  </si>
  <si>
    <t>1200 E 200th St, Euclid, Ohio, 44117</t>
  </si>
  <si>
    <t>1200 E 200th St</t>
  </si>
  <si>
    <t>Noble Academy-Columbus</t>
  </si>
  <si>
    <t>1329 Bethel Rd, Columbus, Ohio, 43220</t>
  </si>
  <si>
    <t>1329 Bethel Rd</t>
  </si>
  <si>
    <t>South Scioto Academy</t>
  </si>
  <si>
    <t>2200 Winslow Dr, Columbus, Ohio, 43207</t>
  </si>
  <si>
    <t>2200 Winslow Dr</t>
  </si>
  <si>
    <t>North Woods Career Prep High School</t>
  </si>
  <si>
    <t>1900 E Dublin Granville Rd Ste 200, Columbus, Ohio, 43229</t>
  </si>
  <si>
    <t>1900 E Dublin Granville Rd Ste 200</t>
  </si>
  <si>
    <t>LS Columbus North, LLC</t>
  </si>
  <si>
    <t>Dayton Business Technology High School</t>
  </si>
  <si>
    <t>348 W 1st St, Dayton, Ohio, 45402</t>
  </si>
  <si>
    <t>348 W 1st St</t>
  </si>
  <si>
    <t>Harvard Avenue Performance Academy</t>
  </si>
  <si>
    <t>12000 Harvard Ave, Cleveland, Ohio, 44105</t>
  </si>
  <si>
    <t>12000 Harvard Ave</t>
  </si>
  <si>
    <t>Groveport Community School</t>
  </si>
  <si>
    <t>4485 S Hamilton Rd, Groveport, Ohio, 43125</t>
  </si>
  <si>
    <t>4485 S Hamilton Rd</t>
  </si>
  <si>
    <t>Eagle Learning Center</t>
  </si>
  <si>
    <t>3540 Seaman Rd, Oregon, Ohio, 43616</t>
  </si>
  <si>
    <t>3540 Seaman Rd</t>
  </si>
  <si>
    <t xml:space="preserve">Dennis </t>
  </si>
  <si>
    <t>1695 S Main St, Springboro, Ohio, 45066</t>
  </si>
  <si>
    <t>1695 S Main St</t>
  </si>
  <si>
    <t xml:space="preserve">Five Points </t>
  </si>
  <si>
    <t>650 E Lytle 5 Points Rd, Centerville, Ohio, 45458</t>
  </si>
  <si>
    <t>650 E Lytle 5 Points Rd</t>
  </si>
  <si>
    <t>Lima Senior High School</t>
  </si>
  <si>
    <t>1 Spartan Way, Lima, Ohio, 45801</t>
  </si>
  <si>
    <t>1 Spartan Way</t>
  </si>
  <si>
    <t>Middlebranch Elementary School</t>
  </si>
  <si>
    <t>7500 Middlebranch Ave NE, Canton, Ohio, 44721</t>
  </si>
  <si>
    <t>7500 Middlebranch Ave NE</t>
  </si>
  <si>
    <t>Lorain High School</t>
  </si>
  <si>
    <t>2600 Ashland Ave, Lorain, Ohio, 44052</t>
  </si>
  <si>
    <t>2600 Ashland Ave</t>
  </si>
  <si>
    <t>1210 S Verity Pkwy, Middletown, Ohio, 45044</t>
  </si>
  <si>
    <t>1210 S Verity Pkwy</t>
  </si>
  <si>
    <t>Discovery Express School</t>
  </si>
  <si>
    <t>1640 Timberwolf Dr, Holland, Ohio, 43528</t>
  </si>
  <si>
    <t>1640 Timberwolf Dr</t>
  </si>
  <si>
    <t>Heaven's Treasures Academy</t>
  </si>
  <si>
    <t>3308 Springdale Rd, Cincinnati, Ohio, 45251</t>
  </si>
  <si>
    <t>3308 Springdale Rd</t>
  </si>
  <si>
    <t>Wyandot Early Childhood School</t>
  </si>
  <si>
    <t>7667 Summerlin Blvd, Liberty, Ohio, 45044</t>
  </si>
  <si>
    <t>7667 Summerlin Blvd</t>
  </si>
  <si>
    <t>Liberty</t>
  </si>
  <si>
    <t>Endeavor Elementary School</t>
  </si>
  <si>
    <t>4400 Smith Rd, West, Ohio, 45069</t>
  </si>
  <si>
    <t>West</t>
  </si>
  <si>
    <t>Barack Obama School</t>
  </si>
  <si>
    <t>5800 Glenwood Ave, Maple Heights, Ohio, 44137</t>
  </si>
  <si>
    <t>5800 Glenwood Ave</t>
  </si>
  <si>
    <t xml:space="preserve">Abraham Lincoln School </t>
  </si>
  <si>
    <t>6009 Dunham Rd, Maple Heights, Ohio, 44137</t>
  </si>
  <si>
    <t>6009 Dunham Rd</t>
  </si>
  <si>
    <t>J.F. Kennedy School</t>
  </si>
  <si>
    <t>5933 Dunham Rd, Maple Heights, Ohio, 44137</t>
  </si>
  <si>
    <t>5933 Dunham Rd</t>
  </si>
  <si>
    <t>Toledo Early College High School</t>
  </si>
  <si>
    <t>Johnnycake Corners Elementary School</t>
  </si>
  <si>
    <t>6783 Falling Meadows Dr, Galena, Ohio, 43021</t>
  </si>
  <si>
    <t>6783 Falling Meadows Dr</t>
  </si>
  <si>
    <t>Hyatts Middle School</t>
  </si>
  <si>
    <t>6885 Sawmill Parkway, Powell, Ohio, 43065</t>
  </si>
  <si>
    <t>6885 Sawmill Parkway</t>
  </si>
  <si>
    <t>Liberty Tree Elementary School</t>
  </si>
  <si>
    <t>6877 Sawmill Parkway, Powell, Ohio, 43065</t>
  </si>
  <si>
    <t>6877 Sawmill Parkway</t>
  </si>
  <si>
    <t>5675 Eiterman Rd, Dublin, Ohio, 43016</t>
  </si>
  <si>
    <t>5675 Eiterman Rd</t>
  </si>
  <si>
    <t>Hilliard Bradley High School</t>
  </si>
  <si>
    <t>2800 Walker Rd, Hilliard, Ohio, 43026</t>
  </si>
  <si>
    <t>2800 Walker Rd</t>
  </si>
  <si>
    <t>Helen Arnold Community Learning Center</t>
  </si>
  <si>
    <t>450 Vernon Odom Boulevard, Akron, Ohio, 44307</t>
  </si>
  <si>
    <t>450 Vernon Odom Boulevard</t>
  </si>
  <si>
    <t>Lincoln PK-8 School</t>
  </si>
  <si>
    <t>2253 Atlantic St NE, Warren, Ohio, 44483</t>
  </si>
  <si>
    <t>2253 Atlantic St NE</t>
  </si>
  <si>
    <t>Willard Avenue PK-8 School</t>
  </si>
  <si>
    <t>2020 Willard Ave SE, Warren, Ohio, 44484</t>
  </si>
  <si>
    <t>2020 Willard Ave SE</t>
  </si>
  <si>
    <t>Jefferson PK-8 School</t>
  </si>
  <si>
    <t>1543 Tod Ave SW, Warren, Ohio, 44485</t>
  </si>
  <si>
    <t>1543 Tod Ave SW</t>
  </si>
  <si>
    <t>McGuffey PK-8 School</t>
  </si>
  <si>
    <t>3465 Tod Ave NW, Warren, Ohio, 44485</t>
  </si>
  <si>
    <t>3465 Tod Ave NW</t>
  </si>
  <si>
    <t>16601 Madison Ave, Lakewood, Ohio, 44107</t>
  </si>
  <si>
    <t>16601 Madison Ave</t>
  </si>
  <si>
    <t>13114 Detroit Ave, Lakewood, Ohio, 44107</t>
  </si>
  <si>
    <t>13114 Detroit Ave</t>
  </si>
  <si>
    <t>Hayes Elementary School</t>
  </si>
  <si>
    <t>16401 Delaware Ave, Lakewood, Ohio, 44107</t>
  </si>
  <si>
    <t>16401 Delaware Ave</t>
  </si>
  <si>
    <t>2080 Quail St, Lakewood, Ohio, 44107</t>
  </si>
  <si>
    <t>2080 Quail St</t>
  </si>
  <si>
    <t xml:space="preserve">The Goddard School </t>
  </si>
  <si>
    <t>59 Vista Ridge Dr, South Lebanon, Ohio, 45065</t>
  </si>
  <si>
    <t>59 Vista Ridge Dr</t>
  </si>
  <si>
    <t>South Lebanon</t>
  </si>
  <si>
    <t>45065</t>
  </si>
  <si>
    <t>225 W Union Ave, West, Ohio, 43845</t>
  </si>
  <si>
    <t>225 W Union Ave</t>
  </si>
  <si>
    <t>Akron Early College High School</t>
  </si>
  <si>
    <t>225 S. Main St., Akron, Ohio, 44308</t>
  </si>
  <si>
    <t>225 S. Main St.</t>
  </si>
  <si>
    <t>Zanesville Community High School</t>
  </si>
  <si>
    <t>920 Moxahala Ave, Zanesville, Ohio, 43701</t>
  </si>
  <si>
    <t>920 Moxahala Ave</t>
  </si>
  <si>
    <t>Constellation Schools: Westside Community School of the Arts</t>
  </si>
  <si>
    <t>3727 Bosworth Rd, Cleveland, Ohio, 44111</t>
  </si>
  <si>
    <t>3727 Bosworth Rd</t>
  </si>
  <si>
    <t>Jackson Northview Elementary School</t>
  </si>
  <si>
    <t>11507 Chillicothe Pike, Jackson, Ohio, 45640</t>
  </si>
  <si>
    <t>11507 Chillicothe Pike</t>
  </si>
  <si>
    <t>Horizon Science Academy Columbus Middle School</t>
  </si>
  <si>
    <t>2350 Morse Rd, Columbus, Ohio, 43229</t>
  </si>
  <si>
    <t>2350 Morse Rd</t>
  </si>
  <si>
    <t>Foundation Academy</t>
  </si>
  <si>
    <t>1050 Wyandotte Ave, Mansfield, Ohio, 44906</t>
  </si>
  <si>
    <t>1050 Wyandotte Ave</t>
  </si>
  <si>
    <t>James N. Gamble Montessori High School</t>
  </si>
  <si>
    <t>3036 Werk Rd, Cincinnati, Ohio, 45211</t>
  </si>
  <si>
    <t>3036 Werk Rd</t>
  </si>
  <si>
    <t>Waggoner Road Junior High</t>
  </si>
  <si>
    <t>360 Waggoner Rd, Reynoldsburg, Ohio, 43068</t>
  </si>
  <si>
    <t>360 Waggoner Rd</t>
  </si>
  <si>
    <t>Carson Elementary School</t>
  </si>
  <si>
    <t>549 E Main St, Newark, Ohio, 43055</t>
  </si>
  <si>
    <t>549 E Main St</t>
  </si>
  <si>
    <t>600 Arlington Ave, Newark, Ohio, 43055</t>
  </si>
  <si>
    <t>600 Arlington Ave</t>
  </si>
  <si>
    <t>Hillview Elementary School</t>
  </si>
  <si>
    <t>1927 Horns Hill Rd, Newark, Ohio, 43055</t>
  </si>
  <si>
    <t>1927 Horns Hill Rd</t>
  </si>
  <si>
    <t>Legend Elementary</t>
  </si>
  <si>
    <t>1075 Evans Blvd, Newark, Ohio, 43055</t>
  </si>
  <si>
    <t>1075 Evans Blvd</t>
  </si>
  <si>
    <t>Liberty Middle School</t>
  </si>
  <si>
    <t>1055 Evans Blvd, Newark, Ohio, 43055</t>
  </si>
  <si>
    <t>1055 Evans Blvd</t>
  </si>
  <si>
    <t>Centerville Primary Village South</t>
  </si>
  <si>
    <t>8388 Paragon Rd, Centerville, Ohio, 45458</t>
  </si>
  <si>
    <t>8388 Paragon Rd</t>
  </si>
  <si>
    <t>Toni Wofford Morrison ES</t>
  </si>
  <si>
    <t>1830 40th St, Lorain, Ohio, 44052</t>
  </si>
  <si>
    <t>1830 40th St</t>
  </si>
  <si>
    <t>Helen Steiner Rice ES</t>
  </si>
  <si>
    <t>4500 Tacoma Ave, Lorain, Ohio, 44055</t>
  </si>
  <si>
    <t>4500 Tacoma Ave</t>
  </si>
  <si>
    <t>Madison Park Elementary</t>
  </si>
  <si>
    <t>301 S Broadway St, Trotwood, Ohio, 45426</t>
  </si>
  <si>
    <t>301 S Broadway St</t>
  </si>
  <si>
    <t>Lawrence School-Upper School Campus</t>
  </si>
  <si>
    <t>10036 Olde 8 Rd, Northfield, Ohio, 44067</t>
  </si>
  <si>
    <t>10036 Olde 8 Rd</t>
  </si>
  <si>
    <t>Dayton Early College Academy  Inc</t>
  </si>
  <si>
    <t>1529 Brown St, Dayton, Ohio, 45469</t>
  </si>
  <si>
    <t>1529 Brown St</t>
  </si>
  <si>
    <t>45469</t>
  </si>
  <si>
    <t>Douglas MacArthur</t>
  </si>
  <si>
    <t>4401 Valleyside Rd, Cleveland, Ohio, 44135</t>
  </si>
  <si>
    <t>4401 Valleyside Rd</t>
  </si>
  <si>
    <t>2840 E Orange Rd, Lewis, Ohio, 43035</t>
  </si>
  <si>
    <t>2840 E Orange Rd</t>
  </si>
  <si>
    <t>Creative World of Montessori</t>
  </si>
  <si>
    <t>1720 Belvo Rd, Miamisburg, Ohio, 45342</t>
  </si>
  <si>
    <t>1720 Belvo Rd</t>
  </si>
  <si>
    <t>Ginn Academy</t>
  </si>
  <si>
    <t>655 E 162nd St, Cleveland, Ohio, 44110</t>
  </si>
  <si>
    <t>655 E 162nd St</t>
  </si>
  <si>
    <t>The Islamic Academy of Youngstown</t>
  </si>
  <si>
    <t>69 W Avondale Ave, Youngstown, Ohio, 44507</t>
  </si>
  <si>
    <t>69 W Avondale Ave</t>
  </si>
  <si>
    <t>Al Ihsan School</t>
  </si>
  <si>
    <t>6055 W 130th St, Parma, Ohio, 44130</t>
  </si>
  <si>
    <t>6055 W 130th St</t>
  </si>
  <si>
    <t>Sts. Peter and Paul Academy</t>
  </si>
  <si>
    <t>231 Clark Rd, Reading, Ohio, 45215</t>
  </si>
  <si>
    <t>231 Clark Rd</t>
  </si>
  <si>
    <t>Genoa Christian Academy</t>
  </si>
  <si>
    <t>7562 Lewis Center Rd, Westerville, Ohio, 43082</t>
  </si>
  <si>
    <t>7562 Lewis Center Rd</t>
  </si>
  <si>
    <t>Coshocton Christian School</t>
  </si>
  <si>
    <t>23891 Airport Rd, Coshocton, Ohio, 43812</t>
  </si>
  <si>
    <t>23891 Airport Rd</t>
  </si>
  <si>
    <t>Monclova Christian School</t>
  </si>
  <si>
    <t>7819 Monclova Rd, Monclova, Ohio, 43542</t>
  </si>
  <si>
    <t>7819 Monclova Rd</t>
  </si>
  <si>
    <t>Miami Trace Elementary School</t>
  </si>
  <si>
    <t>3836 State Route 41 NW, Washington, Ohio, 43160</t>
  </si>
  <si>
    <t>3836 State Route 41 NW</t>
  </si>
  <si>
    <t>Fairless Elementary School</t>
  </si>
  <si>
    <t>12000 Navarre Rd SW, Navarre, Ohio, 44662</t>
  </si>
  <si>
    <t>12000 Navarre Rd SW</t>
  </si>
  <si>
    <t>Hilliard City School District Preschool</t>
  </si>
  <si>
    <t>2874 Alton Darby Creek Rd, Hilliard, Ohio, 43026</t>
  </si>
  <si>
    <t>2874 Alton Darby Creek Rd</t>
  </si>
  <si>
    <t>Phoenix Middle School</t>
  </si>
  <si>
    <t>2341 Snouffer Rd, Worthington, Ohio, 43085</t>
  </si>
  <si>
    <t>2341 Snouffer Rd</t>
  </si>
  <si>
    <t>Little Miami Primary School</t>
  </si>
  <si>
    <t>7247 Zoar Rd, Maineville, Ohio, 45039</t>
  </si>
  <si>
    <t>7247 Zoar Rd</t>
  </si>
  <si>
    <t>East Knox Elementary School</t>
  </si>
  <si>
    <t>23081 Coshocton Rd, Howard, Ohio, 43028</t>
  </si>
  <si>
    <t>23081 Coshocton Rd</t>
  </si>
  <si>
    <t>Wooster Littlest Generals Preschool</t>
  </si>
  <si>
    <t>New Miami Middle School</t>
  </si>
  <si>
    <t>Sullivant Avenue Community School</t>
  </si>
  <si>
    <t>3435 Sullivant Ave, Columbus, Ohio, 43204</t>
  </si>
  <si>
    <t>3435 Sullivant Ave</t>
  </si>
  <si>
    <t>Madison Avenue School of Arts</t>
  </si>
  <si>
    <t>1511 Madison Ave, Toledo, Ohio, 43604</t>
  </si>
  <si>
    <t>1511 Madison Ave</t>
  </si>
  <si>
    <t>Klepinger Community School</t>
  </si>
  <si>
    <t>3650 Klepinger Rd, Dayton, Ohio, 45416</t>
  </si>
  <si>
    <t>3650 Klepinger Rd</t>
  </si>
  <si>
    <t xml:space="preserve">Sandy Valley Elementary School </t>
  </si>
  <si>
    <t>5018 State Route 183 NE, Magnolia, Ohio, 44643</t>
  </si>
  <si>
    <t>5018 State Route 183 NE</t>
  </si>
  <si>
    <t>Ashland County Community Academy</t>
  </si>
  <si>
    <t>716 Union St, Ashland, Ohio, 44805</t>
  </si>
  <si>
    <t>716 Union St</t>
  </si>
  <si>
    <t xml:space="preserve">Sandy Valley Middle School </t>
  </si>
  <si>
    <t>Horizon Science Academy Elementary School</t>
  </si>
  <si>
    <t>2835 Morse Rd, Columbus, Ohio, 43231</t>
  </si>
  <si>
    <t>2835 Morse Rd</t>
  </si>
  <si>
    <t>Mahoning County High School</t>
  </si>
  <si>
    <t>2725 Gibson St, Youngstown, Ohio, 44502</t>
  </si>
  <si>
    <t>2725 Gibson St</t>
  </si>
  <si>
    <t>KIPP Columbus</t>
  </si>
  <si>
    <t>2900 INSPIRE Drive, Columbus, Ohio, 43224</t>
  </si>
  <si>
    <t>2900 INSPIRE Drive</t>
  </si>
  <si>
    <t>Anna Marie Ayers Elementary School</t>
  </si>
  <si>
    <t>5002 Ayers Lime Stone Rd, Martins, Ohio, 43935</t>
  </si>
  <si>
    <t>5002 Ayers Lime Stone Rd</t>
  </si>
  <si>
    <t>Martins</t>
  </si>
  <si>
    <t>Cesar Chavez College Preparatory School</t>
  </si>
  <si>
    <t>2400 Mock Rd, Columbus, Ohio, 43219</t>
  </si>
  <si>
    <t>2400 Mock Rd</t>
  </si>
  <si>
    <t>Mansfield Spanish Immersion School</t>
  </si>
  <si>
    <t>240 Euclid Ave, Mansfield, Ohio, 44903</t>
  </si>
  <si>
    <t>240 Euclid Ave</t>
  </si>
  <si>
    <t>MC^2 STEM High School</t>
  </si>
  <si>
    <t>601 Erieside Ave, Cleveland, Ohio, 44114</t>
  </si>
  <si>
    <t>601 Erieside Ave</t>
  </si>
  <si>
    <t>Freedom Trail Elementary</t>
  </si>
  <si>
    <t>6743 Bale Kenyon Rd, Lewis, Ohio, 43035</t>
  </si>
  <si>
    <t>6743 Bale Kenyon Rd</t>
  </si>
  <si>
    <t>Cheshire Elementary</t>
  </si>
  <si>
    <t>2681 Gregory Rd, Delaware, Ohio, 43015</t>
  </si>
  <si>
    <t>2681 Gregory Rd</t>
  </si>
  <si>
    <t>679 Lewis Center Rd, Lewis Center, Ohio, 43035</t>
  </si>
  <si>
    <t>679 Lewis Center Rd</t>
  </si>
  <si>
    <t>2869 S. Three B's &amp; K Road, Galena, Ohio, 43021</t>
  </si>
  <si>
    <t>2869 S. Three B's &amp; K Road</t>
  </si>
  <si>
    <t>Performance Academy Eastland</t>
  </si>
  <si>
    <t>2220 S Hamilton Rd, Columbus, Ohio, 43232</t>
  </si>
  <si>
    <t>2220 S Hamilton Rd</t>
  </si>
  <si>
    <t>Oakstone Academy Middle/High School</t>
  </si>
  <si>
    <t>939 S State St, Westerville, Ohio, 43081</t>
  </si>
  <si>
    <t>939 S State St</t>
  </si>
  <si>
    <t>Bishop John King Mussio Central Junior High School</t>
  </si>
  <si>
    <t>320 Westview Ave Ste 2, Steubenville, Ohio, 43952</t>
  </si>
  <si>
    <t>320 Westview Ave Ste 2</t>
  </si>
  <si>
    <t>Northridge Elementary</t>
  </si>
  <si>
    <t>9200 Northridge Rd, Johnstown, Ohio, 43031</t>
  </si>
  <si>
    <t>9200 Northridge Rd</t>
  </si>
  <si>
    <t>Midview East Intermediate School</t>
  </si>
  <si>
    <t>13060 Durkee Rd, Grafton, Ohio, 44044</t>
  </si>
  <si>
    <t>13060 Durkee Rd</t>
  </si>
  <si>
    <t>Design Lab @ Health Careers</t>
  </si>
  <si>
    <t>1740 E 32nd St, Cleveland, Ohio, 44114</t>
  </si>
  <si>
    <t>1740 E 32nd St</t>
  </si>
  <si>
    <t>Kinder Garden School  West Chester</t>
  </si>
  <si>
    <t>8374 Princeton Glendale Rd, West Chester, Ohio, 45069</t>
  </si>
  <si>
    <t>8374 Princeton Glendale Rd</t>
  </si>
  <si>
    <t>Kinder Garden School, West Chester</t>
  </si>
  <si>
    <t>L. Hollingworth School for Talented and Gifted</t>
  </si>
  <si>
    <t>653 Miami St, Toledo, Ohio, 43605</t>
  </si>
  <si>
    <t>653 Miami St</t>
  </si>
  <si>
    <t>Northside Christian Academy</t>
  </si>
  <si>
    <t>7615 Ridge Rd, Wadsworth, Ohio, 44281</t>
  </si>
  <si>
    <t>7615 Ridge Rd</t>
  </si>
  <si>
    <t>Bulldog Virtual Academy</t>
  </si>
  <si>
    <t>Houston Educational Service and Early Childhood Center</t>
  </si>
  <si>
    <t>3310 Compton Rd, Cincinnati, Ohio, 45251</t>
  </si>
  <si>
    <t>3310 Compton Rd</t>
  </si>
  <si>
    <t>Danbury Middle School</t>
  </si>
  <si>
    <t>9451 E Harbor Rd, Lakeside, Ohio, 43440</t>
  </si>
  <si>
    <t>Lakeside</t>
  </si>
  <si>
    <t>Red Raider Preschool</t>
  </si>
  <si>
    <t>350 Cedarbrook Dr, Painesville, Ohio, 44077</t>
  </si>
  <si>
    <t>350 Cedarbrook Dr</t>
  </si>
  <si>
    <t>Mississinawa Valley Preschool</t>
  </si>
  <si>
    <t>1469 State Route 47 E, Union City, Ohio, 45390</t>
  </si>
  <si>
    <t>1469 State Route 47 E</t>
  </si>
  <si>
    <t>The Hebrew Academy of Cleveland-Oakwood Campus</t>
  </si>
  <si>
    <t>1516 Warrensville Center Rd, Cleveland, Ohio, 44121</t>
  </si>
  <si>
    <t>1516 Warrensville Center Rd</t>
  </si>
  <si>
    <t>Maddux-Lang Primary School</t>
  </si>
  <si>
    <t>4010 Crains Run Rd, Miamisburg, Ohio, 45342</t>
  </si>
  <si>
    <t>4010 Crains Run Rd</t>
  </si>
  <si>
    <t>S.U.P.E.R. Learning Center's Faith Christian Academy</t>
  </si>
  <si>
    <t>1584 Wilson Avenue, Lakemore, Ohio, 44250</t>
  </si>
  <si>
    <t>1584 Wilson Avenue</t>
  </si>
  <si>
    <t>Lakemore</t>
  </si>
  <si>
    <t>44250</t>
  </si>
  <si>
    <t>Wilmington Christian Academy</t>
  </si>
  <si>
    <t>642 Davids Dr, Wilmington, Ohio, 45177</t>
  </si>
  <si>
    <t>642 Davids Dr</t>
  </si>
  <si>
    <t>Ruskin Elementary School</t>
  </si>
  <si>
    <t>407 Ambrose Ct, Dayton, Ohio, 45410</t>
  </si>
  <si>
    <t>407 Ambrose Ct</t>
  </si>
  <si>
    <t>Gallia Academy Middle School</t>
  </si>
  <si>
    <t>340 4th Ave, Gallipolis, Ohio, 45631</t>
  </si>
  <si>
    <t>340 4th Ave</t>
  </si>
  <si>
    <t>Village Preparatory School Cliffs</t>
  </si>
  <si>
    <t>1417 E 36th St, Cleveland, Ohio, 44114</t>
  </si>
  <si>
    <t>1417 E 36th St</t>
  </si>
  <si>
    <t>Breakthrough Public Schools</t>
  </si>
  <si>
    <t>Hamilton Local Preschool</t>
  </si>
  <si>
    <t>Eliza Northrop Elementary</t>
  </si>
  <si>
    <t>950 East Reagan Parkway, Medina, Ohio, 44256</t>
  </si>
  <si>
    <t>950 East Reagan Parkway</t>
  </si>
  <si>
    <t>Ralph E. Waite Elementary</t>
  </si>
  <si>
    <t>4765 Cobblestone Park Drive, Medina, Ohio, 44256</t>
  </si>
  <si>
    <t>4765 Cobblestone Park Drive</t>
  </si>
  <si>
    <t>Hardin Community School</t>
  </si>
  <si>
    <t>400 Decatur St, Kenton, Ohio, 43326</t>
  </si>
  <si>
    <t>400 Decatur St</t>
  </si>
  <si>
    <t xml:space="preserve">Sycamore Creek Elementary School </t>
  </si>
  <si>
    <t>500 Sycamore Creek St, Pickerington, Ohio, 43147</t>
  </si>
  <si>
    <t>500 Sycamore Creek St</t>
  </si>
  <si>
    <t xml:space="preserve">Toll Gate Middle School </t>
  </si>
  <si>
    <t>12089 Tollgate Rd, Pickerington, Ohio, 43147</t>
  </si>
  <si>
    <t>12089 Tollgate Rd</t>
  </si>
  <si>
    <t>Toll Gate Elementary</t>
  </si>
  <si>
    <t>12183 Tollgate Rd, Pickerington, Ohio, 43147</t>
  </si>
  <si>
    <t>12183 Tollgate Rd</t>
  </si>
  <si>
    <t>Paint Creek Academy</t>
  </si>
  <si>
    <t>1071 Tong Hollow Rd, Bainbridge, Ohio, 45612</t>
  </si>
  <si>
    <t>1071 Tong Hollow Rd</t>
  </si>
  <si>
    <t>Greater Summit County Early Learning Center</t>
  </si>
  <si>
    <t>1651 Massillon Rd, Akron, Ohio, 44312</t>
  </si>
  <si>
    <t>1651 Massillon Rd</t>
  </si>
  <si>
    <t>Bella Academy of Excellence</t>
  </si>
  <si>
    <t>19114 Bella Dr, Cleveland, Ohio, 44119</t>
  </si>
  <si>
    <t>19114 Bella Dr</t>
  </si>
  <si>
    <t>Defiance Elementary School</t>
  </si>
  <si>
    <t>400 Carter Rd, Defiance, Ohio, 43512</t>
  </si>
  <si>
    <t>400 Carter Rd</t>
  </si>
  <si>
    <t>Renaissance Academy dba Bessie Sherrod Price Preparatory Aca</t>
  </si>
  <si>
    <t>1555 Elaine Rd, Columbus, Ohio, 43227</t>
  </si>
  <si>
    <t>1555 Elaine Rd</t>
  </si>
  <si>
    <t>EEG Renaissance LLC</t>
  </si>
  <si>
    <t>South Central Junior High School</t>
  </si>
  <si>
    <t xml:space="preserve">Teays Valley West Middle School </t>
  </si>
  <si>
    <t>200 Grove Run Rd, Commercial Point, Ohio, 43116</t>
  </si>
  <si>
    <t>200 Grove Run Rd</t>
  </si>
  <si>
    <t>Columbus Bilingual Academy-North</t>
  </si>
  <si>
    <t>2100 Morse Rd, Columbus, Ohio, 43229</t>
  </si>
  <si>
    <t>2100 Morse Rd</t>
  </si>
  <si>
    <t>Fairwood Elementary School</t>
  </si>
  <si>
    <t>281 Fair Avenue, Hamilton, Ohio, 45011</t>
  </si>
  <si>
    <t>281 Fair Avenue</t>
  </si>
  <si>
    <t>Linden Elementary School</t>
  </si>
  <si>
    <t>801 Hoadley Ave, Hamilton, Ohio, 45015</t>
  </si>
  <si>
    <t>801 Hoadley Ave</t>
  </si>
  <si>
    <t>Ridgeway Elementary School</t>
  </si>
  <si>
    <t>267 Wasserman Rd, Hamilton, Ohio, 45013</t>
  </si>
  <si>
    <t>267 Wasserman Rd</t>
  </si>
  <si>
    <t>Bridgeport Elementary School</t>
  </si>
  <si>
    <t>2171 Bridgeport Drive, Hamilton, Ohio, 45013</t>
  </si>
  <si>
    <t>2171 Bridgeport Drive</t>
  </si>
  <si>
    <t>Hillsboro Christian Academy</t>
  </si>
  <si>
    <t>849 S High St, Hillsboro, Ohio, 45133</t>
  </si>
  <si>
    <t>849 S High St</t>
  </si>
  <si>
    <t>Rayen Early College Middle School</t>
  </si>
  <si>
    <t>58 Williamson Ave, Youngstown, Ohio, 44507</t>
  </si>
  <si>
    <t>58 Williamson Ave</t>
  </si>
  <si>
    <t>Dayton Regional STEM School</t>
  </si>
  <si>
    <t>STEM</t>
  </si>
  <si>
    <t>1724 Woodman Dr, Kettering, Ohio, 45420</t>
  </si>
  <si>
    <t>1724 Woodman Dr</t>
  </si>
  <si>
    <t>Lakeland Academy Community School</t>
  </si>
  <si>
    <t>101 E Main St, Freeport, Ohio, 43973</t>
  </si>
  <si>
    <t>101 E Main St</t>
  </si>
  <si>
    <t>Freeport</t>
  </si>
  <si>
    <t>43973</t>
  </si>
  <si>
    <t>Superior Intermediate School</t>
  </si>
  <si>
    <t>2308 Wade Ave, Ashtabula, Ohio, 44004</t>
  </si>
  <si>
    <t>2308 Wade Ave</t>
  </si>
  <si>
    <t xml:space="preserve">National Inventors Hall of Fame School  Center for STEM </t>
  </si>
  <si>
    <t>199 S Broadway St, Akron, Ohio, 44308</t>
  </si>
  <si>
    <t>199 S Broadway St</t>
  </si>
  <si>
    <t>Horizon Science Academy Lorain</t>
  </si>
  <si>
    <t>760 Tower Blvd, Lorain, Ohio, 44052</t>
  </si>
  <si>
    <t>760 Tower Blvd</t>
  </si>
  <si>
    <t>Horizon Science Academy Dayton High School</t>
  </si>
  <si>
    <t>250 Shoup Mill Rd, Dayton, Ohio, 45415</t>
  </si>
  <si>
    <t>250 Shoup Mill Rd</t>
  </si>
  <si>
    <t>Ross County Christian Academy</t>
  </si>
  <si>
    <t>2215 Egypt Pike, Chillicothe, Ohio, 45601</t>
  </si>
  <si>
    <t>2215 Egypt Pike</t>
  </si>
  <si>
    <t>Cherry Hill Primary</t>
  </si>
  <si>
    <t>720 W Oakland Ave, Washington, Ohio, 43160</t>
  </si>
  <si>
    <t>720 W Oakland Ave</t>
  </si>
  <si>
    <t>Belle Aire Intermediate</t>
  </si>
  <si>
    <t>1120 High St, Washington, Ohio, 43160</t>
  </si>
  <si>
    <t>1120 High St</t>
  </si>
  <si>
    <t>Hughes STEM High School</t>
  </si>
  <si>
    <t>2515 Clifton Ave, Cincinnati, Ohio, 45219</t>
  </si>
  <si>
    <t>2515 Clifton Ave</t>
  </si>
  <si>
    <t>Evolve Academy</t>
  </si>
  <si>
    <t>222 S Broadway St, Medina, Ohio, 44256</t>
  </si>
  <si>
    <t>222 S Broadway St</t>
  </si>
  <si>
    <t>South Gallia Middle School</t>
  </si>
  <si>
    <t>Olmsted Falls Early Childhood Center</t>
  </si>
  <si>
    <t>7105 Fitch Rd, Olmsted, Ohio, 44138</t>
  </si>
  <si>
    <t>7105 Fitch Rd</t>
  </si>
  <si>
    <t>Olmsted</t>
  </si>
  <si>
    <t>Clark Early Learning Center</t>
  </si>
  <si>
    <t>Approved Teacher Education College</t>
  </si>
  <si>
    <t>Bucyrus Elementary School</t>
  </si>
  <si>
    <t>245 Woodlawn Ave, Bucyrus, Ohio, 44820</t>
  </si>
  <si>
    <t>245 Woodlawn Ave</t>
  </si>
  <si>
    <t xml:space="preserve">Wapakoneta Elementary </t>
  </si>
  <si>
    <t>900 N Blackhoof St, Wapakoneta, Ohio, 45895</t>
  </si>
  <si>
    <t>900 N Blackhoof St</t>
  </si>
  <si>
    <t>Wapakoneta Jr. High</t>
  </si>
  <si>
    <t>Buckeye Central Middle School</t>
  </si>
  <si>
    <t>North College Hill Middle School</t>
  </si>
  <si>
    <t>1624 W Galbraith Rd, Cincinnati, Ohio, 45239</t>
  </si>
  <si>
    <t>1624 W Galbraith Rd</t>
  </si>
  <si>
    <t>Northeast Ohio College Preparatory School</t>
  </si>
  <si>
    <t>2280 Professor Ave, Cleveland, Ohio, 44113</t>
  </si>
  <si>
    <t>2280 Professor Ave</t>
  </si>
  <si>
    <t>Accel Schools Cleveland FB LLC</t>
  </si>
  <si>
    <t>Grace Community School</t>
  </si>
  <si>
    <t>715 W William St, Delaware, Ohio, 43015</t>
  </si>
  <si>
    <t>715 W William St</t>
  </si>
  <si>
    <t>South Bloomfield Elementary</t>
  </si>
  <si>
    <t>194 Dowler Dr, South Bloomfield, Ohio, 43103</t>
  </si>
  <si>
    <t>194 Dowler Dr</t>
  </si>
  <si>
    <t>South Bloomfield</t>
  </si>
  <si>
    <t>Imagine Akron Academy</t>
  </si>
  <si>
    <t>2405 Romig Rd, Akron, Ohio, 44320</t>
  </si>
  <si>
    <t>2405 Romig Rd</t>
  </si>
  <si>
    <t>The Richland School of Academic Arts</t>
  </si>
  <si>
    <t>1456 Park Ave W, Mansfield, Ohio, 44906</t>
  </si>
  <si>
    <t>1456 Park Ave W</t>
  </si>
  <si>
    <t>Graham Elementary and Middle School</t>
  </si>
  <si>
    <t>140 E 16th Ave, Columbus, Ohio, 43201</t>
  </si>
  <si>
    <t>140 E 16th Ave</t>
  </si>
  <si>
    <t xml:space="preserve">Horizon Science Academy Dayton Downtown </t>
  </si>
  <si>
    <t>121 S Monmouth St, Dayton, Ohio, 45403</t>
  </si>
  <si>
    <t>121 S Monmouth St</t>
  </si>
  <si>
    <t>Horizon Science Academy Youngstown</t>
  </si>
  <si>
    <t>3403 Southern Blvd, Youngstown, Ohio, 44507</t>
  </si>
  <si>
    <t>3403 Southern Blvd</t>
  </si>
  <si>
    <t>Jane Chance Elementary</t>
  </si>
  <si>
    <t>10661 Wood Rd, Miamisburg, Ohio, 45342</t>
  </si>
  <si>
    <t>10661 Wood Rd</t>
  </si>
  <si>
    <t>Wynford Middle School</t>
  </si>
  <si>
    <t>Columbus International High School</t>
  </si>
  <si>
    <t>4077 Karl Rd, Columbus, Ohio, 43224</t>
  </si>
  <si>
    <t>4077 Karl Rd</t>
  </si>
  <si>
    <t>Columbus City Preparatory School for Girls</t>
  </si>
  <si>
    <t>1390 Bryden Rd, Columbus, Ohio, 43205</t>
  </si>
  <si>
    <t>1390 Bryden Rd</t>
  </si>
  <si>
    <t>Columbus City Preparatory School for Boys</t>
  </si>
  <si>
    <t>3450 Medway Ave, Columbus, Ohio, 43213</t>
  </si>
  <si>
    <t>3450 Medway Ave</t>
  </si>
  <si>
    <t>Zenith Academy East</t>
  </si>
  <si>
    <t>2261 S Hamilton Rd, Columbus, Ohio, 43232</t>
  </si>
  <si>
    <t>2261 S Hamilton Rd</t>
  </si>
  <si>
    <t>Cleveland College Preparatory School</t>
  </si>
  <si>
    <t>4906 Fleet Ave, Cleveland, Ohio, 44105</t>
  </si>
  <si>
    <t>4906 Fleet Ave</t>
  </si>
  <si>
    <t>Columbus Performance Academy</t>
  </si>
  <si>
    <t>274 E 1st Ave, Columbus, Ohio, 43201</t>
  </si>
  <si>
    <t>274 E 1st Ave</t>
  </si>
  <si>
    <t>Geneva Platt R. Spencer Elementary School</t>
  </si>
  <si>
    <t>755 Austin Rd, Geneva, Ohio, 44041</t>
  </si>
  <si>
    <t>755 Austin Rd</t>
  </si>
  <si>
    <t>Constellation Schools: Stockyard Community Middle</t>
  </si>
  <si>
    <t>Near West Intergenerational School</t>
  </si>
  <si>
    <t>3805 Terrett Ave, Cleveland, Ohio, 44113</t>
  </si>
  <si>
    <t>3805 Terrett Ave</t>
  </si>
  <si>
    <t>Foxfire Intermediate School</t>
  </si>
  <si>
    <t>Regent High School</t>
  </si>
  <si>
    <t>5806 Broadway Ave, Cleveland, Ohio, 44127</t>
  </si>
  <si>
    <t>5806 Broadway Ave</t>
  </si>
  <si>
    <t>44127</t>
  </si>
  <si>
    <t>Mason Run High School</t>
  </si>
  <si>
    <t>923 S James Rd, Columbus, Ohio, 43227</t>
  </si>
  <si>
    <t>923 S James Rd</t>
  </si>
  <si>
    <t>Fusion OH LLC</t>
  </si>
  <si>
    <t>Old Brook High School</t>
  </si>
  <si>
    <t>4877 Pearl Rd, Cleveland, Ohio, 44109</t>
  </si>
  <si>
    <t>4877 Pearl Rd</t>
  </si>
  <si>
    <t>Road to Success Academy</t>
  </si>
  <si>
    <t>1634 Minnesota Ave, Columbus, Ohio, 43211</t>
  </si>
  <si>
    <t>1634 Minnesota Ave</t>
  </si>
  <si>
    <t>Central High School</t>
  </si>
  <si>
    <t>840 W State St, Columbus, Ohio, 43222</t>
  </si>
  <si>
    <t>840 W State St</t>
  </si>
  <si>
    <t>Southern Cleveland Drop Back Indba Innovative Career Academy</t>
  </si>
  <si>
    <t>3845 E 131st St, Cleveland, Ohio, 44120</t>
  </si>
  <si>
    <t>3845 E 131st St</t>
  </si>
  <si>
    <t>West Cleveland Drop Back In dba Frederick Douglass High Scho</t>
  </si>
  <si>
    <t>3167 Fulton Rd, Cleveland, Ohio, 44109</t>
  </si>
  <si>
    <t>3167 Fulton Rd</t>
  </si>
  <si>
    <t>Capital High School</t>
  </si>
  <si>
    <t>640 Harrisburg Pike, Columbus, Ohio, 43223</t>
  </si>
  <si>
    <t>640 Harrisburg Pike</t>
  </si>
  <si>
    <t>Patriot Preparatory Academy</t>
  </si>
  <si>
    <t>4938 Beatrice Dr, Columbus, Ohio, 43227</t>
  </si>
  <si>
    <t>4938 Beatrice Dr</t>
  </si>
  <si>
    <t xml:space="preserve">North Central Academy </t>
  </si>
  <si>
    <t>928 W Market St Ste B, Tiffin, Ohio, 44883</t>
  </si>
  <si>
    <t>928 W Market St Ste B</t>
  </si>
  <si>
    <t>Akros Middle School</t>
  </si>
  <si>
    <t>265 Park St, Akron, Ohio, 44304</t>
  </si>
  <si>
    <t>265 Park St</t>
  </si>
  <si>
    <t>General Rosecrans Elementary</t>
  </si>
  <si>
    <t>301 S. Miller Drive, Sunbury, Ohio, 43074</t>
  </si>
  <si>
    <t>301 S. Miller Drive</t>
  </si>
  <si>
    <t>Southside Academy</t>
  </si>
  <si>
    <t>1400 Oak Hill Ave, Youngstown, Ohio, 44507</t>
  </si>
  <si>
    <t>1400 Oak Hill Ave</t>
  </si>
  <si>
    <t>The Educational Empowerment Group, LLC</t>
  </si>
  <si>
    <t>New Beginnings</t>
  </si>
  <si>
    <t>Harrison Central Elementary School</t>
  </si>
  <si>
    <t>Campus International School</t>
  </si>
  <si>
    <t>2160 Payne Ave, Cleveland, Ohio, 44114</t>
  </si>
  <si>
    <t>2160 Payne Ave</t>
  </si>
  <si>
    <t>New Technology West</t>
  </si>
  <si>
    <t>11801 Worthington Ave, Cleveland, Ohio, 44111</t>
  </si>
  <si>
    <t>11801 Worthington Ave</t>
  </si>
  <si>
    <t>Facing History High School@Charles Mooney</t>
  </si>
  <si>
    <t>3202 W 30th St, Cleveland, Ohio, 44109</t>
  </si>
  <si>
    <t>3202 W 30th St</t>
  </si>
  <si>
    <t>Metro Early College High School</t>
  </si>
  <si>
    <t>1929 Kenny Rd, Columbus, Ohio, 43210</t>
  </si>
  <si>
    <t>1929 Kenny Rd</t>
  </si>
  <si>
    <t>43210</t>
  </si>
  <si>
    <t>Warrensville Heights Elementary School</t>
  </si>
  <si>
    <t>21865 Clarkwood Pkwy, Cleveland, Ohio, 44128</t>
  </si>
  <si>
    <t>21865 Clarkwood Pkwy</t>
  </si>
  <si>
    <t>Mapleton Middle School</t>
  </si>
  <si>
    <t>CNE Early Childhood Academy</t>
  </si>
  <si>
    <t>463 South Broadway, Owensville, Ohio, 45160</t>
  </si>
  <si>
    <t>463 South Broadway</t>
  </si>
  <si>
    <t>Big Walnut Intermediate School</t>
  </si>
  <si>
    <t>777 Cheshire Rd, Sunbury, Ohio, 43074</t>
  </si>
  <si>
    <t>777 Cheshire Rd</t>
  </si>
  <si>
    <t>Lima HS - Preschool</t>
  </si>
  <si>
    <t>Beacon Hill Academy</t>
  </si>
  <si>
    <t>10470 Winesburg Rd, Dundee, Ohio, 44624</t>
  </si>
  <si>
    <t>10470 Winesburg Rd</t>
  </si>
  <si>
    <t>DePaul Cristo Rey High School</t>
  </si>
  <si>
    <t>3440 Central Pkwy, Cincinnati, Ohio, 45225</t>
  </si>
  <si>
    <t>3440 Central Pkwy</t>
  </si>
  <si>
    <t>Early Learning Center</t>
  </si>
  <si>
    <t>936 Eastwind Dr, Westerville, Ohio, 43081</t>
  </si>
  <si>
    <t>936 Eastwind Dr</t>
  </si>
  <si>
    <t>Madison-Plains Elementary School</t>
  </si>
  <si>
    <t>47 Linson Rd, London, Ohio, 43140</t>
  </si>
  <si>
    <t>47 Linson Rd</t>
  </si>
  <si>
    <t>Madison-Plains Intermediate School</t>
  </si>
  <si>
    <t>9940 State Route 38 SW, London, Ohio, 43140</t>
  </si>
  <si>
    <t>9940 State Route 38 SW</t>
  </si>
  <si>
    <t>The Academy for Urban Scholars</t>
  </si>
  <si>
    <t>1808 E Broad St, Columbus, Ohio, 43203</t>
  </si>
  <si>
    <t>1808 E Broad St</t>
  </si>
  <si>
    <t>National Center for Urban Solutions NCUS" "</t>
  </si>
  <si>
    <t>Focus North High School</t>
  </si>
  <si>
    <t>4807 Evanswood Dr, Columbus, Ohio, 43229</t>
  </si>
  <si>
    <t>4807 Evanswood Dr</t>
  </si>
  <si>
    <t>University of Cleveland Preparatory School</t>
  </si>
  <si>
    <t>1906 E 40th St, Cleveland, Ohio, 44103</t>
  </si>
  <si>
    <t>1906 E 40th St</t>
  </si>
  <si>
    <t>Global Village Academy</t>
  </si>
  <si>
    <t>5720 State Rd, Parma, Ohio, 44134</t>
  </si>
  <si>
    <t>5720 State Rd</t>
  </si>
  <si>
    <t>Summit Road Elementary</t>
  </si>
  <si>
    <t>8591 Summit Rd, Reynoldsburg, Ohio, 43068</t>
  </si>
  <si>
    <t>8591 Summit Rd</t>
  </si>
  <si>
    <t>Glenview Center for Childcare and Learning</t>
  </si>
  <si>
    <t>28727 Wolf Rd, Bay Village, Ohio, 44140</t>
  </si>
  <si>
    <t>28727 Wolf Rd</t>
  </si>
  <si>
    <t>Burbank Early Childhood School</t>
  </si>
  <si>
    <t>4770 Burbank Dr, Upper, Ohio, 43220</t>
  </si>
  <si>
    <t>4770 Burbank Dr</t>
  </si>
  <si>
    <t>Upper</t>
  </si>
  <si>
    <t>Eagle Elementary of Akron</t>
  </si>
  <si>
    <t>2199 5th St SW, Akron, Ohio, 44314</t>
  </si>
  <si>
    <t>2199 5th St SW</t>
  </si>
  <si>
    <t>STEAM Academy of Warren</t>
  </si>
  <si>
    <t>261 Elm Rd NE, Warren, Ohio, 44483</t>
  </si>
  <si>
    <t>261 Elm Rd NE</t>
  </si>
  <si>
    <t>Constellation Schools: Eastside Arts Academy</t>
  </si>
  <si>
    <t>6700 Lansing Ave, Cleveland, Ohio, 44105</t>
  </si>
  <si>
    <t>6700 Lansing Ave</t>
  </si>
  <si>
    <t>Broadway Academy</t>
  </si>
  <si>
    <t>5004 Glazier Ave, Cleveland, Ohio, 44127</t>
  </si>
  <si>
    <t>5004 Glazier Ave</t>
  </si>
  <si>
    <t>Willoughby-Eastlake Preschool</t>
  </si>
  <si>
    <t>34050 Glen Dr, Eastlake, Ohio, 44095</t>
  </si>
  <si>
    <t>34050 Glen Dr</t>
  </si>
  <si>
    <t>Townsend Community School</t>
  </si>
  <si>
    <t>207 Lowell St, Castalia, Ohio, 44824</t>
  </si>
  <si>
    <t>207 Lowell St</t>
  </si>
  <si>
    <t>Eagle Wings Academy</t>
  </si>
  <si>
    <t>9100 Jacksontown Road, Jacksontown, Ohio, 43030</t>
  </si>
  <si>
    <t>9100 Jacksontown Road</t>
  </si>
  <si>
    <t>Jacksontown</t>
  </si>
  <si>
    <t>43030</t>
  </si>
  <si>
    <t>Crossroads Christian Academy</t>
  </si>
  <si>
    <t>5679 Tarlton Rd, Circleville, Ohio, 43113</t>
  </si>
  <si>
    <t>5679 Tarlton Rd</t>
  </si>
  <si>
    <t>Van Wert Early Childhood Center</t>
  </si>
  <si>
    <t>1120 Buckeye Dr, Van Wert, Ohio, 45891</t>
  </si>
  <si>
    <t>1120 Buckeye Dr</t>
  </si>
  <si>
    <t>DECA PREP</t>
  </si>
  <si>
    <t>200 Homewood Ave, Dayton, Ohio, 45405</t>
  </si>
  <si>
    <t>200 Homewood Ave</t>
  </si>
  <si>
    <t>Robert H Studebaker</t>
  </si>
  <si>
    <t>5950 Longford Rd, Huber, Ohio, 45424</t>
  </si>
  <si>
    <t>5950 Longford Rd</t>
  </si>
  <si>
    <t>Huber</t>
  </si>
  <si>
    <t>High Road School of Lima</t>
  </si>
  <si>
    <t>71 Town Sq, Lima, Ohio, 45801</t>
  </si>
  <si>
    <t>71 Town Sq</t>
  </si>
  <si>
    <t>High Road School of Findlay</t>
  </si>
  <si>
    <t>7430 Timberstone Dr Ste J, Findlay, Ohio, 45840</t>
  </si>
  <si>
    <t>7430 Timberstone Dr Ste J</t>
  </si>
  <si>
    <t>Village Preparatory School Woodland Hills</t>
  </si>
  <si>
    <t>9201 Crane Ave, Cleveland, Ohio, 44105</t>
  </si>
  <si>
    <t>9201 Crane Ave</t>
  </si>
  <si>
    <t>Massillon Intermediate School</t>
  </si>
  <si>
    <t>Kleptz Early Childhood Learning Center</t>
  </si>
  <si>
    <t>1100 National Rd, Clayton, Ohio, 45315</t>
  </si>
  <si>
    <t>1100 National Rd</t>
  </si>
  <si>
    <t>Lake Erie College Preparatory School</t>
  </si>
  <si>
    <t>14405 Saint Clair Ave, Cleveland, Ohio, 44110</t>
  </si>
  <si>
    <t>14405 Saint Clair Ave</t>
  </si>
  <si>
    <t>STEAM Academy of Warrensville Heights</t>
  </si>
  <si>
    <t>4700 Richmond Rd Ste 3000, Warrensville Heights, Ohio, 44128</t>
  </si>
  <si>
    <t>4700 Richmond Rd Ste 3000</t>
  </si>
  <si>
    <t>Stepstone Academy</t>
  </si>
  <si>
    <t>3328 Carnegie Ave, Cleveland, Ohio, 44115</t>
  </si>
  <si>
    <t>3328 Carnegie Ave</t>
  </si>
  <si>
    <t>OhioGuidestone</t>
  </si>
  <si>
    <t>The Brilliance School</t>
  </si>
  <si>
    <t>10608 Penfield Ave, Garfield Heights, Ohio, 44125</t>
  </si>
  <si>
    <t>10608 Penfield Ave</t>
  </si>
  <si>
    <t>AIC Education Partners</t>
  </si>
  <si>
    <t>Imagine Environmental Science Academy</t>
  </si>
  <si>
    <t>1030 Clay Ave, Toledo, Ohio, 43608</t>
  </si>
  <si>
    <t>1030 Clay Ave</t>
  </si>
  <si>
    <t>SunBridge Schools</t>
  </si>
  <si>
    <t>2729 124th St, Toledo, Ohio, 43611</t>
  </si>
  <si>
    <t>2729 124th St</t>
  </si>
  <si>
    <t>Hyde Park School</t>
  </si>
  <si>
    <t>3401 Edwards Rd, Cincinnati, Ohio, 45208</t>
  </si>
  <si>
    <t>3401 Edwards Rd</t>
  </si>
  <si>
    <t>Westside Christian Academy</t>
  </si>
  <si>
    <t>23096 Center Ridge Rd, Westlake, Ohio, 44145</t>
  </si>
  <si>
    <t>23096 Center Ridge Rd</t>
  </si>
  <si>
    <t>Ann Jerkins-Harris Academy of Excellence</t>
  </si>
  <si>
    <t>728 Parkside Blvd, Toledo, Ohio, 43607</t>
  </si>
  <si>
    <t>728 Parkside Blvd</t>
  </si>
  <si>
    <t>Cleveland Preparatory Academy</t>
  </si>
  <si>
    <t>4850 Pearl Rd, Cleveland, Ohio, 44109</t>
  </si>
  <si>
    <t>4850 Pearl Rd</t>
  </si>
  <si>
    <t>8011 Dutch Rd, Waterville, Ohio, 43566</t>
  </si>
  <si>
    <t>8011 Dutch Rd</t>
  </si>
  <si>
    <t>Akron STEM High School</t>
  </si>
  <si>
    <t>123 S Forge St, Akron, Ohio, 44308</t>
  </si>
  <si>
    <t>123 S Forge St</t>
  </si>
  <si>
    <t>A+ Children's Academy</t>
  </si>
  <si>
    <t>114 Obetz Rd, Columbus, Ohio, 43207</t>
  </si>
  <si>
    <t>114 Obetz Rd</t>
  </si>
  <si>
    <t>Accel Schools Columbus FB LLC</t>
  </si>
  <si>
    <t>Academy for Urban Scholars Youngstown</t>
  </si>
  <si>
    <t>3405 Market St, Youngstown, Ohio, 44507</t>
  </si>
  <si>
    <t>3405 Market St</t>
  </si>
  <si>
    <t>Ohio College Preparatory School</t>
  </si>
  <si>
    <t>21100 Southgate Park Blvd, Maple Heights, Ohio, 44137</t>
  </si>
  <si>
    <t>21100 Southgate Park Blvd</t>
  </si>
  <si>
    <t>Akron Preparatory School</t>
  </si>
  <si>
    <t>1200 E Market St Ste 3360, Akron, Ohio, 44305</t>
  </si>
  <si>
    <t>1200 E Market St Ste 3360</t>
  </si>
  <si>
    <t>Accel Schools Akron FB LLC</t>
  </si>
  <si>
    <t>Canton College Preparatory School</t>
  </si>
  <si>
    <t>101 Cleveland Ave NW, Canton, Ohio, 44702</t>
  </si>
  <si>
    <t>101 Cleveland Ave NW</t>
  </si>
  <si>
    <t>Accel Schools Canton FB LLC</t>
  </si>
  <si>
    <t>Montgomery County Juvenile Court Detention Center</t>
  </si>
  <si>
    <t>380 W Second St, Dayton, Ohio, 45422</t>
  </si>
  <si>
    <t>380 W Second St</t>
  </si>
  <si>
    <t>45422</t>
  </si>
  <si>
    <t>Center for Adolescent Services</t>
  </si>
  <si>
    <t>333 Access Rd, New, Ohio, 45345</t>
  </si>
  <si>
    <t>333 Access Rd</t>
  </si>
  <si>
    <t>New</t>
  </si>
  <si>
    <t>Western Primary</t>
  </si>
  <si>
    <t>Westbrooke Village</t>
  </si>
  <si>
    <t>6500 Westford Rd, Trotwood, Ohio, 45426</t>
  </si>
  <si>
    <t>6500 Westford Rd</t>
  </si>
  <si>
    <t>Maysville O TAGS</t>
  </si>
  <si>
    <t>Arcanum Early Learning Center</t>
  </si>
  <si>
    <t>310 N Main St, Arcanum, Ohio, 45304</t>
  </si>
  <si>
    <t>310 N Main St</t>
  </si>
  <si>
    <t>Tooba Academy</t>
  </si>
  <si>
    <t>1950 Morse Rd, Columbus, Ohio, 43229</t>
  </si>
  <si>
    <t>1950 Morse Rd</t>
  </si>
  <si>
    <t>Cincinnati Technology Academy</t>
  </si>
  <si>
    <t>3800 Glenway Ave, Cincinnati, Ohio, 45205</t>
  </si>
  <si>
    <t>3800 Glenway Ave</t>
  </si>
  <si>
    <t>EEG Cincinnati Technology Academy LLC</t>
  </si>
  <si>
    <t>Early Childhood Education and Family Center</t>
  </si>
  <si>
    <t>2879 Johnstown Rd, Columbus, Ohio, 43219</t>
  </si>
  <si>
    <t>2879 Johnstown Rd</t>
  </si>
  <si>
    <t>Trebein Elementary School</t>
  </si>
  <si>
    <t>1728 Dayton Xenia Rd, Xenia, Ohio, 45385</t>
  </si>
  <si>
    <t>1728 Dayton Xenia Rd</t>
  </si>
  <si>
    <t>Global Impact STEM Academy</t>
  </si>
  <si>
    <t>700 S Limestone St Ste B, Springfield, Ohio, 45505</t>
  </si>
  <si>
    <t>700 S Limestone St Ste B</t>
  </si>
  <si>
    <t>Trotwood-Madison Middle School</t>
  </si>
  <si>
    <t>4420 N Union Rd, Trotwood, Ohio, 45426</t>
  </si>
  <si>
    <t>4420 N Union Rd</t>
  </si>
  <si>
    <t>Liberty Preparatory School</t>
  </si>
  <si>
    <t>243 N Milton St, Smithville, Ohio, 44677</t>
  </si>
  <si>
    <t>243 N Milton St</t>
  </si>
  <si>
    <t>Albert Einstein Academy for Letters  Arts and Sciences-Ohio</t>
  </si>
  <si>
    <t>20566 Albion Rd, Strongsville, Ohio, 44149</t>
  </si>
  <si>
    <t>20566 Albion Rd</t>
  </si>
  <si>
    <t>Rise &amp; Shine Academy</t>
  </si>
  <si>
    <t>3248 Warsaw St, Toledo, Ohio, 43608</t>
  </si>
  <si>
    <t>3248 Warsaw St</t>
  </si>
  <si>
    <t>Cristo Rey Columbus High School</t>
  </si>
  <si>
    <t>400 E Town St, Columbus, Ohio, 43215</t>
  </si>
  <si>
    <t>400 E Town St</t>
  </si>
  <si>
    <t>Smith Middle School</t>
  </si>
  <si>
    <t>3625 Little York Rd, Dayton, Ohio, 45414</t>
  </si>
  <si>
    <t>3625 Little York Rd</t>
  </si>
  <si>
    <t>Lincoln Park Academy</t>
  </si>
  <si>
    <t>3185 W 41st St, Cleveland, Ohio, 44109</t>
  </si>
  <si>
    <t>3185 W 41st St</t>
  </si>
  <si>
    <t>Main Preparatory Academy</t>
  </si>
  <si>
    <t>1035 Clay St, Akron, Ohio, 44301</t>
  </si>
  <si>
    <t>1035 Clay St</t>
  </si>
  <si>
    <t>EEG Main Prep, LLC</t>
  </si>
  <si>
    <t>Ohio Construction Academy</t>
  </si>
  <si>
    <t>1725 Jetway Blvd, Columbus, Ohio, 43219</t>
  </si>
  <si>
    <t>1725 Jetway Blvd</t>
  </si>
  <si>
    <t>EEG OCA LLC</t>
  </si>
  <si>
    <t>Indian Creek Middle School Grades 5 &amp; 6</t>
  </si>
  <si>
    <t>2379 Wilson Ave, Mingo Junction, Ohio, 43938</t>
  </si>
  <si>
    <t>2379 Wilson Ave</t>
  </si>
  <si>
    <t>Eastland Preparatory Academy</t>
  </si>
  <si>
    <t>2741 S Hamilton Rd, Columbus, Ohio, 43232</t>
  </si>
  <si>
    <t>2741 S Hamilton Rd</t>
  </si>
  <si>
    <t>Hope Learning Academy of Toledo</t>
  </si>
  <si>
    <t>4234 Monroe St, Toledo, Ohio, 43606</t>
  </si>
  <si>
    <t>4234 Monroe St</t>
  </si>
  <si>
    <t>Spectrum Growth</t>
  </si>
  <si>
    <t>300 Broadway, Lorain, Ohio, 44052</t>
  </si>
  <si>
    <t>300 Broadway</t>
  </si>
  <si>
    <t>Imagine Leadership Academy</t>
  </si>
  <si>
    <t>Imagine Columbus Primary Academy</t>
  </si>
  <si>
    <t>4656 Heaton Rd, Columbus, Ohio, 43229</t>
  </si>
  <si>
    <t>4656 Heaton Rd</t>
  </si>
  <si>
    <t>East Preparatory Academy</t>
  </si>
  <si>
    <t>4129 Superior Ave, Cleveland, Ohio, 44103</t>
  </si>
  <si>
    <t>4129 Superior Ave</t>
  </si>
  <si>
    <t>Forrester Education</t>
  </si>
  <si>
    <t>Dayton SMART Elementary School</t>
  </si>
  <si>
    <t>601 S Keowee St, Dayton, Ohio, 45410</t>
  </si>
  <si>
    <t>601 S Keowee St</t>
  </si>
  <si>
    <t>Miniya Academies, LLC</t>
  </si>
  <si>
    <t>Creative World of Montessori-Beavercreek</t>
  </si>
  <si>
    <t>1481 N Fairfield Rd, Beavercreek, Ohio, 45432</t>
  </si>
  <si>
    <t>1481 N Fairfield Rd</t>
  </si>
  <si>
    <t>East Academy</t>
  </si>
  <si>
    <t>15720 Kipling Ave, Cleveland, Ohio, 44110</t>
  </si>
  <si>
    <t>15720 Kipling Ave</t>
  </si>
  <si>
    <t>Discovery Academy</t>
  </si>
  <si>
    <t>2740 W Central Ave, Toledo, Ohio, 43606</t>
  </si>
  <si>
    <t>2740 W Central Ave</t>
  </si>
  <si>
    <t>West Park Academy</t>
  </si>
  <si>
    <t>12913 Bennington Ave, Cleveland, Ohio, 44135</t>
  </si>
  <si>
    <t>12913 Bennington Ave</t>
  </si>
  <si>
    <t>Bio-Med Science Academy STEM School</t>
  </si>
  <si>
    <t>4211 State Route 44, Rootstown, Ohio, 44272</t>
  </si>
  <si>
    <t>4211 State Route 44</t>
  </si>
  <si>
    <t>Eisenhower Intermediate School</t>
  </si>
  <si>
    <t>331 North Curtice Road, Oregon, Ohio, 43616</t>
  </si>
  <si>
    <t>331 North Curtice Road</t>
  </si>
  <si>
    <t>Findlay City Schools Preschool</t>
  </si>
  <si>
    <t>600 Jacobs Ave, Findlay, Ohio, 45840</t>
  </si>
  <si>
    <t>600 Jacobs Ave</t>
  </si>
  <si>
    <t>United Preparatory Academy</t>
  </si>
  <si>
    <t>617 W State St, Columbus, Ohio, 43215</t>
  </si>
  <si>
    <t>617 W State St</t>
  </si>
  <si>
    <t>United Schools Network, Inc.</t>
  </si>
  <si>
    <t>T2 Honors Academy</t>
  </si>
  <si>
    <t>18450 S Miles Rd, Warrensville Heights, Ohio, 44128</t>
  </si>
  <si>
    <t>18450 S Miles Rd</t>
  </si>
  <si>
    <t>Mechanicsburg Middle School</t>
  </si>
  <si>
    <t>Marysville STEM Early College High School</t>
  </si>
  <si>
    <t>833 N Maple St, Marysville, Ohio, 43040</t>
  </si>
  <si>
    <t>833 N Maple St</t>
  </si>
  <si>
    <t>Steel Academy</t>
  </si>
  <si>
    <t>1570 Creighton Ave, Akron, Ohio, 44310</t>
  </si>
  <si>
    <t>1570 Creighton Ave</t>
  </si>
  <si>
    <t>EEG Steel LLC</t>
  </si>
  <si>
    <t>Utica Shale Academy of Ohio</t>
  </si>
  <si>
    <t>Lakeshore Intergenerational School</t>
  </si>
  <si>
    <t>18025 Marcella Rd, Cleveland, Ohio, 44119</t>
  </si>
  <si>
    <t>18025 Marcella Rd</t>
  </si>
  <si>
    <t>Cleveland High School for the Digital Arts</t>
  </si>
  <si>
    <t>1440 Lakeside Ave E, Cleveland, Ohio, 44114</t>
  </si>
  <si>
    <t>1440 Lakeside Ave E</t>
  </si>
  <si>
    <t>John F Kennedy High School</t>
  </si>
  <si>
    <t>15111 Miles Ave, Cleveland, Ohio, 44128</t>
  </si>
  <si>
    <t>15111 Miles Ave</t>
  </si>
  <si>
    <t>Bard Early College Cleveland</t>
  </si>
  <si>
    <t>13501 Terminal Ave, Cleveland, Ohio, 44135</t>
  </si>
  <si>
    <t>13501 Terminal Ave</t>
  </si>
  <si>
    <t>Valley STEM+ME2 Academy</t>
  </si>
  <si>
    <t>Rosa Parks Early Learning Center</t>
  </si>
  <si>
    <t>3705 Lori Sue Ave, Dayton, Ohio, 45406</t>
  </si>
  <si>
    <t>3705 Lori Sue Ave</t>
  </si>
  <si>
    <t>Mercer County Head Start</t>
  </si>
  <si>
    <t>833 S Main St, Rockford, Ohio, 45882</t>
  </si>
  <si>
    <t>833 S Main St</t>
  </si>
  <si>
    <t>ELP Essex</t>
  </si>
  <si>
    <t>1160 Winhurst Dr, Akron, Ohio, 44313</t>
  </si>
  <si>
    <t>1160 Winhurst Dr</t>
  </si>
  <si>
    <t>East Elementary Annex</t>
  </si>
  <si>
    <t>4259 N State Route 376 NW, McConnelsville, Ohio, 43756</t>
  </si>
  <si>
    <t>4259 N State Route 376 NW</t>
  </si>
  <si>
    <t>McConnelsville</t>
  </si>
  <si>
    <t>School of Innovation</t>
  </si>
  <si>
    <t>32500 Chardon Rd, Willoughby, Ohio, 44094</t>
  </si>
  <si>
    <t>32500 Chardon Rd</t>
  </si>
  <si>
    <t>New Albany Intermediate School</t>
  </si>
  <si>
    <t>177 N High St, New Albany, Ohio, 43054</t>
  </si>
  <si>
    <t>177 N High St</t>
  </si>
  <si>
    <t>Woodmore Middle School</t>
  </si>
  <si>
    <t>The Bridge Avenue School</t>
  </si>
  <si>
    <t>3389 Fulton Rd, Cleveland, Ohio, 44109</t>
  </si>
  <si>
    <t>3389 Fulton Rd</t>
  </si>
  <si>
    <t>Beavercreek City School Preschool</t>
  </si>
  <si>
    <t>3038 Kemp Rd, Beavercreek, Ohio, 45431</t>
  </si>
  <si>
    <t>3038 Kemp Rd</t>
  </si>
  <si>
    <t>Mayfair</t>
  </si>
  <si>
    <t>5331 Bennett Rd, Toledo, Ohio, 43612</t>
  </si>
  <si>
    <t>5331 Bennett Rd</t>
  </si>
  <si>
    <t>306 Bush St, Toledo, Ohio, 43604</t>
  </si>
  <si>
    <t>306 Bush St</t>
  </si>
  <si>
    <t>Lincoln Pre-Kindergarten School</t>
  </si>
  <si>
    <t>124 Ohio Ave, Tiffin, Ohio, 44883</t>
  </si>
  <si>
    <t>124 Ohio Ave</t>
  </si>
  <si>
    <t>Portsmouth Stem Academy</t>
  </si>
  <si>
    <t>614 Third Street, Portsmouth, Ohio, 45662</t>
  </si>
  <si>
    <t>614 Third Street</t>
  </si>
  <si>
    <t>Zenith Academy West</t>
  </si>
  <si>
    <t>3385 South Blvd, Columbus, Ohio, 43204</t>
  </si>
  <si>
    <t>3385 South Blvd</t>
  </si>
  <si>
    <t>Flex High School</t>
  </si>
  <si>
    <t>567 W Broad St, Columbus, Ohio, 43215</t>
  </si>
  <si>
    <t>567 W Broad St</t>
  </si>
  <si>
    <t>Lifelong Learning Administration Corp.</t>
  </si>
  <si>
    <t>Citizens Academy Southeast</t>
  </si>
  <si>
    <t>15700 Lotus Dr, Cleveland, Ohio, 44128</t>
  </si>
  <si>
    <t>15700 Lotus Dr</t>
  </si>
  <si>
    <t>Berkshire Elementary</t>
  </si>
  <si>
    <t>iSTEM</t>
  </si>
  <si>
    <t>1800 Mentor Ave, Painesville, Ohio, 44077</t>
  </si>
  <si>
    <t>1800 Mentor Ave</t>
  </si>
  <si>
    <t>Tri-State STEM+M School</t>
  </si>
  <si>
    <t>702 Solida Rd, South Point, Ohio, 45680</t>
  </si>
  <si>
    <t>702 Solida Rd</t>
  </si>
  <si>
    <t>The Golden Key Center for Exceptional Children</t>
  </si>
  <si>
    <t>1431 30th St NW, Canton, Ohio, 44709</t>
  </si>
  <si>
    <t>1431 30th St NW</t>
  </si>
  <si>
    <t>Dominion Academy of Dayton</t>
  </si>
  <si>
    <t>925 N Main St, Dayton, Ohio, 45405</t>
  </si>
  <si>
    <t>925 N Main St</t>
  </si>
  <si>
    <t>John Marshall School of Business and Civic Leadership</t>
  </si>
  <si>
    <t>3952 W 140th St, Cleveland, Ohio, 44111</t>
  </si>
  <si>
    <t>3952 W 140th St</t>
  </si>
  <si>
    <t>John Marshall School of Engineering</t>
  </si>
  <si>
    <t>John Marshall School of Information Technology</t>
  </si>
  <si>
    <t>ACLD School</t>
  </si>
  <si>
    <t>118 E Wood St, Youngstown, Ohio, 44503</t>
  </si>
  <si>
    <t>118 E Wood St</t>
  </si>
  <si>
    <t>Beacon Academy</t>
  </si>
  <si>
    <t>1379 Garfield Ave SW, Canton, Ohio, 44706</t>
  </si>
  <si>
    <t>1379 Garfield Ave SW</t>
  </si>
  <si>
    <t>EEG Beacon LLC</t>
  </si>
  <si>
    <t>Bridge Gate Community School</t>
  </si>
  <si>
    <t>4060 Sullivant Ave, Columbus, Ohio, 43228</t>
  </si>
  <si>
    <t>4060 Sullivant Ave</t>
  </si>
  <si>
    <t>EEG Bridge Gate LLC</t>
  </si>
  <si>
    <t>Euclid Preparatory School</t>
  </si>
  <si>
    <t>23001 Euclid Ave, Euclid, Ohio, 44117</t>
  </si>
  <si>
    <t>23001 Euclid Ave</t>
  </si>
  <si>
    <t>East Branch Preparatory AcademydbaWright Preparatory Academy</t>
  </si>
  <si>
    <t>1500 Superior Ave NE, Canton, Ohio, 44705</t>
  </si>
  <si>
    <t>1500 Superior Ave NE</t>
  </si>
  <si>
    <t>Dayton Athletic Vocational Academy</t>
  </si>
  <si>
    <t>3237 W Siebenthaler Ave Unit 20, Dayton, Ohio, 45406</t>
  </si>
  <si>
    <t>3237 W Siebenthaler Ave Unit 20</t>
  </si>
  <si>
    <t>Village Preparatory School Willard</t>
  </si>
  <si>
    <t>9401 Willard Ave, Cleveland, Ohio, 44102</t>
  </si>
  <si>
    <t>9401 Willard Ave</t>
  </si>
  <si>
    <t>Northgate Intermediate</t>
  </si>
  <si>
    <t>6655 Sharon Woods Blvd, Columbus, Ohio, 43229</t>
  </si>
  <si>
    <t>6655 Sharon Woods Blvd</t>
  </si>
  <si>
    <t>Allen East Middle School</t>
  </si>
  <si>
    <t>Southview Middle School</t>
  </si>
  <si>
    <t>2321 Fairless Dr, Lorain, Ohio, 44055</t>
  </si>
  <si>
    <t>2321 Fairless Dr</t>
  </si>
  <si>
    <t>Global Ambassadors Language Academy</t>
  </si>
  <si>
    <t>13442 Lorain Ave, Cleveland, Ohio, 44111</t>
  </si>
  <si>
    <t>13442 Lorain Ave</t>
  </si>
  <si>
    <t>Westwood Preparatory Academy</t>
  </si>
  <si>
    <t>Springmill STEM Elementary</t>
  </si>
  <si>
    <t>1200 Nestor Dr, Mansfield, Ohio, 44906</t>
  </si>
  <si>
    <t>1200 Nestor Dr</t>
  </si>
  <si>
    <t>Bolton Crossing Elementary</t>
  </si>
  <si>
    <t>2695 Holt Rd, Grove, Ohio, 43123</t>
  </si>
  <si>
    <t>2695 Holt Rd</t>
  </si>
  <si>
    <t>Grove</t>
  </si>
  <si>
    <t>Hull Prairie Intermediate School</t>
  </si>
  <si>
    <t>25480 Hull Prairie Rd, Perrysburg, Ohio, 43551</t>
  </si>
  <si>
    <t>25480 Hull Prairie Rd</t>
  </si>
  <si>
    <t>Lincoln West School of Science &amp; Health</t>
  </si>
  <si>
    <t>3202 W 30th Street, Cleveland, Ohio, 44109</t>
  </si>
  <si>
    <t>3202 W 30th Street</t>
  </si>
  <si>
    <t>Lincoln West School Of Global Studies</t>
  </si>
  <si>
    <t>Linden Park Neighborhood Early Childhood Education Center</t>
  </si>
  <si>
    <t>1400 Myrtle Ave, Columbus, Ohio, 43211</t>
  </si>
  <si>
    <t>1400 Myrtle Ave</t>
  </si>
  <si>
    <t>Creative World of Montessori-Wilmington Pike</t>
  </si>
  <si>
    <t>6833 Wilmington Pike, Centerville, Ohio, 45459</t>
  </si>
  <si>
    <t>6833 Wilmington Pike</t>
  </si>
  <si>
    <t>Rising Stars at Vine</t>
  </si>
  <si>
    <t>2120 Vine St, Cincinnati, Ohio, 45202</t>
  </si>
  <si>
    <t>2120 Vine St</t>
  </si>
  <si>
    <t>Massillon Preschool</t>
  </si>
  <si>
    <t>New Philadelphia Preschool Center at the Quaker Dome</t>
  </si>
  <si>
    <t>142 24th Dr NE, New Philadelphia, Ohio, 44663</t>
  </si>
  <si>
    <t>142 24th Dr NE</t>
  </si>
  <si>
    <t>Highland Community Learning Center</t>
  </si>
  <si>
    <t>5120 Godown Rd, Columbus, Ohio, 43220</t>
  </si>
  <si>
    <t>5120 Godown Rd</t>
  </si>
  <si>
    <t>Northern Ohio Adventist Academy</t>
  </si>
  <si>
    <t>555 Kenilworth Ave, Sheffield Lake, Ohio, 44054</t>
  </si>
  <si>
    <t>555 Kenilworth Ave</t>
  </si>
  <si>
    <t>Reach Center Summit Lake</t>
  </si>
  <si>
    <t>390 W Crosier St, Akron, Ohio, 44311</t>
  </si>
  <si>
    <t>390 W Crosier St</t>
  </si>
  <si>
    <t>Fairfield Compass Elementary</t>
  </si>
  <si>
    <t>8801 Holden Blvd, Fairfield, Ohio, 45014</t>
  </si>
  <si>
    <t>8801 Holden Blvd</t>
  </si>
  <si>
    <t>Perrysburg Preschool</t>
  </si>
  <si>
    <t>102 E Broadway St, Maumee, Ohio, 43537</t>
  </si>
  <si>
    <t>102 E Broadway St</t>
  </si>
  <si>
    <t>G. Tyree Learning School</t>
  </si>
  <si>
    <t>Miami School</t>
  </si>
  <si>
    <t>140 Ross Ave, Hamilton, Ohio, 45013</t>
  </si>
  <si>
    <t>140 Ross Ave</t>
  </si>
  <si>
    <t>Rocky River Early Childhood Center at Beach School</t>
  </si>
  <si>
    <t>New Horizons Academy at Sara's Garden</t>
  </si>
  <si>
    <t>220 Lawrence Ave, Wauseon, Ohio, 43567</t>
  </si>
  <si>
    <t>220 Lawrence Ave</t>
  </si>
  <si>
    <t>STEPS Academy</t>
  </si>
  <si>
    <t>4040 Tamarack Dr, Parma, Ohio, 44134</t>
  </si>
  <si>
    <t>4040 Tamarack Dr</t>
  </si>
  <si>
    <t>Rising Stars at Carthage</t>
  </si>
  <si>
    <t>125 W North Bend Rd, Cincinnati, Ohio, 45216</t>
  </si>
  <si>
    <t>125 W North Bend Rd</t>
  </si>
  <si>
    <t>Leap Academy at North Fairmount</t>
  </si>
  <si>
    <t>2001 Baltimore Ave, Cincinnati, Ohio, 45225</t>
  </si>
  <si>
    <t>2001 Baltimore Ave</t>
  </si>
  <si>
    <t>Spencer Center for Gifted and Exceptional Students</t>
  </si>
  <si>
    <t>2825 Alms Pl, Cincinnati, Ohio, 45206</t>
  </si>
  <si>
    <t>2825 Alms Pl</t>
  </si>
  <si>
    <t>Southwest Licking Early Learning Center</t>
  </si>
  <si>
    <t>927 South St Unit B, Etna, Ohio, 43062</t>
  </si>
  <si>
    <t>927 South St Unit B</t>
  </si>
  <si>
    <t>Volney Rogers School</t>
  </si>
  <si>
    <t>2400 S Schenley Ave, Youngstown, Ohio, 44511</t>
  </si>
  <si>
    <t>2400 S Schenley Ave</t>
  </si>
  <si>
    <t>Wilson Alternative School</t>
  </si>
  <si>
    <t>Kirkmere School</t>
  </si>
  <si>
    <t>2851 Kirk Rd, Youngstown, Ohio, 44511</t>
  </si>
  <si>
    <t>2851 Kirk Rd</t>
  </si>
  <si>
    <t>Richmond Heights Middle School</t>
  </si>
  <si>
    <t>Campus International High School</t>
  </si>
  <si>
    <t>3100 Chester Ave, Cleveland, Ohio, 44114</t>
  </si>
  <si>
    <t>3100 Chester Ave</t>
  </si>
  <si>
    <t>Davis Aerospace &amp; Maritime High School</t>
  </si>
  <si>
    <t>John Adams College &amp; Career Academy</t>
  </si>
  <si>
    <t>3817 Martin Luther King Jr Dr, Cleveland, Ohio, 44105</t>
  </si>
  <si>
    <t>3817 Martin Luther King Jr Dr</t>
  </si>
  <si>
    <t>Rhodes College and Career Academy</t>
  </si>
  <si>
    <t>5100 Biddulph Ave, Cleveland, Ohio, 44144</t>
  </si>
  <si>
    <t>5100 Biddulph Ave</t>
  </si>
  <si>
    <t>Rhodes School of Environmental Studies</t>
  </si>
  <si>
    <t>Ranger High Tech Academy</t>
  </si>
  <si>
    <t>5580 Lear Nagle Rd, North Ridgeville, Ohio, 44039</t>
  </si>
  <si>
    <t>5580 Lear Nagle Rd</t>
  </si>
  <si>
    <t>Barberton Preschool</t>
  </si>
  <si>
    <t>Monroe Junior High School</t>
  </si>
  <si>
    <t>Citizens Leadership Academy East</t>
  </si>
  <si>
    <t>12523 Woodside Ave, Cleveland, Ohio, 44108</t>
  </si>
  <si>
    <t>12523 Woodside Ave</t>
  </si>
  <si>
    <t>Ferguson Hall Freshman School</t>
  </si>
  <si>
    <t>2680 Dayton Xenia Rd, Beavercreek, Ohio, 45434</t>
  </si>
  <si>
    <t>2680 Dayton Xenia Rd</t>
  </si>
  <si>
    <t>SMART Academy</t>
  </si>
  <si>
    <t>4351 E 131st St, Garfield Heights, Ohio, 44105</t>
  </si>
  <si>
    <t>4351 E 131st St</t>
  </si>
  <si>
    <t>Orchard Park Academy</t>
  </si>
  <si>
    <t>14440 Triskett Rd, Cleveland, Ohio, 44111</t>
  </si>
  <si>
    <t>14440 Triskett Rd</t>
  </si>
  <si>
    <t>Kids Care Elementary</t>
  </si>
  <si>
    <t>3360 Kohr Blvd, Columbus, Ohio, 43224</t>
  </si>
  <si>
    <t>3360 Kohr Blvd</t>
  </si>
  <si>
    <t>Entrepreneurial Ventures in Education</t>
  </si>
  <si>
    <t>South Columbus Preparatory Academy at German Village</t>
  </si>
  <si>
    <t>387 E Beck St, Columbus, Ohio, 43206</t>
  </si>
  <si>
    <t>387 E Beck St</t>
  </si>
  <si>
    <t>140 N Keowee St, Dayton, Ohio, 45402</t>
  </si>
  <si>
    <t>140 N Keowee St</t>
  </si>
  <si>
    <t>Gahanna- Jefferson  Clark Hall</t>
  </si>
  <si>
    <t>380 Granville St, Gahanna, Ohio, 43230</t>
  </si>
  <si>
    <t>380 Granville St</t>
  </si>
  <si>
    <t>Cincinnati Achievement Academy</t>
  </si>
  <si>
    <t>5555 Little Flower Ave, Cincinnati, Ohio, 45239</t>
  </si>
  <si>
    <t>5555 Little Flower Ave</t>
  </si>
  <si>
    <t>EEG Southwest Ohio Prep, LLC</t>
  </si>
  <si>
    <t>Clifton Area Neighborhood School</t>
  </si>
  <si>
    <t>3711 Clifton Ave, Cincinnati, Ohio, 45220</t>
  </si>
  <si>
    <t>3711 Clifton Ave</t>
  </si>
  <si>
    <t>Pickerington Alternative School</t>
  </si>
  <si>
    <t>Early Childhood Center 2</t>
  </si>
  <si>
    <t>1450 Marietta Rd, Lancaster, Ohio, 43130</t>
  </si>
  <si>
    <t>1450 Marietta Rd</t>
  </si>
  <si>
    <t>Olentangy Shanahan Preschool</t>
  </si>
  <si>
    <t>814 Shanahan Rd Ste 100, Lewis Center, Ohio, 43035</t>
  </si>
  <si>
    <t>814 Shanahan Rd Ste 100</t>
  </si>
  <si>
    <t>Olentangy Berlin High School</t>
  </si>
  <si>
    <t>3140 Berlin Station Rd, Delaware, Ohio, 43015</t>
  </si>
  <si>
    <t>3140 Berlin Station Rd</t>
  </si>
  <si>
    <t>AIM Academy @ Belden</t>
  </si>
  <si>
    <t>2115 Georgetown Rd NE, Canton, Ohio, 44704</t>
  </si>
  <si>
    <t>2115 Georgetown Rd NE</t>
  </si>
  <si>
    <t>44704</t>
  </si>
  <si>
    <t>LICKING HEIGHTS NORTH ELEMENTARY SCHOOL</t>
  </si>
  <si>
    <t>6507 Summit Rd SW, Pataskala, Ohio, 43062</t>
  </si>
  <si>
    <t>6507 Summit Rd SW</t>
  </si>
  <si>
    <t>Rising Stars at Ezzard Charles</t>
  </si>
  <si>
    <t>Julie Billiart School of St Sebastian Parish</t>
  </si>
  <si>
    <t>380 Mineola Ave, Akron, Ohio, 44320</t>
  </si>
  <si>
    <t>380 Mineola Ave</t>
  </si>
  <si>
    <t>The Reserve School</t>
  </si>
  <si>
    <t>Canton Montessori Association</t>
  </si>
  <si>
    <t>3909 Blackburn Rd NW, Canton, Ohio, 44718</t>
  </si>
  <si>
    <t>3909 Blackburn Rd NW</t>
  </si>
  <si>
    <t>4478 Rushton Rd, Cleveland, Ohio, 44121</t>
  </si>
  <si>
    <t>4478 Rushton Rd</t>
  </si>
  <si>
    <t>Horizon Science Academy Primary</t>
  </si>
  <si>
    <t>2899 Morse Rd, Columbus, Ohio, 43231</t>
  </si>
  <si>
    <t>2899 Morse Rd</t>
  </si>
  <si>
    <t>GEC School</t>
  </si>
  <si>
    <t>1410 Hubbard Rd, Galloway, Ohio, 43119</t>
  </si>
  <si>
    <t>1410 Hubbard Rd</t>
  </si>
  <si>
    <t>The Goddard School of Centerville</t>
  </si>
  <si>
    <t>10685 Dayton Lebanon Pike, Centerville, Ohio, 45458</t>
  </si>
  <si>
    <t>10685 Dayton Lebanon Pike</t>
  </si>
  <si>
    <t>I Promise School</t>
  </si>
  <si>
    <t>400 W Market St, Akron, Ohio, 44303</t>
  </si>
  <si>
    <t>400 W Market St</t>
  </si>
  <si>
    <t>Yeshiva High School of Cleveland</t>
  </si>
  <si>
    <t>25400 Fairmount Blvd, Beachwood, Ohio, 44122</t>
  </si>
  <si>
    <t>25400 Fairmount Blvd</t>
  </si>
  <si>
    <t>William Rainey Harper</t>
  </si>
  <si>
    <t>5515 Ira Ave, Cleveland, Ohio, 44144</t>
  </si>
  <si>
    <t>5515 Ira Ave</t>
  </si>
  <si>
    <t>Montgomery Preparatory Academy</t>
  </si>
  <si>
    <t>2745 S Smithville Rd, Dayton, Ohio, 45420</t>
  </si>
  <si>
    <t>2745 S Smithville Rd</t>
  </si>
  <si>
    <t>Great River Connections Academy</t>
  </si>
  <si>
    <t>3650 Olentangy River Rd Ste 430, Columbus, Ohio, 43214</t>
  </si>
  <si>
    <t>3650 Olentangy River Rd Ste 430</t>
  </si>
  <si>
    <t>Dampe Community School</t>
  </si>
  <si>
    <t>2615 Melrose Ave, Cincinnati, Ohio, 45206</t>
  </si>
  <si>
    <t>2615 Melrose Ave</t>
  </si>
  <si>
    <t>Mount Auburn Preparatory Academy</t>
  </si>
  <si>
    <t>244 Southern Ave, Cincinnati, Ohio, 45219</t>
  </si>
  <si>
    <t>244 Southern Ave</t>
  </si>
  <si>
    <t>The Learning Spectrum</t>
  </si>
  <si>
    <t>6660 Doubletree Ave, Columbus, Ohio, 43229</t>
  </si>
  <si>
    <t>6660 Doubletree Ave</t>
  </si>
  <si>
    <t>AchievePoint Career Academy - Cincinnati</t>
  </si>
  <si>
    <t>5098 Glencrossing Way, Cincinnati, Ohio, 45238</t>
  </si>
  <si>
    <t>5098 Glencrossing Way</t>
  </si>
  <si>
    <t>Graduation Alliance, Inc.</t>
  </si>
  <si>
    <t>Chardon Early Learning Center</t>
  </si>
  <si>
    <t>308 Maple Ave, Chardon, Ohio, 44024</t>
  </si>
  <si>
    <t>308 Maple Ave</t>
  </si>
  <si>
    <t>Heartland Early Learning Program</t>
  </si>
  <si>
    <t>Lorain Bilingual Preparatory Academy</t>
  </si>
  <si>
    <t>307 W 7th St, Lorain, Ohio, 44052</t>
  </si>
  <si>
    <t>307 W 7th St</t>
  </si>
  <si>
    <t>East Franklin Elementary School</t>
  </si>
  <si>
    <t>1955 Richmond Rd, Columbus, Ohio, 43223</t>
  </si>
  <si>
    <t>1955 Richmond Rd</t>
  </si>
  <si>
    <t>Columbus Africentric Early College Middle School</t>
  </si>
  <si>
    <t>Cambridge City Preschool</t>
  </si>
  <si>
    <t>Mt. Logan Early Childhood Center</t>
  </si>
  <si>
    <t>841 E Main St, Chillicothe, Ohio, 45601</t>
  </si>
  <si>
    <t>841 E Main St</t>
  </si>
  <si>
    <t>Little Learners Preschool</t>
  </si>
  <si>
    <t>119 Union St, Newark, Ohio, 43055</t>
  </si>
  <si>
    <t>119 Union St</t>
  </si>
  <si>
    <t>Newark Digital Academy</t>
  </si>
  <si>
    <t>255 Woods Ave, Newark, Ohio, 43055</t>
  </si>
  <si>
    <t>255 Woods Ave</t>
  </si>
  <si>
    <t>St Benedict Early Learning Center</t>
  </si>
  <si>
    <t>14600 Turney Rd, Maple Heights, Ohio, 44137</t>
  </si>
  <si>
    <t>14600 Turney Rd</t>
  </si>
  <si>
    <t>James N. Gamble Montessori Elementary School</t>
  </si>
  <si>
    <t>2700 Felicity Pl, Cincinnati, Ohio, 45211</t>
  </si>
  <si>
    <t>2700 Felicity Pl</t>
  </si>
  <si>
    <t>Princeton Innovation Center</t>
  </si>
  <si>
    <t>Fugees Academy</t>
  </si>
  <si>
    <t>1450 E Dublin Granville Rd, Columbus, Ohio, 43229</t>
  </si>
  <si>
    <t>1450 E Dublin Granville Rd</t>
  </si>
  <si>
    <t>Chaviva High School</t>
  </si>
  <si>
    <t>3300 Mayfield Rd, Cleveland Heights, Ohio, 44118</t>
  </si>
  <si>
    <t>3300 Mayfield Rd</t>
  </si>
  <si>
    <t>Cincinnati Waldorf High School</t>
  </si>
  <si>
    <t>6703 Madison Rd, Cincinnati, Ohio, 45227</t>
  </si>
  <si>
    <t>6703 Madison Rd</t>
  </si>
  <si>
    <t>Summit Academy of Southwest Ohio</t>
  </si>
  <si>
    <t>10400 Carolina Trace Rd, Harrison, Ohio, 45030</t>
  </si>
  <si>
    <t>10400 Carolina Trace Rd</t>
  </si>
  <si>
    <t>ReGeneration Bond Hill</t>
  </si>
  <si>
    <t>5158 Fishwick Dr, Cincinnati, Ohio, 45216</t>
  </si>
  <si>
    <t>5158 Fishwick Dr</t>
  </si>
  <si>
    <t>ReGeneration Schools</t>
  </si>
  <si>
    <t>Sleek Academy</t>
  </si>
  <si>
    <t>519 Ordway Ave, Bowling Green, Ohio, 43402</t>
  </si>
  <si>
    <t>519 Ordway Ave</t>
  </si>
  <si>
    <t>TES School</t>
  </si>
  <si>
    <t>3428 W Market St, Fairlawn, Ohio, 44333</t>
  </si>
  <si>
    <t>3428 W Market St</t>
  </si>
  <si>
    <t>Rising Stars at Aiken New Tech/College Hill</t>
  </si>
  <si>
    <t>1515 Section Rd, Cincinnati, Ohio, 45237</t>
  </si>
  <si>
    <t>1515 Section Rd</t>
  </si>
  <si>
    <t>Taylor Middle School</t>
  </si>
  <si>
    <t>Cypress High School</t>
  </si>
  <si>
    <t>1160 W 4th St, Mansfield, Ohio, 44906</t>
  </si>
  <si>
    <t>1160 W 4th St</t>
  </si>
  <si>
    <t>Karaffa Elementary</t>
  </si>
  <si>
    <t>Franklin Local Community School</t>
  </si>
  <si>
    <t>76 W Athens Rd, Roseville, Ohio, 43777</t>
  </si>
  <si>
    <t>76 W Athens Rd</t>
  </si>
  <si>
    <t>The Learning Spectrum  LTD - Canal Winchester</t>
  </si>
  <si>
    <t>6355 Winchester Blvd, Canal Winchester, Ohio, 43110</t>
  </si>
  <si>
    <t>6355 Winchester Blvd</t>
  </si>
  <si>
    <t>The Learning Spectrum, LTD - Canal Winchester</t>
  </si>
  <si>
    <t>The Learning Spectrum  LTD - Johnstown</t>
  </si>
  <si>
    <t>3060 Johnstown Utica Rd, Johnstown, Ohio, 43031</t>
  </si>
  <si>
    <t>3060 Johnstown Utica Rd</t>
  </si>
  <si>
    <t>The Learning Spectrum, LTD - Johnstown</t>
  </si>
  <si>
    <t>Northwest Ohio Classical Academy</t>
  </si>
  <si>
    <t>5025 Glendale Ave, Toledo, Ohio, 43614</t>
  </si>
  <si>
    <t>5025 Glendale Ave</t>
  </si>
  <si>
    <t>McKinley STEM Academy</t>
  </si>
  <si>
    <t>1400 Adams St, Steubenville, Ohio, 43952</t>
  </si>
  <si>
    <t>1400 Adams St</t>
  </si>
  <si>
    <t>Huber Heights Preparatory Academy dba Parma Academy</t>
  </si>
  <si>
    <t>12925 Corporate Dr, Parma, Ohio, 44130</t>
  </si>
  <si>
    <t>12925 Corporate Dr</t>
  </si>
  <si>
    <t>Kenmore Preparatory Academy dba Toledo Preparatory Academy</t>
  </si>
  <si>
    <t>824 6th St, Toledo, Ohio, 43605</t>
  </si>
  <si>
    <t>824 6th St</t>
  </si>
  <si>
    <t>Capital Collegiate Preparatory Academy</t>
  </si>
  <si>
    <t>1414 Gault St, Columbus, Ohio, 43205</t>
  </si>
  <si>
    <t>1414 Gault St</t>
  </si>
  <si>
    <t>North Columbus Preparatory Academy</t>
  </si>
  <si>
    <t>1965 Gladstone Ave, Columbus, Ohio, 43211</t>
  </si>
  <si>
    <t>1965 Gladstone Ave</t>
  </si>
  <si>
    <t>Marion Preparatory Academy</t>
  </si>
  <si>
    <t>1001 Mount Vernon Ave, Marion, Ohio, 43302</t>
  </si>
  <si>
    <t>1001 Mount Vernon Ave</t>
  </si>
  <si>
    <t>Priority High School</t>
  </si>
  <si>
    <t>1116 Lincoln Ave, Cincinnati, Ohio, 45206</t>
  </si>
  <si>
    <t>1116 Lincoln Ave</t>
  </si>
  <si>
    <t>Madeira Preschool</t>
  </si>
  <si>
    <t>8000 Miami Ave, Cincinnati, Ohio, 45243</t>
  </si>
  <si>
    <t>8000 Miami Ave</t>
  </si>
  <si>
    <t>Ohio Digital Learning School</t>
  </si>
  <si>
    <t>1745 Indian Wood Cir, Maumee, Ohio, 43537</t>
  </si>
  <si>
    <t>1745 Indian Wood Cir</t>
  </si>
  <si>
    <t>Olentangy Preschool at DACC</t>
  </si>
  <si>
    <t>Escuela SMART Academy</t>
  </si>
  <si>
    <t>617 Western Ave, Toledo, Ohio, 43609</t>
  </si>
  <si>
    <t>617 Western Ave</t>
  </si>
  <si>
    <t>Insightful Minds</t>
  </si>
  <si>
    <t>9543 Broadview Rd, Broadview Heights, Ohio, 44147</t>
  </si>
  <si>
    <t>9543 Broadview Rd</t>
  </si>
  <si>
    <t>Northeast Ohio Impact Academy</t>
  </si>
  <si>
    <t>436 Struthers Coitsville Rd, Lowellville, Ohio, 44436</t>
  </si>
  <si>
    <t>436 Struthers Coitsville Rd</t>
  </si>
  <si>
    <t>Vandalia-Butler Preschool</t>
  </si>
  <si>
    <t>140 Elva Ct, Vandalia, Ohio, 45377</t>
  </si>
  <si>
    <t>140 Elva Ct</t>
  </si>
  <si>
    <t>St  John Central Academy</t>
  </si>
  <si>
    <t>3625 Guernsey St, Bellaire, Ohio, 43906</t>
  </si>
  <si>
    <t>3625 Guernsey St</t>
  </si>
  <si>
    <t>Al Pi Darko Initiative</t>
  </si>
  <si>
    <t>4131 Matson Ave, Cincinnati, Ohio, 45236</t>
  </si>
  <si>
    <t>4131 Matson Ave</t>
  </si>
  <si>
    <t>Mentor Christian School</t>
  </si>
  <si>
    <t>8600 Lake Shore Blvd, Mentor, Ohio, 44060</t>
  </si>
  <si>
    <t>8600 Lake Shore Blvd</t>
  </si>
  <si>
    <t>Urban Community School</t>
  </si>
  <si>
    <t>4909 Lorain Ave, Cleveland, Ohio, 44102</t>
  </si>
  <si>
    <t>4909 Lorain Ave</t>
  </si>
  <si>
    <t>Crestview Early Childhood Center</t>
  </si>
  <si>
    <t>510 E Tully St, Convoy, Ohio, 45832</t>
  </si>
  <si>
    <t>510 E Tully St</t>
  </si>
  <si>
    <t>Heartland High School</t>
  </si>
  <si>
    <t>760 E Broad St, Columbus, Ohio, 43205</t>
  </si>
  <si>
    <t>760 E Broad St</t>
  </si>
  <si>
    <t>Hopewell Elementary</t>
  </si>
  <si>
    <t>4303 Bright Rd, Dublin, Ohio, 43016</t>
  </si>
  <si>
    <t>4303 Bright Rd</t>
  </si>
  <si>
    <t>Azalea Montessori School</t>
  </si>
  <si>
    <t>4502 Carter Ave, Norwood, Ohio, 45212</t>
  </si>
  <si>
    <t>4502 Carter Ave</t>
  </si>
  <si>
    <t>Abraham Depp Elementary</t>
  </si>
  <si>
    <t>9001 Gardenia Drive, Plain City, Ohio, 43064</t>
  </si>
  <si>
    <t>9001 Gardenia Drive</t>
  </si>
  <si>
    <t>Dublin Preschool</t>
  </si>
  <si>
    <t>7030 Coffman Rd, Dublin, Ohio, 43017</t>
  </si>
  <si>
    <t>7030 Coffman Rd</t>
  </si>
  <si>
    <t>Choffin Preschool</t>
  </si>
  <si>
    <t>200 E Wood St, Youngstown, Ohio, 44503</t>
  </si>
  <si>
    <t>200 E Wood St</t>
  </si>
  <si>
    <t>The Garden Christian Academy</t>
  </si>
  <si>
    <t>Taft Center for Innovation</t>
  </si>
  <si>
    <t>New Horizons Academy Springfield</t>
  </si>
  <si>
    <t>6201 Trust Dr Ste A, Holland, Ohio, 43528</t>
  </si>
  <si>
    <t>6201 Trust Dr Ste A</t>
  </si>
  <si>
    <t>Tree of Life Christian Schools</t>
  </si>
  <si>
    <t>2150 E Powell Rd, Lewis Center, Ohio, 43035</t>
  </si>
  <si>
    <t>2150 E Powell Rd</t>
  </si>
  <si>
    <t>Almadina Academy</t>
  </si>
  <si>
    <t>2350 Fuji Dr, Columbus, Ohio, 43229</t>
  </si>
  <si>
    <t>2350 Fuji Dr</t>
  </si>
  <si>
    <t>Garrett Morgan School of Leadership and Innovation</t>
  </si>
  <si>
    <t>Big Walnut Early Learning Center at Harrison Street</t>
  </si>
  <si>
    <t>70 Harrison St, Sunbury, Ohio, 43074</t>
  </si>
  <si>
    <t>70 Harrison St</t>
  </si>
  <si>
    <t>Buckeye Community School</t>
  </si>
  <si>
    <t>1404 Park Ave W, Ontario, Ohio, 44906</t>
  </si>
  <si>
    <t>1404 Park Ave W</t>
  </si>
  <si>
    <t>New Leaf Organization</t>
  </si>
  <si>
    <t>Quaker Preparatory Academy</t>
  </si>
  <si>
    <t>400 Mill Ave SE Ste 901, New Philadelphia, Ohio, 44663</t>
  </si>
  <si>
    <t>400 Mill Ave SE Ste 901</t>
  </si>
  <si>
    <t>Franklin Local Preschool - Roseville</t>
  </si>
  <si>
    <t>Valor Academy  Inc.</t>
  </si>
  <si>
    <t>1330 Atcheson Street, Columbus, Ohio, 43203</t>
  </si>
  <si>
    <t>1330 Atcheson Street</t>
  </si>
  <si>
    <t>PTLC Preparatory Academy, LLC</t>
  </si>
  <si>
    <t>Preschool at Greenville Senior High School</t>
  </si>
  <si>
    <t>Preschool at North High School</t>
  </si>
  <si>
    <t>Mentor High School Preschool</t>
  </si>
  <si>
    <t>Preschool at Sylvania Northview High School</t>
  </si>
  <si>
    <t>Preschool at Warren G. Harding High School</t>
  </si>
  <si>
    <t>Preschool at Buckeye Trail High School</t>
  </si>
  <si>
    <t>Wee Patriots Preschool</t>
  </si>
  <si>
    <t>Preschool at Jones Leadership Academy</t>
  </si>
  <si>
    <t>Green Preschool</t>
  </si>
  <si>
    <t>West Branch Preschool</t>
  </si>
  <si>
    <t>2900 Knox School Rd, Alliance, Ohio, 44601</t>
  </si>
  <si>
    <t>2900 Knox School Rd</t>
  </si>
  <si>
    <t>Lighthouse School</t>
  </si>
  <si>
    <t>6100 Desmond St, Cincinnati, Ohio, 45227</t>
  </si>
  <si>
    <t>6100 Desmond St</t>
  </si>
  <si>
    <t>Rising Stars at Cheviot/Westwood</t>
  </si>
  <si>
    <t>3132 Mozart Ave, Cincinnati, Ohio, 45211</t>
  </si>
  <si>
    <t>3132 Mozart Ave</t>
  </si>
  <si>
    <t>Focus Learning Academy of Central Columbus</t>
  </si>
  <si>
    <t>Franklinton Prep High School</t>
  </si>
  <si>
    <t>40 Chicago Ave, Columbus, Ohio, 43222</t>
  </si>
  <si>
    <t>40 Chicago Ave</t>
  </si>
  <si>
    <t>Central Point Preparatory Academy</t>
  </si>
  <si>
    <t>680 Harrisburg Pike, Columbus, Ohio, 43223</t>
  </si>
  <si>
    <t>680 Harrisburg Pike</t>
  </si>
  <si>
    <t>South Columbus Preparatory Academy at Southfield</t>
  </si>
  <si>
    <t>3220 Groveport Rd, Columbus, Ohio, 43207</t>
  </si>
  <si>
    <t>3220 Groveport Rd</t>
  </si>
  <si>
    <t>Case Preparatory Academy</t>
  </si>
  <si>
    <t>107 S Arlington St, Akron, Ohio, 44306</t>
  </si>
  <si>
    <t>107 S Arlington St</t>
  </si>
  <si>
    <t>Franklinton High School</t>
  </si>
  <si>
    <t>89 Avondale Ave, Columbus, Ohio, 43222</t>
  </si>
  <si>
    <t>89 Avondale Ave</t>
  </si>
  <si>
    <t>Flex High School Cleveland</t>
  </si>
  <si>
    <t>5222 Wilson Mills Rd, Richmond Heights, Ohio, 44143</t>
  </si>
  <si>
    <t>5222 Wilson Mills Rd</t>
  </si>
  <si>
    <t>North Shore High School</t>
  </si>
  <si>
    <t>4750 Turney Rd, Garfield Heights, Ohio, 44125</t>
  </si>
  <si>
    <t>4750 Turney Rd</t>
  </si>
  <si>
    <t>Heartland Learning</t>
  </si>
  <si>
    <t>Marlboro Elementary</t>
  </si>
  <si>
    <t>8131 Edison St, Louisville, Ohio, 44641</t>
  </si>
  <si>
    <t>8131 Edison St</t>
  </si>
  <si>
    <t>Dublin Preparatory Academy dba Northside Preparatory Academy</t>
  </si>
  <si>
    <t>4750 Winton Rd, Cincinnati, Ohio, 45232</t>
  </si>
  <si>
    <t>4750 Winton Rd</t>
  </si>
  <si>
    <t>Rittman Early Learning Center</t>
  </si>
  <si>
    <t>Bucyrus Middle School</t>
  </si>
  <si>
    <t>455 Redman Way, Bucyrus, Ohio, 44820</t>
  </si>
  <si>
    <t>455 Redman Way</t>
  </si>
  <si>
    <t>Garfield Preschool</t>
  </si>
  <si>
    <t>7090 Hopkins Rd, Mentor, Ohio, 44060</t>
  </si>
  <si>
    <t>7090 Hopkins Rd</t>
  </si>
  <si>
    <t>Lil Cruiser Campus</t>
  </si>
  <si>
    <t>4400 Marketing Pl Ste A, Groveport, Ohio, 43125</t>
  </si>
  <si>
    <t>4400 Marketing Pl Ste A</t>
  </si>
  <si>
    <t>Mound Street Academy</t>
  </si>
  <si>
    <t>West Elementary Pre School</t>
  </si>
  <si>
    <t>LICKING HEIGHTS CENTRAL PRESCHOOL</t>
  </si>
  <si>
    <t>Preschool at Westgate Middle School</t>
  </si>
  <si>
    <t>Early Childhood Education King Center</t>
  </si>
  <si>
    <t>867 Mount Vernon Ave, Columbus, Ohio, 43203</t>
  </si>
  <si>
    <t>867 Mount Vernon Ave</t>
  </si>
  <si>
    <t>Little Middies PreSchool</t>
  </si>
  <si>
    <t>The Bounty Collegium</t>
  </si>
  <si>
    <t>401 Adams St 3rd Fl, Toledo, Ohio, 43604</t>
  </si>
  <si>
    <t>401 Adams St 3rd Fl</t>
  </si>
  <si>
    <t>Education Alternatives</t>
  </si>
  <si>
    <t>5555 Smith Rd, Brook Park, Ohio, 44142</t>
  </si>
  <si>
    <t>5555 Smith Rd</t>
  </si>
  <si>
    <t>Alive Vineyard Academy</t>
  </si>
  <si>
    <t>7602 Stewart Rd, Newark, Ohio, 43055</t>
  </si>
  <si>
    <t>7602 Stewart Rd</t>
  </si>
  <si>
    <t>Bridgeway Academy</t>
  </si>
  <si>
    <t>1350 Alum Creek Dr, Columbus, Ohio, 43209</t>
  </si>
  <si>
    <t>1350 Alum Creek Dr</t>
  </si>
  <si>
    <t>High Road School of Bucyrus</t>
  </si>
  <si>
    <t>1630 W Southern Ave, Bucyrus, Ohio, 44820</t>
  </si>
  <si>
    <t>1630 W Southern Ave</t>
  </si>
  <si>
    <t>Eversole Run Middle School</t>
  </si>
  <si>
    <t>9015 Gardenia Dr, Plain City, Ohio, 43064</t>
  </si>
  <si>
    <t>9015 Gardenia Dr</t>
  </si>
  <si>
    <t>London Preschool</t>
  </si>
  <si>
    <t>510 Elm St, London, Ohio, 43140</t>
  </si>
  <si>
    <t>510 Elm St</t>
  </si>
  <si>
    <t>Shale Meadows Elementary School</t>
  </si>
  <si>
    <t>4458 North Road, Lewis Center, Ohio, 43035</t>
  </si>
  <si>
    <t>4458 North Road</t>
  </si>
  <si>
    <t>Calvary Christian School</t>
  </si>
  <si>
    <t>1140 Rush Ave, Bellefontaine, Ohio, 43311</t>
  </si>
  <si>
    <t>1140 Rush Ave</t>
  </si>
  <si>
    <t>2860 Coventry Rd, Shaker Heights, Ohio, 44120</t>
  </si>
  <si>
    <t>2860 Coventry Rd</t>
  </si>
  <si>
    <t>REWIRED</t>
  </si>
  <si>
    <t>616 Hebron Rd Ste E, Heath, Ohio, 43056</t>
  </si>
  <si>
    <t>616 Hebron Rd Ste E</t>
  </si>
  <si>
    <t>Little Miami Early Childhood Center</t>
  </si>
  <si>
    <t>609 Welch Rd, Morrow, Ohio, 45152</t>
  </si>
  <si>
    <t>609 Welch Rd</t>
  </si>
  <si>
    <t>Buckeye Community School - London</t>
  </si>
  <si>
    <t>177 W High St, London, Ohio, 43140</t>
  </si>
  <si>
    <t>177 W High St</t>
  </si>
  <si>
    <t>Buckeye Community School - Marion</t>
  </si>
  <si>
    <t>366 W Center St, Marion, Ohio, 43302</t>
  </si>
  <si>
    <t>366 W Center St</t>
  </si>
  <si>
    <t>World Language Middle School</t>
  </si>
  <si>
    <t>330 E Dominion Blvd, Columbus, Ohio, 43214</t>
  </si>
  <si>
    <t>330 E Dominion Blvd</t>
  </si>
  <si>
    <t>Ross Intermediate School</t>
  </si>
  <si>
    <t>3371 Hamilton-Cleves Road, Hamtilton, Ohio, 45140</t>
  </si>
  <si>
    <t>3371 Hamilton-Cleves Road</t>
  </si>
  <si>
    <t>Hamtilton</t>
  </si>
  <si>
    <t>Akron Career Tech High School</t>
  </si>
  <si>
    <t>1115 S Main St, Akron, Ohio, 44301</t>
  </si>
  <si>
    <t>1115 S Main St</t>
  </si>
  <si>
    <t>EEG Akron Career Tech High School LLC</t>
  </si>
  <si>
    <t>Dayton Career Tech High School</t>
  </si>
  <si>
    <t>401 E 3rd St, Dayton, Ohio, 45402</t>
  </si>
  <si>
    <t>401 E 3rd St</t>
  </si>
  <si>
    <t>EEG Dayton Career Tech LLC</t>
  </si>
  <si>
    <t>Youngstown Preparatory Academy</t>
  </si>
  <si>
    <t>810 Oak St, Youngstown, Ohio, 44506</t>
  </si>
  <si>
    <t>810 Oak St</t>
  </si>
  <si>
    <t>Etna Elementary</t>
  </si>
  <si>
    <t>8500 Columbia Rd SW, Etna, Ohio, 43062</t>
  </si>
  <si>
    <t>8500 Columbia Rd SW</t>
  </si>
  <si>
    <t>Fort Frye Middle School</t>
  </si>
  <si>
    <t>420 5th St, Beverly, Ohio, 45715</t>
  </si>
  <si>
    <t>420 5th St</t>
  </si>
  <si>
    <t>Preble Shawnee Middle School</t>
  </si>
  <si>
    <t>Western Toledo Preparatory Academy</t>
  </si>
  <si>
    <t>6145 Hill Ave, Toledo, Ohio, 43615</t>
  </si>
  <si>
    <t>6145 Hill Ave</t>
  </si>
  <si>
    <t>Niles Preparatory Academy</t>
  </si>
  <si>
    <t>45 S Chestnut Ave, Niles, Ohio, 44446</t>
  </si>
  <si>
    <t>45 S Chestnut Ave</t>
  </si>
  <si>
    <t>Explorers Academy of Science and Technology</t>
  </si>
  <si>
    <t>1850 Airport Hwy, Toledo, Ohio, 43609</t>
  </si>
  <si>
    <t>1850 Airport Hwy</t>
  </si>
  <si>
    <t>The Stellar Learning Consortium</t>
  </si>
  <si>
    <t>Mt. Healthy Early Learning Center</t>
  </si>
  <si>
    <t>1310 Adams Rd, Cincinnati, Ohio, 45231</t>
  </si>
  <si>
    <t>1310 Adams Rd</t>
  </si>
  <si>
    <t>Cincinnati Classical Academy</t>
  </si>
  <si>
    <t>170 Siebenthaler Ave, Cincinnati, Ohio, 45215</t>
  </si>
  <si>
    <t>170 Siebenthaler Ave</t>
  </si>
  <si>
    <t>Heritage Christian School</t>
  </si>
  <si>
    <t>2000 Broad Ave, Findlay, Ohio, 45840</t>
  </si>
  <si>
    <t>2000 Broad Ave</t>
  </si>
  <si>
    <t>2261 Columbus Rd, Cleveland, Ohio, 44113</t>
  </si>
  <si>
    <t>2261 Columbus Rd</t>
  </si>
  <si>
    <t>Enon Montessori</t>
  </si>
  <si>
    <t>1130 Highview Dr, Fairborn, Ohio, 45324</t>
  </si>
  <si>
    <t>1130 Highview Dr</t>
  </si>
  <si>
    <t>The Shepard School by ECS</t>
  </si>
  <si>
    <t>873 Walcutt Ave, Columbus, Ohio, 43219</t>
  </si>
  <si>
    <t>873 Walcutt Ave</t>
  </si>
  <si>
    <t>Eagle Charter Schools Inc.</t>
  </si>
  <si>
    <t>Tyger Digital Academy</t>
  </si>
  <si>
    <t>176 Hedges St, Mansfield, Ohio, 44902</t>
  </si>
  <si>
    <t>176 Hedges St</t>
  </si>
  <si>
    <t>Kids Country Wadsworth</t>
  </si>
  <si>
    <t>876 West St, Wadsworth, Ohio, 44281</t>
  </si>
  <si>
    <t>876 West St</t>
  </si>
  <si>
    <t>Queen of Apostles School</t>
  </si>
  <si>
    <t>235 Courtland Ave, Toledo, Ohio, 43609</t>
  </si>
  <si>
    <t>235 Courtland Ave</t>
  </si>
  <si>
    <t>Community STE(A)M Academy - Xenia</t>
  </si>
  <si>
    <t>135 E Church St, Xenia, Ohio, 45385</t>
  </si>
  <si>
    <t>135 E Church St</t>
  </si>
  <si>
    <t>Delphos City Schools (Preschool)</t>
  </si>
  <si>
    <t>Little Bolts Preschool</t>
  </si>
  <si>
    <t>West Liberty-Salem Middle School</t>
  </si>
  <si>
    <t>7208 Us Highway 68 N, West Liberty, Ohio, 43357</t>
  </si>
  <si>
    <t>7208 Us Highway 68 N</t>
  </si>
  <si>
    <t>Hicksville Middle School</t>
  </si>
  <si>
    <t>Nordonia Digital Knights Academy</t>
  </si>
  <si>
    <t>PICKERINGTON ACADEMY</t>
  </si>
  <si>
    <t>90 N East St, Pickerington, Ohio, 43147</t>
  </si>
  <si>
    <t>90 N East St</t>
  </si>
  <si>
    <t>Milford Academy</t>
  </si>
  <si>
    <t>1039 Business 28, Milford, Ohio, 45150</t>
  </si>
  <si>
    <t>1039 Business 28</t>
  </si>
  <si>
    <t>North Broadway Children's Center</t>
  </si>
  <si>
    <t>48 E North Broadway St, Columbus, Ohio, 43214</t>
  </si>
  <si>
    <t>48 E North Broadway St</t>
  </si>
  <si>
    <t>Toledo Public Schools Virtual Academy</t>
  </si>
  <si>
    <t>1505 Jefferson Ave, Toledo, Ohio, 43604</t>
  </si>
  <si>
    <t>1505 Jefferson Ave</t>
  </si>
  <si>
    <t>Mad River Local Schools Remote Learning Center</t>
  </si>
  <si>
    <t>200 S Keowee St, Dayton, Ohio, 45402</t>
  </si>
  <si>
    <t>200 S Keowee St</t>
  </si>
  <si>
    <t>BCS Online School</t>
  </si>
  <si>
    <t>Chippewa Virtual Learning Academy</t>
  </si>
  <si>
    <t>466 S Portage St, Doylestown, Ohio, 44230</t>
  </si>
  <si>
    <t>466 S Portage St</t>
  </si>
  <si>
    <t>Jefferson Township Local School District</t>
  </si>
  <si>
    <t>Dobbins Early Learning Center</t>
  </si>
  <si>
    <t>Upper Arlington Online Academy</t>
  </si>
  <si>
    <t>Highland Virtual Learning Academy</t>
  </si>
  <si>
    <t>124 W Washington St, Medina, Ohio, 44256</t>
  </si>
  <si>
    <t>124 W Washington St</t>
  </si>
  <si>
    <t>Vandalia-Butler Online Learning School</t>
  </si>
  <si>
    <t>Spartan Online Academy</t>
  </si>
  <si>
    <t>7777 Glenwood Ave, Boardman, Ohio, 44512</t>
  </si>
  <si>
    <t>Vermilion Digital Academy</t>
  </si>
  <si>
    <t>Wadsworth City School District Online Academy</t>
  </si>
  <si>
    <t>Strongsville Online Learning Opportunity Academy</t>
  </si>
  <si>
    <t>Cardinal Huskie Virtual School</t>
  </si>
  <si>
    <t>Kettering City Schools MCESC Remote Learning Center</t>
  </si>
  <si>
    <t>Hilliard Online Academy</t>
  </si>
  <si>
    <t>5323 Cemetery Rd, Hilliard, Ohio, 43026</t>
  </si>
  <si>
    <t>5323 Cemetery Rd</t>
  </si>
  <si>
    <t>Cleveland Metro Remote School K-12</t>
  </si>
  <si>
    <t>Cuyahoga Falls City School District Virtual Learning Option</t>
  </si>
  <si>
    <t>River Valley Virtual School</t>
  </si>
  <si>
    <t>197 Brocklesby Rd, Caledonia, Ohio, 43314</t>
  </si>
  <si>
    <t>197 Brocklesby Rd</t>
  </si>
  <si>
    <t>Licking Valley Online Learning School</t>
  </si>
  <si>
    <t>Cadet Virtual Academy</t>
  </si>
  <si>
    <t>West Branch Digital Academy</t>
  </si>
  <si>
    <t>Miamisburg Online School</t>
  </si>
  <si>
    <t>540 Park Ave, Miamisburg, Ohio, 45342</t>
  </si>
  <si>
    <t>540 Park Ave</t>
  </si>
  <si>
    <t>Harvey Academy</t>
  </si>
  <si>
    <t>RAM Nation Virtual Academy</t>
  </si>
  <si>
    <t>Euclid Virtual Learning Academy</t>
  </si>
  <si>
    <t>22800 Fox Ave, Euclid, Ohio, 44123</t>
  </si>
  <si>
    <t>22800 Fox Ave</t>
  </si>
  <si>
    <t>Ranger Online Academy</t>
  </si>
  <si>
    <t>Campbell Virtual School</t>
  </si>
  <si>
    <t>Barberton Virtual Academy</t>
  </si>
  <si>
    <t>West Holmes Digital Academy</t>
  </si>
  <si>
    <t>1291 Massillon Rd Ste B, Millersburg, Ohio, 44654</t>
  </si>
  <si>
    <t>1291 Massillon Rd Ste B</t>
  </si>
  <si>
    <t>North Fork Online Academy</t>
  </si>
  <si>
    <t>Tiger Blue Sky Academy</t>
  </si>
  <si>
    <t>Rocket Digital Academy</t>
  </si>
  <si>
    <t>Crestline Bulldog Academy</t>
  </si>
  <si>
    <t>Northmont Online Academy</t>
  </si>
  <si>
    <t>BlueSky Virtual Academy</t>
  </si>
  <si>
    <t>330 Main &amp; High Street, Waterford, Ohio, 45786</t>
  </si>
  <si>
    <t>330 Main &amp; High Street</t>
  </si>
  <si>
    <t>Ada Bulldog Academy</t>
  </si>
  <si>
    <t>Troy Online Academy</t>
  </si>
  <si>
    <t>Buckeye Digital Academy</t>
  </si>
  <si>
    <t>Southern Ohio Digital Academy</t>
  </si>
  <si>
    <t>218 N College Ave, Rio Grande, Ohio, 45674</t>
  </si>
  <si>
    <t>218 N College Ave</t>
  </si>
  <si>
    <t>Woodridge Virtual Academy</t>
  </si>
  <si>
    <t>Youngstown Virtual Academy</t>
  </si>
  <si>
    <t>LIBERTY-BENTON EAGLE ACADEMY</t>
  </si>
  <si>
    <t>Southern Online  Academy</t>
  </si>
  <si>
    <t>Cincinnati Digital Academy</t>
  </si>
  <si>
    <t>Jacket Virtual Academy</t>
  </si>
  <si>
    <t>315 W Russell Rd, Sidney, Ohio, 45365</t>
  </si>
  <si>
    <t>315 W Russell Rd</t>
  </si>
  <si>
    <t>Tiger Virtual Academy</t>
  </si>
  <si>
    <t>14780 Superior Rd, Cleveland Heights, Ohio, 44118</t>
  </si>
  <si>
    <t>14780 Superior Rd</t>
  </si>
  <si>
    <t>Black River Local Virtual School</t>
  </si>
  <si>
    <t>Midview Virtual Programming</t>
  </si>
  <si>
    <t>Clearview Local Schools</t>
  </si>
  <si>
    <t>Jefferson Area Local Schools Online</t>
  </si>
  <si>
    <t>Pymatuning Valley Local Schools Online</t>
  </si>
  <si>
    <t>5571 Us Route 6, Andover, Ohio, 44003</t>
  </si>
  <si>
    <t>5571 Us Route 6</t>
  </si>
  <si>
    <t>Frontier Local Virtual School</t>
  </si>
  <si>
    <t>Springfield City Online</t>
  </si>
  <si>
    <t>Mapleton Virtual Academy</t>
  </si>
  <si>
    <t>Youngstown Chaney Preschool</t>
  </si>
  <si>
    <t>North College Hill Trojan Way Learning Center</t>
  </si>
  <si>
    <t>Tornado Academy</t>
  </si>
  <si>
    <t>EXCEL</t>
  </si>
  <si>
    <t>485 Northfield Rd, Bedford, Ohio, 44146</t>
  </si>
  <si>
    <t>485 Northfield Rd</t>
  </si>
  <si>
    <t>Galion Online Academy</t>
  </si>
  <si>
    <t>Riverside Preschool</t>
  </si>
  <si>
    <t>56 Hale Rd, Painesville, Ohio, 44077</t>
  </si>
  <si>
    <t>56 Hale Rd</t>
  </si>
  <si>
    <t>Belpre Blue Sky Academy</t>
  </si>
  <si>
    <t>APS Online</t>
  </si>
  <si>
    <t>Federal Hocking Local Schools</t>
  </si>
  <si>
    <t>Trimble Learning Academy</t>
  </si>
  <si>
    <t>One Tomcat Drive, Glouster, Ohio, 45732</t>
  </si>
  <si>
    <t>One Tomcat Drive</t>
  </si>
  <si>
    <t>3EA</t>
  </si>
  <si>
    <t>4407 Payne Ave, Dayton, Ohio, 45414</t>
  </si>
  <si>
    <t>4407 Payne Ave</t>
  </si>
  <si>
    <t>Bath Digital Academy</t>
  </si>
  <si>
    <t>Teays Valley Digital Academy</t>
  </si>
  <si>
    <t>383 Circleville Ave, Ashville, Ohio, 43103</t>
  </si>
  <si>
    <t>383 Circleville Ave</t>
  </si>
  <si>
    <t>IDEA Greater Cincinnati  Inc</t>
  </si>
  <si>
    <t>2700 Glenway Ave, Cincinnati, Ohio, 45204</t>
  </si>
  <si>
    <t>2700 Glenway Ave</t>
  </si>
  <si>
    <t>IPS Enterprises, Inc</t>
  </si>
  <si>
    <t>Franklin School of Opportunity Online</t>
  </si>
  <si>
    <t>13465 Franklin Blvd, Lakewood, Ohio, 44107</t>
  </si>
  <si>
    <t>13465 Franklin Blvd</t>
  </si>
  <si>
    <t>NewPath Elementary</t>
  </si>
  <si>
    <t>5400 Edalbert Dr, Cincinnati, Ohio, 45239</t>
  </si>
  <si>
    <t>5400 Edalbert Dr</t>
  </si>
  <si>
    <t>NewPath High School</t>
  </si>
  <si>
    <t>274 Sutton Rd, Cincinnati, Ohio, 45230</t>
  </si>
  <si>
    <t>274 Sutton Rd</t>
  </si>
  <si>
    <t>Guildersleeve</t>
  </si>
  <si>
    <t>1011 Gorge Blvd, Akron, Ohio, 44310</t>
  </si>
  <si>
    <t>1011 Gorge Blvd</t>
  </si>
  <si>
    <t>Mesivta of Cincinnati</t>
  </si>
  <si>
    <t>6446 Stover Ave, Cincinnati, Ohio, 45237</t>
  </si>
  <si>
    <t>6446 Stover Ave</t>
  </si>
  <si>
    <t>Julie Billiart School</t>
  </si>
  <si>
    <t>3600 Crocker Rd, Westlake, Ohio, 44145</t>
  </si>
  <si>
    <t>3600 Crocker Rd</t>
  </si>
  <si>
    <t>Minerva France Elementary School</t>
  </si>
  <si>
    <t>4990 Farview Rd, Columbus, Ohio, 43231</t>
  </si>
  <si>
    <t>4990 Farview Rd</t>
  </si>
  <si>
    <t>Tipp City Remote School</t>
  </si>
  <si>
    <t>New Story Schools Sandusky</t>
  </si>
  <si>
    <t>514 Jackson St, Sandusky, Ohio, 44870</t>
  </si>
  <si>
    <t>514 Jackson St</t>
  </si>
  <si>
    <t>New Story Schools Lancaster</t>
  </si>
  <si>
    <t>625 Garfield Ave, Lancaster, Ohio, 43130</t>
  </si>
  <si>
    <t>625 Garfield Ave</t>
  </si>
  <si>
    <t>New Story Schools Athens</t>
  </si>
  <si>
    <t>5196 Washington Rd, Albany, Ohio, 45710</t>
  </si>
  <si>
    <t>5196 Washington Rd</t>
  </si>
  <si>
    <t>Haugland Learning Center Columbus East</t>
  </si>
  <si>
    <t>1850 Bostwick Rd, Columbus, Ohio, 43227</t>
  </si>
  <si>
    <t>1850 Bostwick Rd</t>
  </si>
  <si>
    <t>New Story Schools Columbus</t>
  </si>
  <si>
    <t>7690 New Market Center Way, Columbus, Ohio, 43235</t>
  </si>
  <si>
    <t>7690 New Market Center Way</t>
  </si>
  <si>
    <t>Brecksville-Broadview Heights Elementary School</t>
  </si>
  <si>
    <t>3500 Oakes Rd, Brecksville, Ohio, 44141</t>
  </si>
  <si>
    <t>3500 Oakes Rd</t>
  </si>
  <si>
    <t>Akili Christian High School</t>
  </si>
  <si>
    <t>303 S Grant Ave, Columbus, Ohio, 43215</t>
  </si>
  <si>
    <t>303 S Grant Ave</t>
  </si>
  <si>
    <t>Universal Muslim Academy</t>
  </si>
  <si>
    <t>2232 Stratford Ave Ste 200, Cincinnati, Ohio, 45219</t>
  </si>
  <si>
    <t>2232 Stratford Ave Ste 200</t>
  </si>
  <si>
    <t>The Nest School</t>
  </si>
  <si>
    <t>19315 Hilliard Blvd, Rocky River, Ohio, 44116</t>
  </si>
  <si>
    <t>19315 Hilliard Blvd</t>
  </si>
  <si>
    <t>5423 Darrow Rd, Hudson, Ohio, 44236</t>
  </si>
  <si>
    <t>5423 Darrow Rd</t>
  </si>
  <si>
    <t>1504 Travelers Pt, Avon, Ohio, 44011</t>
  </si>
  <si>
    <t>1504 Travelers Pt</t>
  </si>
  <si>
    <t>7000 Rockside Rd, Independence, Ohio, 44131</t>
  </si>
  <si>
    <t>7000 Rockside Rd</t>
  </si>
  <si>
    <t>6010 Kruse Dr, Solon, Ohio, 44139</t>
  </si>
  <si>
    <t>6010 Kruse Dr</t>
  </si>
  <si>
    <t>14780 Pearl Rd, Strongsville, Ohio, 44136</t>
  </si>
  <si>
    <t>14780 Pearl Rd</t>
  </si>
  <si>
    <t>27390 Center Ridge Rd, Westlake, Ohio, 44145</t>
  </si>
  <si>
    <t>27390 Center Ridge Rd</t>
  </si>
  <si>
    <t>Toledo Pre-Medical and Health Science Academy</t>
  </si>
  <si>
    <t>3381 Upton Ave, Toledo, Ohio, 43613</t>
  </si>
  <si>
    <t>3381 Upton Ave</t>
  </si>
  <si>
    <t>The Mastery School of Hawken</t>
  </si>
  <si>
    <t>11025 Magnolia Dr, Cleveland, Ohio, 44106</t>
  </si>
  <si>
    <t>11025 Magnolia Dr</t>
  </si>
  <si>
    <t>Finneytown Elementary</t>
  </si>
  <si>
    <t>8850 Winton Rd, Cincinnati, Ohio, 45231</t>
  </si>
  <si>
    <t>8850 Winton Rd</t>
  </si>
  <si>
    <t>JOHNSTOWN INTERMEDIATE SCHOOL</t>
  </si>
  <si>
    <t>85 W Douglas St, Johnstown, Ohio, 43031</t>
  </si>
  <si>
    <t>85 W Douglas St</t>
  </si>
  <si>
    <t>MT. HEALTHY VIRTUAL ACADEMY</t>
  </si>
  <si>
    <t>7615 Harrison Ave, Mount Healthy, Ohio, 45231</t>
  </si>
  <si>
    <t>Mount Healthy</t>
  </si>
  <si>
    <t>The Norwood Montessori School</t>
  </si>
  <si>
    <t>Della School of Coding and Design</t>
  </si>
  <si>
    <t>2747 Winchester Pike, Columbus, Ohio, 43232</t>
  </si>
  <si>
    <t>2747 Winchester Pike</t>
  </si>
  <si>
    <t>Unity Academy</t>
  </si>
  <si>
    <t>2231 Schrock Rd, Columbus, Ohio, 43229</t>
  </si>
  <si>
    <t>2231 Schrock Rd</t>
  </si>
  <si>
    <t>Legacy Academy of Excellence</t>
  </si>
  <si>
    <t>2283 Sunbury Rd, Columbus, Ohio, 43219</t>
  </si>
  <si>
    <t>2283 Sunbury Rd</t>
  </si>
  <si>
    <t>Ascension Investment Group LLC</t>
  </si>
  <si>
    <t>Lakota Central</t>
  </si>
  <si>
    <t>5030 Tylersville Rd, West Chester, Ohio, 45069</t>
  </si>
  <si>
    <t>5030 Tylersville Rd</t>
  </si>
  <si>
    <t>Reynoldsburg High School</t>
  </si>
  <si>
    <t>6699 E Livingston Ave, Reynoldsburg, Ohio, 43068</t>
  </si>
  <si>
    <t>6699 E Livingston Ave</t>
  </si>
  <si>
    <t>Springfield Digital Academy (SDA)</t>
  </si>
  <si>
    <t>Sheffield Academy</t>
  </si>
  <si>
    <t>2180 Lake Breeze Rd, Sheffield Village, Ohio, 44054</t>
  </si>
  <si>
    <t>2180 Lake Breeze Rd</t>
  </si>
  <si>
    <t>Solon Academy</t>
  </si>
  <si>
    <t>32800 Solon Rd, Solon, Ohio, 44139</t>
  </si>
  <si>
    <t>32800 Solon Rd</t>
  </si>
  <si>
    <t>Westlake Academy</t>
  </si>
  <si>
    <t>26830 Detroit Rd, Westlake, Ohio, 44145</t>
  </si>
  <si>
    <t>26830 Detroit Rd</t>
  </si>
  <si>
    <t>Gateway Online Academy of Ohio</t>
  </si>
  <si>
    <t>4 Summit Park Dr, Independence, Ohio, 44131</t>
  </si>
  <si>
    <t>4 Summit Park Dr</t>
  </si>
  <si>
    <t>Olentangy Berlin Middle School</t>
  </si>
  <si>
    <t>2500 Piatt Rd, Delaware, Ohio, 43015</t>
  </si>
  <si>
    <t>2500 Piatt Rd</t>
  </si>
  <si>
    <t>DCS Virtual</t>
  </si>
  <si>
    <t>4892 Blazer Pkwy, Dublin, Ohio, 43017</t>
  </si>
  <si>
    <t>4892 Blazer Pkwy</t>
  </si>
  <si>
    <t>Superior School for the Performing Arts</t>
  </si>
  <si>
    <t>1865 Garfield Rd, East Cleveland, Ohio, 44112</t>
  </si>
  <si>
    <t>1865 Garfield Rd</t>
  </si>
  <si>
    <t>The Legacy School</t>
  </si>
  <si>
    <t>10118 Hampden Ave, Cleveland, Ohio, 44108</t>
  </si>
  <si>
    <t>10118 Hampden Ave</t>
  </si>
  <si>
    <t>SWL Digital Academy</t>
  </si>
  <si>
    <t>10653 Hazelton Etna Rd NW, Pataskala, Ohio, 43062</t>
  </si>
  <si>
    <t>10653 Hazelton Etna Rd NW</t>
  </si>
  <si>
    <t>Westshore Montessori Association</t>
  </si>
  <si>
    <t>26536 Detroit Rd, Westlake, Ohio, 44145</t>
  </si>
  <si>
    <t>26536 Detroit Rd</t>
  </si>
  <si>
    <t>Lorain Preparatory High School</t>
  </si>
  <si>
    <t>2702 Elyria Ave, Lorain, Ohio, 44055</t>
  </si>
  <si>
    <t>2702 Elyria Ave</t>
  </si>
  <si>
    <t>Strongsville Academy</t>
  </si>
  <si>
    <t>16000 Foltz Pkwy, Strongsville, Ohio, 44149</t>
  </si>
  <si>
    <t>16000 Foltz Pkwy</t>
  </si>
  <si>
    <t>Brown County Christian Academy</t>
  </si>
  <si>
    <t>116 College Ave, Sardinia, Ohio, 45171</t>
  </si>
  <si>
    <t>116 College Ave</t>
  </si>
  <si>
    <t>Hinckley Preparatory Academy</t>
  </si>
  <si>
    <t>1586 Center Rd, Hinckley, Ohio, 44233</t>
  </si>
  <si>
    <t>1586 Center Rd</t>
  </si>
  <si>
    <t>The International School</t>
  </si>
  <si>
    <t>4411 Oakridge Dr, Dayton, Ohio, 45417</t>
  </si>
  <si>
    <t>4411 Oakridge Dr</t>
  </si>
  <si>
    <t>Columbus Online Academy</t>
  </si>
  <si>
    <t>Victory Academy of Toledo</t>
  </si>
  <si>
    <t>3648 Victory Ave, Toledo, Ohio, 43607</t>
  </si>
  <si>
    <t>3648 Victory Ave</t>
  </si>
  <si>
    <t>McComb Local School Panther Academy</t>
  </si>
  <si>
    <t>328 S Todd St, Mc Comb, Ohio, 45858</t>
  </si>
  <si>
    <t>Mc Comb</t>
  </si>
  <si>
    <t>Lorain County Community Action Agency Central Plaza</t>
  </si>
  <si>
    <t>1949 Broadway, Lorain, Ohio, 44052</t>
  </si>
  <si>
    <t>1949 Broadway</t>
  </si>
  <si>
    <t>The Dayton School</t>
  </si>
  <si>
    <t>3237 West Siebethnaler Ave, Dayton, Ohio, 45406</t>
  </si>
  <si>
    <t>3237 West Siebethnaler Ave</t>
  </si>
  <si>
    <t>EEG Dayton School, LLC</t>
  </si>
  <si>
    <t>Parma Virtual Learning Academy</t>
  </si>
  <si>
    <t>6285 W 54th St, Parma, Ohio, 44129</t>
  </si>
  <si>
    <t>6285 W 54th St</t>
  </si>
  <si>
    <t>Springfield Preschool Center</t>
  </si>
  <si>
    <t>Norwayne Online School</t>
  </si>
  <si>
    <t>The Greater Dayton School</t>
  </si>
  <si>
    <t>138 S Wilkinson St, Dayton, Ohio, 45402</t>
  </si>
  <si>
    <t>138 S Wilkinson St</t>
  </si>
  <si>
    <t>New Story Schools Independence</t>
  </si>
  <si>
    <t>600 Resource Dr, Brooklyn Heights, Ohio, 44131</t>
  </si>
  <si>
    <t>600 Resource Dr</t>
  </si>
  <si>
    <t>Brooklyn Heights</t>
  </si>
  <si>
    <t>Cardinal Autism Resource and Education School (CARES)</t>
  </si>
  <si>
    <t>5028 Forest Rd, Mentor, Ohio, 44060</t>
  </si>
  <si>
    <t>5028 Forest Rd</t>
  </si>
  <si>
    <t>EA  Academy - Cuyahoga Falls</t>
  </si>
  <si>
    <t>1225 Orlen Ave, Cuyahoga Falls, Ohio, 44221</t>
  </si>
  <si>
    <t>1225 Orlen Ave</t>
  </si>
  <si>
    <t>Christian Community School</t>
  </si>
  <si>
    <t>35716 Royalton Rd, Grafton, Ohio, 44044</t>
  </si>
  <si>
    <t>35716 Royalton Rd</t>
  </si>
  <si>
    <t>Yeshivas Toras Chaim</t>
  </si>
  <si>
    <t>1975 Lyndway Rd, South Euclid, Ohio, 44121</t>
  </si>
  <si>
    <t>1975 Lyndway Rd</t>
  </si>
  <si>
    <t>Shepherd of All God's Children Learning Center/Preschool</t>
  </si>
  <si>
    <t>610 N Lakeview Ave, Youngstown, Ohio, 44509</t>
  </si>
  <si>
    <t>610 N Lakeview Ave</t>
  </si>
  <si>
    <t>EA Academy - Ravenna</t>
  </si>
  <si>
    <t>310 Bennett Ave, Ravenna, Ohio, 44266</t>
  </si>
  <si>
    <t>310 Bennett Ave</t>
  </si>
  <si>
    <t>EA Academy - Elyria</t>
  </si>
  <si>
    <t>333 Naples Dr, Elyria, Ohio, 44035</t>
  </si>
  <si>
    <t>333 Naples Dr</t>
  </si>
  <si>
    <t>EA Academy - Springfield</t>
  </si>
  <si>
    <t>3258 Nidover Dr, Akron, Ohio, 44312</t>
  </si>
  <si>
    <t>3258 Nidover Dr</t>
  </si>
  <si>
    <t>Westside Christian School</t>
  </si>
  <si>
    <t>2435 Eakin Rd, Columbus, Ohio, 43204</t>
  </si>
  <si>
    <t>2435 Eakin Rd</t>
  </si>
  <si>
    <t>Minerva Park Middle School</t>
  </si>
  <si>
    <t>5002 Farview Rd, Columbus, Ohio, 43231</t>
  </si>
  <si>
    <t>5002 Farview Rd</t>
  </si>
  <si>
    <t>VanGorden Preschool</t>
  </si>
  <si>
    <t>6475 Lesourdsville West Chester Rd, Liberty Twp, Ohio, 45011</t>
  </si>
  <si>
    <t>6475 Lesourdsville West Chester Rd</t>
  </si>
  <si>
    <t>8001 Dayton Springfield Rd, Fairborn, Ohio, 45324</t>
  </si>
  <si>
    <t>8001 Dayton Springfield Rd</t>
  </si>
  <si>
    <t>Fred L. Shuttlesworth Christian Academy</t>
  </si>
  <si>
    <t>710 N Fred Shuttlesworth Cir, Cincinnati, Ohio, 45229</t>
  </si>
  <si>
    <t>710 N Fred Shuttlesworth Cir</t>
  </si>
  <si>
    <t>EA Academy - Willoughby Hills</t>
  </si>
  <si>
    <t>2882 Cricket Ln, Willoughby Hills, Ohio, 44092</t>
  </si>
  <si>
    <t>2882 Cricket Ln</t>
  </si>
  <si>
    <t>Willoughby Hills</t>
  </si>
  <si>
    <t>EA Academy - Painesville</t>
  </si>
  <si>
    <t>273 E Jackson St, Painesville, Ohio, 44077</t>
  </si>
  <si>
    <t>273 E Jackson St</t>
  </si>
  <si>
    <t>AkroTech High School</t>
  </si>
  <si>
    <t>274 Park St., Akron, Ohio, 44304</t>
  </si>
  <si>
    <t>274 Park St.</t>
  </si>
  <si>
    <t>Berkshire Early Childhood Center</t>
  </si>
  <si>
    <t>14111 Claridon Troy Road, Burton, Ohio, 44021</t>
  </si>
  <si>
    <t>14111 Claridon Troy Road</t>
  </si>
  <si>
    <t>Mosaic Classical Academy</t>
  </si>
  <si>
    <t>874 Orchard St, Toledo, Ohio, 43609</t>
  </si>
  <si>
    <t>874 Orchard St</t>
  </si>
  <si>
    <t>ReGeneration Middle School</t>
  </si>
  <si>
    <t>ChallengeU Ohio Community School</t>
  </si>
  <si>
    <t>4030 Smith Rd Ste 200, Cincinnati, Ohio, 45209</t>
  </si>
  <si>
    <t>4030 Smith Rd Ste 200</t>
  </si>
  <si>
    <t>ChallengeU Ohio Schools Management LLC</t>
  </si>
  <si>
    <t>Global Connection Academy</t>
  </si>
  <si>
    <t>16200 Burrows Rd, Thompson, Ohio, 44086</t>
  </si>
  <si>
    <t>16200 Burrows Rd</t>
  </si>
  <si>
    <t>Thompson</t>
  </si>
  <si>
    <t>44086</t>
  </si>
  <si>
    <t>Pathfinder Career Academy of Ohio</t>
  </si>
  <si>
    <t>Buckeye Community School - Fremont</t>
  </si>
  <si>
    <t>401 S. Front Street, Fremont, Ohio, 43420</t>
  </si>
  <si>
    <t>401 S. Front Street</t>
  </si>
  <si>
    <t>Franklin Learning Academy</t>
  </si>
  <si>
    <t>61 E Mound St, Columbus, Ohio, 43215</t>
  </si>
  <si>
    <t>61 E Mound St</t>
  </si>
  <si>
    <t>Fairfield Preparatory Academy</t>
  </si>
  <si>
    <t>2470 Princeton Rd, Fairfield Township, Ohio, 45011</t>
  </si>
  <si>
    <t>2470 Princeton Rd</t>
  </si>
  <si>
    <t>Springfield Sports Academy</t>
  </si>
  <si>
    <t>Warrensville Heights Early Learning Center</t>
  </si>
  <si>
    <t>4265 Northfield Road, Warrensville Heights, Ohio, 44128</t>
  </si>
  <si>
    <t>4265 Northfield Road</t>
  </si>
  <si>
    <t>Alliance Preschool</t>
  </si>
  <si>
    <t>1490 Parkway Blvd, Alliance, Ohio, 44601</t>
  </si>
  <si>
    <t>1490 Parkway Blvd</t>
  </si>
  <si>
    <t>Providence Academy</t>
  </si>
  <si>
    <t>12193 W Pleasant Valley Rd, Parma, Ohio, 44130</t>
  </si>
  <si>
    <t>12193 W Pleasant Valley Rd</t>
  </si>
  <si>
    <t>Lexington Pre-School</t>
  </si>
  <si>
    <t>890 W 4th St, Ontario, Ohio, 44906</t>
  </si>
  <si>
    <t>890 W 4th St</t>
  </si>
  <si>
    <t>Southern Ohio Career Academy</t>
  </si>
  <si>
    <t>30 E Main St, Chillicothe, Ohio, 45601</t>
  </si>
  <si>
    <t>30 E Main St</t>
  </si>
  <si>
    <t>Aerospace &amp; Natural Science Academy of Toledo</t>
  </si>
  <si>
    <t>5561 Elmer Dr, Toledo, Ohio, 43615</t>
  </si>
  <si>
    <t>5561 Elmer Dr</t>
  </si>
  <si>
    <t>Waggoner Road Elementary</t>
  </si>
  <si>
    <t>Grizzly Academy</t>
  </si>
  <si>
    <t>Bramble School</t>
  </si>
  <si>
    <t>4324 Homer Ave, Cincinnati, Ohio, 45227</t>
  </si>
  <si>
    <t>4324 Homer Ave</t>
  </si>
  <si>
    <t>Butler Tech Public Safety Education Complex</t>
  </si>
  <si>
    <t>Vocational School</t>
  </si>
  <si>
    <t>5140 Princeton-Glendale Road, Liberty Township, Ohio, 45011</t>
  </si>
  <si>
    <t>5140 Princeton-Glendale Road</t>
  </si>
  <si>
    <t>Vanguard Tech Center</t>
  </si>
  <si>
    <t>Wayne County Schools Career Center</t>
  </si>
  <si>
    <t>Instructional Resource Center</t>
  </si>
  <si>
    <t>100 Scarlet Oaks Dr, Cincinnati, Ohio, 45241</t>
  </si>
  <si>
    <t>100 Scarlet Oaks Dr</t>
  </si>
  <si>
    <t>Swiss Hills Career Center</t>
  </si>
  <si>
    <t>46601 State Route 78, Woodsfield, Ohio, 43793</t>
  </si>
  <si>
    <t>46601 State Route 78</t>
  </si>
  <si>
    <t>Northern Career Institute</t>
  </si>
  <si>
    <t>34343 Euclid Ave, Willoughby, Ohio, 44094</t>
  </si>
  <si>
    <t>34343 Euclid Ave</t>
  </si>
  <si>
    <t>Columbus Downtown High School</t>
  </si>
  <si>
    <t>365 S 4th St, Columbus, Ohio, 43215</t>
  </si>
  <si>
    <t>365 S 4th St</t>
  </si>
  <si>
    <t>Ashtabula County Technical and Career Campus</t>
  </si>
  <si>
    <t>Diamond Oaks Cdc</t>
  </si>
  <si>
    <t>6375 Harrison Ave, Cincinnati, Ohio, 45247</t>
  </si>
  <si>
    <t>6375 Harrison Ave</t>
  </si>
  <si>
    <t>Greene County Career Center</t>
  </si>
  <si>
    <t>Technology Center</t>
  </si>
  <si>
    <t>1220 Cedar St, Fremont, Ohio, 43420</t>
  </si>
  <si>
    <t>1220 Cedar St</t>
  </si>
  <si>
    <t>Portage Lakes Career Center</t>
  </si>
  <si>
    <t>Fairfield Career Center</t>
  </si>
  <si>
    <t>3985 Coonpath Rd, Carroll, Ohio, 43112</t>
  </si>
  <si>
    <t>3985 Coonpath Rd</t>
  </si>
  <si>
    <t>Delaware Area Career Center South Campus</t>
  </si>
  <si>
    <t>Buckeye Career Center</t>
  </si>
  <si>
    <t>Community Educational Services</t>
  </si>
  <si>
    <t>Night/Adult School</t>
  </si>
  <si>
    <t>116 Mckinley Ave NW, Canton, Ohio, 44702</t>
  </si>
  <si>
    <t>116 Mckinley Ave NW</t>
  </si>
  <si>
    <t>Live Oaks Cdc</t>
  </si>
  <si>
    <t>5956 Buckwheat Rd, Milford, Ohio, 45150</t>
  </si>
  <si>
    <t>5956 Buckwheat Rd</t>
  </si>
  <si>
    <t>Mahoning Career &amp; Technical</t>
  </si>
  <si>
    <t>Buffalo Campus</t>
  </si>
  <si>
    <t>57090 Vocational Rd, Senecaville, Ohio, 43780</t>
  </si>
  <si>
    <t>57090 Vocational Rd</t>
  </si>
  <si>
    <t>Adult Basic &amp; Literacy Ed-Able</t>
  </si>
  <si>
    <t>7877 US Highway 42 S, Plain City, Ohio, 43064</t>
  </si>
  <si>
    <t>7877 US Highway 42 S</t>
  </si>
  <si>
    <t>Harrison Career Center</t>
  </si>
  <si>
    <t>82500 Cadiz Jewett Rd, Cadiz, Ohio, 43907</t>
  </si>
  <si>
    <t>82500 Cadiz Jewett Rd</t>
  </si>
  <si>
    <t>Evening</t>
  </si>
  <si>
    <t>435 N Firestone Blvd, Akron, Ohio, 44301</t>
  </si>
  <si>
    <t>435 N Firestone Blvd</t>
  </si>
  <si>
    <t>Ohio Valley Career &amp; Technical Center</t>
  </si>
  <si>
    <t>175 Lloyd Rd, West Union, Ohio, 45693</t>
  </si>
  <si>
    <t>175 Lloyd Rd</t>
  </si>
  <si>
    <t>R G Drage Career Technical Ctr</t>
  </si>
  <si>
    <t>Apollo Career Center</t>
  </si>
  <si>
    <t>Polaris Career Center</t>
  </si>
  <si>
    <t>Southern Hills Career Technical Center</t>
  </si>
  <si>
    <t>Ohio Hi-Point</t>
  </si>
  <si>
    <t>Maplewood Career Center Building</t>
  </si>
  <si>
    <t>Trumbull Career &amp; Tech  Center</t>
  </si>
  <si>
    <t>Butler Tech Bioscience Center</t>
  </si>
  <si>
    <t>8450 Capstone Boulevard, West Chester, Ohio, 45069</t>
  </si>
  <si>
    <t>8450 Capstone Boulevard</t>
  </si>
  <si>
    <t>Adult &amp; Community Education</t>
  </si>
  <si>
    <t>2323 Lexington Ave, Columbus, Ohio, 43211</t>
  </si>
  <si>
    <t>2323 Lexington Ave</t>
  </si>
  <si>
    <t>Penta Satellite</t>
  </si>
  <si>
    <t>Scarlet Oaks Cdc</t>
  </si>
  <si>
    <t>300 Scarlet Oaks Dr, Cincinnati, Ohio, 45241</t>
  </si>
  <si>
    <t>300 Scarlet Oaks Dr</t>
  </si>
  <si>
    <t>Adult Workforce Development Ct</t>
  </si>
  <si>
    <t>4300 Amalgamated Pl Ste 100, Groveport, Ohio, 43125</t>
  </si>
  <si>
    <t>4300 Amalgamated Pl Ste 100</t>
  </si>
  <si>
    <t>WCCC @ Atrium</t>
  </si>
  <si>
    <t>5757 Innovation Dr, Middletown, Ohio, 45005</t>
  </si>
  <si>
    <t>5757 Innovation Dr</t>
  </si>
  <si>
    <t>Laurel Oaks Cdc</t>
  </si>
  <si>
    <t>300 Oak Dr, Wilmington, Ohio, 45177</t>
  </si>
  <si>
    <t>300 Oak Dr</t>
  </si>
  <si>
    <t>Pickaway-Ross Career &amp; Technology Center</t>
  </si>
  <si>
    <t>Millstream Career Center</t>
  </si>
  <si>
    <t>Washington County CC Barrett Bld</t>
  </si>
  <si>
    <t>Butler Tech  LeSourdsville Location</t>
  </si>
  <si>
    <t>101 Jerry Couch Blvd, Monroe, Ohio, 45050</t>
  </si>
  <si>
    <t>101 Jerry Couch Blvd</t>
  </si>
  <si>
    <t>Belmont Career Center</t>
  </si>
  <si>
    <t>Butler Tech School of the Arts</t>
  </si>
  <si>
    <t>3603 Hamilton Middletown Rd, Fairfield Township, Ohio, 45011</t>
  </si>
  <si>
    <t>Buckeye Hills Career Center</t>
  </si>
  <si>
    <t>Adult Center For Education</t>
  </si>
  <si>
    <t>Penta Career Center - on campus</t>
  </si>
  <si>
    <t>Warren County Career Center</t>
  </si>
  <si>
    <t>D Russel Lee Career-Technology Center</t>
  </si>
  <si>
    <t>Eastland Career Center</t>
  </si>
  <si>
    <t>4465 S Hamilton Rd, Groveport, Ohio, 43125</t>
  </si>
  <si>
    <t>4465 S Hamilton Rd</t>
  </si>
  <si>
    <t>Auburn Vocational</t>
  </si>
  <si>
    <t>Tri-County Career Center Building</t>
  </si>
  <si>
    <t>Ashland-W Holmes Career Center</t>
  </si>
  <si>
    <t>Zanesville Campus</t>
  </si>
  <si>
    <t>Knox County Career Center</t>
  </si>
  <si>
    <t>Sentinel Career &amp; Technology Center</t>
  </si>
  <si>
    <t>793 E Township Road 201, Tiffin, Ohio, 44883</t>
  </si>
  <si>
    <t>793 E Township Road 201</t>
  </si>
  <si>
    <t>Vern Riffe Career Technology C</t>
  </si>
  <si>
    <t>Fort Hayes Career Center</t>
  </si>
  <si>
    <t>Buckeye Career Center Annex-Hiland Satellite</t>
  </si>
  <si>
    <t>5200 State Route 39, Millersburg, Ohio, 44654</t>
  </si>
  <si>
    <t>5200 State Route 39</t>
  </si>
  <si>
    <t>Medina County Career Center</t>
  </si>
  <si>
    <t>Scioto County Career Technical Center</t>
  </si>
  <si>
    <t>Miami Valley Ctc</t>
  </si>
  <si>
    <t>Coshocton County Career Center</t>
  </si>
  <si>
    <t>Tri Star Career Compact</t>
  </si>
  <si>
    <t>7655 State Route 703, Celina, Ohio, 45822</t>
  </si>
  <si>
    <t>7655 State Route 703</t>
  </si>
  <si>
    <t>Butler Tech Natural Science Center</t>
  </si>
  <si>
    <t>640 Hamilton Lebanon Rd, Monroe, Ohio, 45050</t>
  </si>
  <si>
    <t>640 Hamilton Lebanon Rd</t>
  </si>
  <si>
    <t>Choffin Career Cntr</t>
  </si>
  <si>
    <t>Tri-Rivers Career Center</t>
  </si>
  <si>
    <t>South-Western Career Academy</t>
  </si>
  <si>
    <t>4750 Big Run South Rd, Grove City, Ohio, 43123</t>
  </si>
  <si>
    <t>4750 Big Run South Rd</t>
  </si>
  <si>
    <t>Miami Valley Ctc Alternative</t>
  </si>
  <si>
    <t>William R Burton</t>
  </si>
  <si>
    <t>Ehove Career Center</t>
  </si>
  <si>
    <t>Educational Service Center</t>
  </si>
  <si>
    <t>Service Center</t>
  </si>
  <si>
    <t>360 E Enon Rd, Yellow Springs, Ohio, 45387</t>
  </si>
  <si>
    <t>360 E Enon Rd</t>
  </si>
  <si>
    <t>Pickaway County ESC Area Media Center</t>
  </si>
  <si>
    <t>Area Media Center</t>
  </si>
  <si>
    <t xml:space="preserve">, , , </t>
  </si>
  <si>
    <t xml:space="preserve"> </t>
  </si>
  <si>
    <t>2000 West Stanfield Road, Troy, Ohio, 45373</t>
  </si>
  <si>
    <t>2000 West Stanfield Road</t>
  </si>
  <si>
    <t>60 Ridge Ave, Rio Grande, Ohio, 45674</t>
  </si>
  <si>
    <t>60 Ridge Ave</t>
  </si>
  <si>
    <t>Salt Fork Regional School Improvement Team</t>
  </si>
  <si>
    <t>Region Sch Imprv Team (RSIT)</t>
  </si>
  <si>
    <t>205 N 7th St, Zanesville, Ohio, 43701</t>
  </si>
  <si>
    <t>205 N 7th St</t>
  </si>
  <si>
    <t>Northwest Ohio Media Center</t>
  </si>
  <si>
    <t>245 Troup Ave, Bowling Green, Ohio, 43403</t>
  </si>
  <si>
    <t>245 Troup Ave</t>
  </si>
  <si>
    <t>Miami Valley Serrc</t>
  </si>
  <si>
    <t>Spec Ed Regional Resource Center (SERRC)</t>
  </si>
  <si>
    <t>4801 Springfield St, Riverside, Ohio, 45431</t>
  </si>
  <si>
    <t>4801 Springfield St</t>
  </si>
  <si>
    <t>Riverside</t>
  </si>
  <si>
    <t>4918 Milan Rd, Sandusky, Ohio, 44870</t>
  </si>
  <si>
    <t>4918 Milan Rd</t>
  </si>
  <si>
    <t>2400 Clermont Center Dr, Batavia, Ohio, 45103</t>
  </si>
  <si>
    <t>2400 Clermont Center Dr</t>
  </si>
  <si>
    <t>Central Ohio Serrc</t>
  </si>
  <si>
    <t>470 Glenmont Ave, Columbus, Ohio, 43214</t>
  </si>
  <si>
    <t>470 Glenmont Ave</t>
  </si>
  <si>
    <t>Cuyahoga Serrc</t>
  </si>
  <si>
    <t>5983 W 54th St, Parma, Ohio, 44129</t>
  </si>
  <si>
    <t>5983 W 54th St</t>
  </si>
  <si>
    <t>522 Glenwood Ave, New Boston, Ohio, 45662</t>
  </si>
  <si>
    <t>522 Glenwood Ave</t>
  </si>
  <si>
    <t>2080 Citygate Drive, Columbus, Ohio, 43219</t>
  </si>
  <si>
    <t>2080 Citygate Drive</t>
  </si>
  <si>
    <t>North Central Ohio Serrc</t>
  </si>
  <si>
    <t>1495 W Longview Ave Ste 200, Mansfield, Ohio, 44906</t>
  </si>
  <si>
    <t>1495 W Longview Ave Ste 200</t>
  </si>
  <si>
    <t>304 N 2nd St, Ironton, Ohio, 45638</t>
  </si>
  <si>
    <t>304 N 2nd St</t>
  </si>
  <si>
    <t>Northern Ohio Special Education Regional Resource Center</t>
  </si>
  <si>
    <t>1230 Beechview Dr Ste 100, Vermilion, Ohio, 44089</t>
  </si>
  <si>
    <t>1230 Beechview Dr Ste 100</t>
  </si>
  <si>
    <t>Southwest Regional School Improvement Team</t>
  </si>
  <si>
    <t>11083 Hamilton Ave, Cincinnati, Ohio, 45231</t>
  </si>
  <si>
    <t>11083 Hamilton Ave</t>
  </si>
  <si>
    <t>Mid-Ohio Educational Resource Center</t>
  </si>
  <si>
    <t>1495 W Longview Ave Ste 202, Mansfield, Ohio, 44906</t>
  </si>
  <si>
    <t>1495 W Longview Ave Ste 202</t>
  </si>
  <si>
    <t>Clermont County ESC Area Media Center</t>
  </si>
  <si>
    <t>4170 Allium Ct, Springfield, Ohio, 45505</t>
  </si>
  <si>
    <t>4170 Allium Ct</t>
  </si>
  <si>
    <t>2275 Collingwood Blvd, Toledo, Ohio, 43620</t>
  </si>
  <si>
    <t>2275 Collingwood Blvd</t>
  </si>
  <si>
    <t>834 E High Ave, New Philadelphia, Ohio, 44663</t>
  </si>
  <si>
    <t>834 E High Ave</t>
  </si>
  <si>
    <t>741 Winkler Dr, Wooster, Ohio, 44691</t>
  </si>
  <si>
    <t>741 Winkler Dr</t>
  </si>
  <si>
    <t>128 East 8th Street, Cambridge, Ohio, 43725</t>
  </si>
  <si>
    <t>128 East 8th Street</t>
  </si>
  <si>
    <t>Northwest Ohio Regional School Improvement Team</t>
  </si>
  <si>
    <t>415 Emerald Ave Fl 2ND, Toledo, Ohio, 43602</t>
  </si>
  <si>
    <t>415 Emerald Ave Fl 2ND</t>
  </si>
  <si>
    <t>Northeast Regional School Improvement Team</t>
  </si>
  <si>
    <t>2121 Euclid Ave MC218B, Cleveland, Ohio, 44115</t>
  </si>
  <si>
    <t>2121 Euclid Ave MC218B</t>
  </si>
  <si>
    <t>East Central Serrc</t>
  </si>
  <si>
    <t>141 McDonald Dr SW, New Philadelphia, Ohio, 44663</t>
  </si>
  <si>
    <t>141 McDonald Dr SW</t>
  </si>
  <si>
    <t>955 Liberty Dr, Lancaster, Ohio, 43130</t>
  </si>
  <si>
    <t>955 Liberty Dr</t>
  </si>
  <si>
    <t>124 Putnam Pkwy, Ottawa, Ohio, 45875</t>
  </si>
  <si>
    <t>124 Putnam Pkwy</t>
  </si>
  <si>
    <t>Hopewell Serrc</t>
  </si>
  <si>
    <t>5350 W New Market Rd, Hillsboro, Ohio, 45133</t>
  </si>
  <si>
    <t>5350 W New Market Rd</t>
  </si>
  <si>
    <t>475 Western Ave Ste E, Chillicothe, Ohio, 45601</t>
  </si>
  <si>
    <t>475 Western Ave Ste E</t>
  </si>
  <si>
    <t>East Regional School Improvement Team</t>
  </si>
  <si>
    <t>2100 38th St NW, Canton, Ohio, 44709</t>
  </si>
  <si>
    <t>2100 38th St NW</t>
  </si>
  <si>
    <t>38720 Saltwell Rd, Lisbon, Ohio, 44432</t>
  </si>
  <si>
    <t>38720 Saltwell Rd</t>
  </si>
  <si>
    <t>835 N Williams St, Paulding, Ohio, 45879</t>
  </si>
  <si>
    <t>835 N Williams St</t>
  </si>
  <si>
    <t>West Central Regional School Improvement Team</t>
  </si>
  <si>
    <t>7746 County Road 140 Ste 300, Findlay, Ohio, 45840</t>
  </si>
  <si>
    <t>7746 County Road 140 Ste 300</t>
  </si>
  <si>
    <t xml:space="preserve">Medina County Cooperative Media Center </t>
  </si>
  <si>
    <t>Vanlue Transportation Services</t>
  </si>
  <si>
    <t>Transportation Consortium</t>
  </si>
  <si>
    <t>North East Ohio Instructional Media Center</t>
  </si>
  <si>
    <t>1776 Salt Springs Rd Rm C400, Warren, Ohio, 44481</t>
  </si>
  <si>
    <t>1776 Salt Springs Rd Rm C400</t>
  </si>
  <si>
    <t>East Central Ohio Educational Resource Center-North</t>
  </si>
  <si>
    <t>8221 Auburn Rd, Concord Twp, Ohio, 44077</t>
  </si>
  <si>
    <t>8221 Auburn Rd</t>
  </si>
  <si>
    <t>Pilasco-Ross Serrc</t>
  </si>
  <si>
    <t>411 Court St, Portsmouth, Ohio, 45662</t>
  </si>
  <si>
    <t>411 Court St</t>
  </si>
  <si>
    <t>400 N Erie Hwy, Hamilton, Ohio, 45011</t>
  </si>
  <si>
    <t>400 N Erie Hwy</t>
  </si>
  <si>
    <t>7746 County Road 140, Findlay, Ohio, 45840</t>
  </si>
  <si>
    <t>7746 County Road 140</t>
  </si>
  <si>
    <t>Butler County Area Media Center</t>
  </si>
  <si>
    <t>2630 W 13th St, Ashtabula, Ohio, 44004</t>
  </si>
  <si>
    <t>2630 W 13th St</t>
  </si>
  <si>
    <t>5279 Education Dr, Greenville, Ohio, 45331</t>
  </si>
  <si>
    <t>5279 Education Dr</t>
  </si>
  <si>
    <t>420 Washington Ave Ste 200, Cuyahoga Falls, Ohio, 44221</t>
  </si>
  <si>
    <t>420 Washington Ave Ste 200</t>
  </si>
  <si>
    <t>West Central Ohio Serrc</t>
  </si>
  <si>
    <t>1045 Dearbaugh Ave Ste 1, Wapakoneta, Ohio, 45895</t>
  </si>
  <si>
    <t>1045 Dearbaugh Ave Ste 1</t>
  </si>
  <si>
    <t>1885 Lake Ave, Elyria, Ohio, 44035</t>
  </si>
  <si>
    <t>1885 Lake Ave</t>
  </si>
  <si>
    <t>6057 Strip Ave NW, North Canton, Ohio, 44720</t>
  </si>
  <si>
    <t>6057 Strip Ave NW</t>
  </si>
  <si>
    <t>6000 Youngstown Warren Rd, Niles, Ohio, 44446</t>
  </si>
  <si>
    <t>6000 Youngstown Warren Rd</t>
  </si>
  <si>
    <t>Mid-Eastern Ohio Serrc</t>
  </si>
  <si>
    <t>420 Washington Ave Ste 100, Cuyahoga Falls, Ohio, 44221</t>
  </si>
  <si>
    <t>420 Washington Ave Ste 100</t>
  </si>
  <si>
    <t>North Central Regional School Improvement Team</t>
  </si>
  <si>
    <t>1649 Marion Rd, Bucyrus, Ohio, 44820</t>
  </si>
  <si>
    <t>1649 Marion Rd</t>
  </si>
  <si>
    <t>Hocking-Athens-Perry-Meigs Educational Media Resource Center</t>
  </si>
  <si>
    <t>Hamilton County ESC Area Media Center</t>
  </si>
  <si>
    <t>1045 Dearbaugh Ave Ste 2, Wapakoneta, Ohio, 45895</t>
  </si>
  <si>
    <t>1045 Dearbaugh Ave Ste 2</t>
  </si>
  <si>
    <t>1973 State Route 47 W, Bellefontaine, Ohio, 43311</t>
  </si>
  <si>
    <t>1973 State Route 47 W</t>
  </si>
  <si>
    <t>North East Ohio Serrc</t>
  </si>
  <si>
    <t>5555 Youngstown Warren Rd, Niles, Ohio, 44446</t>
  </si>
  <si>
    <t>5555 Youngstown Warren Rd</t>
  </si>
  <si>
    <t>State Support Team Region 5</t>
  </si>
  <si>
    <t>5555 Youngstown Warren Rd Unit 696, Niles, Ohio, 44446</t>
  </si>
  <si>
    <t>5555 Youngstown Warren Rd Unit 696</t>
  </si>
  <si>
    <t>Summit County Schools Educational Service Center</t>
  </si>
  <si>
    <t>3321 Airborne Road, Wilmington, Ohio, 45177</t>
  </si>
  <si>
    <t>3321 Airborne Road</t>
  </si>
  <si>
    <t>6393 Oak Tree Blvd Ste 300, Independence, Ohio, 44131</t>
  </si>
  <si>
    <t>6393 Oak Tree Blvd Ste 300</t>
  </si>
  <si>
    <t>2023 Sunset Blvd, Steubenville, Ohio, 43952</t>
  </si>
  <si>
    <t>2023 Sunset Blvd</t>
  </si>
  <si>
    <t>1920 Slabtown Rd, Lima, Ohio, 45801</t>
  </si>
  <si>
    <t>1920 Slabtown Rd</t>
  </si>
  <si>
    <t>308 Martinsburg Rd, Mount Vernon, Ohio, 43050</t>
  </si>
  <si>
    <t>308 Martinsburg Rd</t>
  </si>
  <si>
    <t>540 E Market St, Celina, Ohio, 45822</t>
  </si>
  <si>
    <t>540 E Market St</t>
  </si>
  <si>
    <t>890 W 4th St, Mansfield, Ohio, 44906</t>
  </si>
  <si>
    <t>205 Nolan Pkwy, Archbold, Ohio, 43502</t>
  </si>
  <si>
    <t>205 Nolan Pkwy</t>
  </si>
  <si>
    <t>2200 S Us Highway 68, Urbana, Ohio, 43078</t>
  </si>
  <si>
    <t>2200 S Us Highway 68</t>
  </si>
  <si>
    <t>275 Center St, Seville, Ohio, 44273</t>
  </si>
  <si>
    <t>275 Center St</t>
  </si>
  <si>
    <t>South Regional School Improvement Team</t>
  </si>
  <si>
    <t>411 Court St Rm 109, Portsmouth, Ohio, 45662</t>
  </si>
  <si>
    <t>411 Court St Rm 109</t>
  </si>
  <si>
    <t>Southeast Regional School Improvement Team</t>
  </si>
  <si>
    <t>449C E State St, Athens, Ohio, 45701</t>
  </si>
  <si>
    <t>449C E State St</t>
  </si>
  <si>
    <t>9231 Hamer Rd., Georgetown, Ohio, 45121</t>
  </si>
  <si>
    <t>9231 Hamer Rd.</t>
  </si>
  <si>
    <t>597 Hillcrest Dr, Eaton, Ohio, 45320</t>
  </si>
  <si>
    <t>597 Hillcrest Dr</t>
  </si>
  <si>
    <t>Lincoln Way Serrc</t>
  </si>
  <si>
    <t>21 Birge Drive, Chauncey, Ohio, 45719</t>
  </si>
  <si>
    <t>21 Birge Drive</t>
  </si>
  <si>
    <t>Ohio Center for Autism and Low Incidence</t>
  </si>
  <si>
    <t>2050 Stoneridge Dr, Circleville, Ohio, 43113</t>
  </si>
  <si>
    <t>2050 Stoneridge Dr</t>
  </si>
  <si>
    <t>East Shore Serrc</t>
  </si>
  <si>
    <t>7900 Chardon Rd, Kirtland, Ohio, 44094</t>
  </si>
  <si>
    <t>7900 Chardon Rd</t>
  </si>
  <si>
    <t>West Regional School Improvement Team</t>
  </si>
  <si>
    <t>4801 Springfield St, Dayton, Ohio, 45431</t>
  </si>
  <si>
    <t>North Coast Educational Media Center</t>
  </si>
  <si>
    <t>5811 Canal Rd, Valley View, Ohio, 44125</t>
  </si>
  <si>
    <t>5811 Canal Rd</t>
  </si>
  <si>
    <t>Valley View</t>
  </si>
  <si>
    <t>West Central Ohio Media Center</t>
  </si>
  <si>
    <t>Southwestern Ohio Serrc</t>
  </si>
  <si>
    <t>1301 Bonnell St Fl 3RD, Cincinnati, Ohio, 45215</t>
  </si>
  <si>
    <t>1301 Bonnell St Fl 3RD</t>
  </si>
  <si>
    <t>928 W Market St Ste A, Tiffin, Ohio, 44883</t>
  </si>
  <si>
    <t>928 W Market St Ste A</t>
  </si>
  <si>
    <t xml:space="preserve">Sandusky Area Supplementary Educational Center </t>
  </si>
  <si>
    <t>2130 Hayes Ave, Sandusky, Ohio, 44870</t>
  </si>
  <si>
    <t>2130 Hayes Ave</t>
  </si>
  <si>
    <t>Southeastern Ohio Serrc</t>
  </si>
  <si>
    <t>507 Richland Ave, Athens, Ohio, 45701</t>
  </si>
  <si>
    <t>507 Richland Ave</t>
  </si>
  <si>
    <t>Northwest Ohio Serrc</t>
  </si>
  <si>
    <t>10142 Dowling Rd, Bowling Green, Ohio, 43402</t>
  </si>
  <si>
    <t>10142 Dowling Rd</t>
  </si>
  <si>
    <t>Orchlish</t>
  </si>
  <si>
    <t>Central Ohio Regional School Improvement Team</t>
  </si>
  <si>
    <t>1929 Kenny Rd Ste 120, Columbus, Ohio, 43210</t>
  </si>
  <si>
    <t>1929 Kenny Rd Ste 120</t>
  </si>
  <si>
    <t>Southern Ohio Area Media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</si>
</sst>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sz val="11"/>
      <color rgb="FFECF0F1"/>
      <name val="Calibri"/>
      <family val="2"/>
      <scheme val="minor"/>
    </font>
    <font>
      <b/>
      <sz val="12"/>
      <color rgb="FFECF0F1"/>
      <name val="Segoe UI"/>
      <family val="2"/>
    </font>
    <font>
      <b/>
      <sz val="12"/>
      <color rgb="FF452DB2"/>
      <name val="Segoe UI"/>
      <family val="2"/>
    </font>
    <font>
      <sz val="11"/>
      <color rgb="FF000000"/>
      <name val="Calibri"/>
      <family val="2"/>
      <scheme val="minor"/>
    </font>
    <font>
      <b/>
      <sz val="11"/>
      <color theme="1" tint="4.9989318521683403E-2"/>
      <name val="Arial"/>
      <family val="2"/>
    </font>
    <font>
      <b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70729"/>
        <bgColor indexed="64"/>
      </patternFill>
    </fill>
    <fill>
      <patternFill patternType="solid">
        <fgColor rgb="FF9F9F9F"/>
        <bgColor indexed="64"/>
      </patternFill>
    </fill>
    <fill>
      <patternFill patternType="solid">
        <fgColor rgb="FF452DB2"/>
        <bgColor indexed="64"/>
      </patternFill>
    </fill>
    <fill>
      <patternFill patternType="solid">
        <fgColor rgb="FFD3571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0" fontId="5" fillId="2" borderId="0"/>
    <xf numFmtId="0" fontId="5" fillId="3" borderId="0"/>
    <xf numFmtId="0" fontId="6" fillId="3" borderId="0"/>
    <xf numFmtId="0" fontId="4" fillId="4" borderId="0"/>
    <xf numFmtId="0" fontId="4" fillId="5" borderId="0"/>
    <xf numFmtId="0" fontId="7" fillId="6" borderId="0"/>
  </cellStyleXfs>
  <cellXfs count="2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vertical="top" wrapText="1"/>
    </xf>
    <xf numFmtId="0" fontId="8" fillId="7" borderId="0" xfId="0" applyFont="1" applyFill="1" applyAlignment="1">
      <alignment vertical="top" wrapText="1"/>
    </xf>
    <xf numFmtId="0" fontId="9" fillId="0" borderId="0" xfId="0" applyFont="1" applyAlignment="1">
      <alignment vertical="top" wrapText="1"/>
    </xf>
    <xf numFmtId="0" fontId="8" fillId="7" borderId="1" xfId="0" applyFont="1" applyFill="1" applyBorder="1" applyAlignment="1">
      <alignment vertical="top" wrapText="1"/>
    </xf>
    <xf numFmtId="0" fontId="8" fillId="7" borderId="2" xfId="0" applyFont="1" applyFill="1" applyBorder="1" applyAlignment="1">
      <alignment vertical="top" wrapText="1"/>
    </xf>
    <xf numFmtId="0" fontId="1" fillId="8" borderId="3" xfId="0" applyFont="1" applyFill="1" applyBorder="1" applyAlignment="1">
      <alignment wrapText="1"/>
    </xf>
    <xf numFmtId="15" fontId="1" fillId="8" borderId="4" xfId="0" applyNumberFormat="1" applyFont="1" applyFill="1" applyBorder="1" applyAlignment="1">
      <alignment wrapText="1"/>
    </xf>
    <xf numFmtId="0" fontId="1" fillId="9" borderId="3" xfId="0" applyFont="1" applyFill="1" applyBorder="1" applyAlignment="1">
      <alignment wrapText="1"/>
    </xf>
    <xf numFmtId="15" fontId="1" fillId="9" borderId="4" xfId="0" applyNumberFormat="1" applyFont="1" applyFill="1" applyBorder="1" applyAlignment="1">
      <alignment wrapText="1"/>
    </xf>
    <xf numFmtId="0" fontId="1" fillId="10" borderId="0" xfId="0" applyFont="1" applyFill="1"/>
    <xf numFmtId="0" fontId="1" fillId="10" borderId="0" xfId="0" applyFont="1" applyFill="1" applyAlignment="1">
      <alignment wrapText="1"/>
    </xf>
    <xf numFmtId="15" fontId="1" fillId="10" borderId="0" xfId="0" applyNumberFormat="1" applyFont="1" applyFill="1" applyAlignment="1">
      <alignment wrapText="1"/>
    </xf>
    <xf numFmtId="0" fontId="2" fillId="10" borderId="0" xfId="0" applyFont="1" applyFill="1" applyAlignment="1">
      <alignment wrapText="1"/>
    </xf>
    <xf numFmtId="0" fontId="3" fillId="10" borderId="0" xfId="0" applyFont="1" applyFill="1"/>
    <xf numFmtId="0" fontId="1" fillId="11" borderId="0" xfId="0" applyFont="1" applyFill="1"/>
    <xf numFmtId="0" fontId="1" fillId="12" borderId="0" xfId="0" applyFont="1" applyFill="1"/>
    <xf numFmtId="0" fontId="1" fillId="11" borderId="0" xfId="0" applyFont="1" applyFill="1" applyAlignment="1">
      <alignment wrapText="1"/>
    </xf>
    <xf numFmtId="0" fontId="0" fillId="11" borderId="0" xfId="0" applyFill="1"/>
    <xf numFmtId="0" fontId="3" fillId="11" borderId="0" xfId="0" applyFont="1" applyFill="1"/>
    <xf numFmtId="0" fontId="1" fillId="12" borderId="0" xfId="0" applyFont="1" applyFill="1" applyAlignment="1">
      <alignment wrapText="1"/>
    </xf>
    <xf numFmtId="0" fontId="3" fillId="12" borderId="0" xfId="0" applyFont="1" applyFill="1"/>
  </cellXfs>
  <cellStyles count="7">
    <cellStyle name="Normal" xfId="0" builtinId="0"/>
    <cellStyle name="PPDuplicateRow" xfId="4" xr:uid="{BED253E3-8E24-41FB-AA64-ED94F3714C06}"/>
    <cellStyle name="PPHeaderColumn" xfId="2" xr:uid="{5A2CAE04-30E4-463D-AC1D-1EEBFD4CF363}"/>
    <cellStyle name="PPHeaderRequired" xfId="3" xr:uid="{C27D32F5-15C4-48CA-9BEA-10FB9A3A651A}"/>
    <cellStyle name="PPHeaderTop" xfId="1" xr:uid="{ABBE129B-51E2-4CEF-A57D-5BEB284981CD}"/>
    <cellStyle name="PPInvalidValue" xfId="5" xr:uid="{26BC4A40-E27C-40AC-86DF-A182C38B5C10}"/>
    <cellStyle name="PPMissingValue" xfId="6" xr:uid="{0AB7EA56-804A-42D7-8D3A-4A022431823F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47623</xdr:rowOff>
    </xdr:from>
    <xdr:to>
      <xdr:col>25</xdr:col>
      <xdr:colOff>9524</xdr:colOff>
      <xdr:row>40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632381B-9EB0-4C24-A9D1-6FB5050F193C}"/>
            </a:ext>
          </a:extLst>
        </xdr:cNvPr>
        <xdr:cNvSpPr txBox="1"/>
      </xdr:nvSpPr>
      <xdr:spPr>
        <a:xfrm>
          <a:off x="0" y="47623"/>
          <a:ext cx="15249524" cy="72294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1" i="0" u="none" strike="noStrike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Instructions: </a:t>
          </a:r>
        </a:p>
        <a:p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Counting data should be submitted on</a:t>
          </a: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events for educators related to the following deliverables:</a:t>
          </a:r>
          <a:endParaRPr lang="en-US" b="1" i="0">
            <a:effectLst/>
          </a:endParaRPr>
        </a:p>
        <a:p>
          <a:pPr lvl="1"/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Deliverable 1.3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|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Host and facilitate a regional kickoff session for the OSLN Design Challenge kick for up to 50 participants.</a:t>
          </a:r>
          <a:endParaRPr lang="en-US">
            <a:effectLst/>
          </a:endParaRPr>
        </a:p>
        <a:p>
          <a:pPr lvl="1"/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Deliverable 1.4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| Participate in a network-wide set of school spotlights</a:t>
          </a:r>
          <a:endParaRPr lang="en-US">
            <a:effectLst/>
          </a:endParaRPr>
        </a:p>
        <a:p>
          <a:pPr lvl="1"/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Deliverable 2.2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|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Provide responsive services that support schools in learning and implementing STEM education best practices</a:t>
          </a:r>
          <a:endParaRPr lang="en-US">
            <a:effectLst/>
          </a:endParaRPr>
        </a:p>
        <a:p>
          <a:pPr lvl="1"/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Deliverable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3.2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| Support schools in region building a systematic approach to STEM</a:t>
          </a:r>
          <a:endParaRPr lang="en-US">
            <a:effectLst/>
          </a:endParaRPr>
        </a:p>
        <a:p>
          <a:endParaRPr lang="en-US" sz="11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submit your counting</a:t>
          </a:r>
          <a:r>
            <a:rPr lang="en-US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data, follow these steps: </a:t>
          </a:r>
        </a:p>
        <a:p>
          <a:endParaRPr lang="en-US" sz="11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u="none" strike="noStrike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STEP</a:t>
          </a:r>
          <a:r>
            <a:rPr lang="en-US" sz="1100" b="1" i="0" u="none" strike="noStrike" baseline="0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 1: </a:t>
          </a:r>
          <a:r>
            <a:rPr lang="en-US" sz="1100" b="1" i="0" u="none" strike="noStrike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Add your counting data in tab 2</a:t>
          </a:r>
          <a:r>
            <a:rPr lang="en-US" sz="1100" b="1" i="0" u="none" strike="noStrike" baseline="0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 "Data (required)." </a:t>
          </a: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enter the following information: 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C: Hub leader	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D: Date of event (single date, not range), if the event was a multi-day event, please list the ending date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E: Title of event – this should be the same title of the event you use in tab 2. 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F: Participant first name	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G: Participant last name	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H: Participant email address – please note, this will not be used for marketing purposes, only as an identifier for record keeping. 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I: School or organization name	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J: School IRN #, you may use the District IRN # if more relevant (for example a district level curriculum coach). We recommend directing participants to </a:t>
          </a:r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https://oeds.ode.state.oh.us/SearchOrg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identify the correct IRN. OSLN includes this data as a required registration question.  This data allows us to map our impact across the state and is required on the counting form. </a:t>
          </a:r>
        </a:p>
        <a:p>
          <a:pPr lvl="2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Column K: Total number of students impacted (0 if unknown)</a:t>
          </a: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Notes: </a:t>
          </a: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Columns A - B should automatically update based on the information reported in Columns H-K.  Column A checks that all information is completed in Columns H-K which allows OSLN to report on this student impact. Column B checks to make sure the school IRN entered in column J is valid which allows us to complete geo mapping on the hubs impact. The first six rows are set as an example. These can be deleted from your counting report.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do not change anything about the data being reported in Columns A through K. Adding new columns to this section will breaks the automatic data merging. However, feel free to add additional data starting in Column L and beyond.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do not place sums or other calculations below the participant entries. We will have to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manually delete those.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457200" marR="0" lvl="1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Feel free to combine multiple programs on this sheet, as shown in the example.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>
            <a:effectLst/>
          </a:endParaRPr>
        </a:p>
        <a:p>
          <a:endParaRPr lang="en-US" sz="1100" b="1" i="0" u="none" strike="noStrike">
            <a:solidFill>
              <a:schemeClr val="accent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i="0" u="none" strike="noStrike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STEP 2:</a:t>
          </a:r>
          <a:r>
            <a:rPr lang="en-US" sz="1100" b="1" i="0" u="none" strike="noStrike" baseline="0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 For each unique event, please add a row under tab 3 "descriptions (also required)." List the event title in Column A, indicate which deliverable the event addresses in column B, and include a brief description of the event in Column C.  </a:t>
          </a:r>
        </a:p>
        <a:p>
          <a:endParaRPr lang="en-US" sz="11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r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each out to evansrob@battelle.org with questions.</a:t>
          </a:r>
          <a:r>
            <a:rPr lang="en-US"/>
            <a:t> </a:t>
          </a:r>
        </a:p>
        <a:p>
          <a:endParaRPr lang="en-US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Need support creating your registration forms? Use this as a guide: </a:t>
          </a:r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https://docs.google.com/document/d/1Hfpl1lEW1ajRjCBpxjv46G4PHK0wRzvRT_GtCCjNQTw/edit?tab=t.0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en-US"/>
        </a:p>
        <a:p>
          <a:endParaRPr lang="en-US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2</xdr:col>
      <xdr:colOff>7153275</xdr:colOff>
      <xdr:row>0</xdr:row>
      <xdr:rowOff>1409701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A02BEAD-290F-4218-A356-4F62F142FE91}"/>
            </a:ext>
          </a:extLst>
        </xdr:cNvPr>
        <xdr:cNvSpPr txBox="1"/>
      </xdr:nvSpPr>
      <xdr:spPr>
        <a:xfrm>
          <a:off x="0" y="1"/>
          <a:ext cx="11849100" cy="1409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n-US" i="1">
              <a:effectLst/>
            </a:rPr>
            <a:t>Counting data should be submitted events for educators related to the following deliverables:</a:t>
          </a:r>
          <a:endParaRPr lang="en-US">
            <a:effectLst/>
          </a:endParaRPr>
        </a:p>
        <a:p>
          <a:pPr rtl="0"/>
          <a:endParaRPr lang="en-US">
            <a:effectLst/>
          </a:endParaRPr>
        </a:p>
        <a:p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Deliverable 1.3 |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Host and facilitate a regional kickoff session for the OSLN Design Challenge kick for up to 50 participants.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Deliverable 1.4 | Participate in a network-wide set of school spotlights</a:t>
          </a:r>
          <a:endParaRPr lang="en-US">
            <a:effectLst/>
          </a:endParaRPr>
        </a:p>
        <a:p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Deliverable 2.2 |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Provide responsive services that support schools in learning and implementing STEM education best practices</a:t>
          </a:r>
          <a:endParaRPr lang="en-US">
            <a:effectLst/>
          </a:endParaRPr>
        </a:p>
        <a:p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Deliverable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3.2 | Support schools in region building a systematic approach to STEM</a:t>
          </a:r>
          <a:endParaRPr lang="en-US">
            <a:effectLst/>
          </a:endParaRPr>
        </a:p>
        <a:p>
          <a:pPr rtl="0"/>
          <a:endParaRPr lang="en-US" sz="500">
            <a:effectLst/>
          </a:endParaRPr>
        </a:p>
        <a:p>
          <a:pPr rtl="0"/>
          <a:r>
            <a:rPr lang="en-US">
              <a:effectLst/>
            </a:rPr>
            <a:t>Please not</a:t>
          </a:r>
          <a:r>
            <a:rPr lang="en-US" baseline="0">
              <a:effectLst/>
            </a:rPr>
            <a:t>e which deliverable each event applies to in column B.</a:t>
          </a:r>
          <a:endParaRPr lang="en-US">
            <a:effectLst/>
          </a:endParaRPr>
        </a:p>
        <a:p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F2BDDE5-4402-443A-BF70-DD52E7EC5971}" name="Table1" displayName="Table1" ref="C4:K1005" totalsRowShown="0" headerRowDxfId="10" dataDxfId="9">
  <autoFilter ref="C4:K1005" xr:uid="{2F2BDDE5-4402-443A-BF70-DD52E7EC5971}"/>
  <tableColumns count="9">
    <tableColumn id="1" xr3:uid="{E2A6BCEA-0A13-484A-AD8C-025F5BF8D28F}" name="Hub leader" dataDxfId="8"/>
    <tableColumn id="2" xr3:uid="{CAEFD6A3-4A4B-4710-848B-BEC5F571AAA0}" name="Date of event (single date, not range)_x000a__x000a_If multi-day, use ending date" dataDxfId="7"/>
    <tableColumn id="3" xr3:uid="{9540FAEB-5C33-4994-865B-A32E52D45CF6}" name="Title of event" dataDxfId="6"/>
    <tableColumn id="4" xr3:uid="{4A233113-10FF-4F36-81C4-2A84E64A8BDF}" name="Participant first name" dataDxfId="5"/>
    <tableColumn id="5" xr3:uid="{E7024B3C-2A0C-4F66-B79B-0ABB8F8436B8}" name="Participant last name" dataDxfId="4"/>
    <tableColumn id="6" xr3:uid="{3071E983-A247-4D53-B8DD-D1D3611B30BF}" name="Participant email address (never used for marketing, only as an identifier for record keeping)" dataDxfId="3"/>
    <tableColumn id="8" xr3:uid="{A4AE7858-12B4-4AC7-85FB-5BCE07C1BC44}" name="School or organization name" dataDxfId="2"/>
    <tableColumn id="9" xr3:uid="{D9C829D1-C730-4D25-9F0D-6F761F4DC5E9}" name="School IRN # (Use District IRN # if more relevant). Recommend directing participants to https://oeds.ode.state.oh.us/SearchOrg" dataDxfId="1"/>
    <tableColumn id="10" xr3:uid="{133CCDC6-2B53-46DF-83CE-DE0941C78953}" name="Total number of students impacted (0 if unknown)" dataDxfId="0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8A1EB-F8D4-4475-A07D-711DDEA93E77}">
  <dimension ref="A1"/>
  <sheetViews>
    <sheetView workbookViewId="0">
      <selection activeCell="Y12" sqref="Y12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F533C-0F1F-49A0-A469-1A95065D723F}">
  <dimension ref="A1:K1005"/>
  <sheetViews>
    <sheetView tabSelected="1" workbookViewId="0">
      <selection activeCell="D20" sqref="D20"/>
    </sheetView>
  </sheetViews>
  <sheetFormatPr defaultColWidth="9.81640625" defaultRowHeight="14" x14ac:dyDescent="0.3"/>
  <cols>
    <col min="1" max="1" width="25.1796875" style="2" bestFit="1" customWidth="1"/>
    <col min="2" max="2" width="18.81640625" style="2" customWidth="1"/>
    <col min="3" max="3" width="25.81640625" style="1" customWidth="1"/>
    <col min="4" max="4" width="26.7265625" style="1" customWidth="1"/>
    <col min="5" max="5" width="16.453125" style="1" customWidth="1"/>
    <col min="6" max="6" width="15.81640625" style="1" customWidth="1"/>
    <col min="7" max="7" width="15.54296875" style="1" customWidth="1"/>
    <col min="8" max="8" width="25.81640625" style="1" customWidth="1"/>
    <col min="9" max="9" width="21.26953125" style="1" customWidth="1"/>
    <col min="10" max="10" width="35.453125" style="1" customWidth="1"/>
    <col min="11" max="11" width="15.7265625" style="1" customWidth="1"/>
    <col min="12" max="16384" width="9.81640625" style="2"/>
  </cols>
  <sheetData>
    <row r="1" spans="1:11" x14ac:dyDescent="0.3">
      <c r="A1" s="1"/>
      <c r="B1" s="1"/>
    </row>
    <row r="2" spans="1:11" x14ac:dyDescent="0.3">
      <c r="A2" s="1"/>
      <c r="B2" s="1"/>
    </row>
    <row r="4" spans="1:11" s="3" customFormat="1" ht="70" x14ac:dyDescent="0.35">
      <c r="A4" s="5" t="s">
        <v>0</v>
      </c>
      <c r="B4" s="5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</row>
    <row r="5" spans="1:11" ht="14.5" x14ac:dyDescent="0.35">
      <c r="A5" s="17" t="str" cm="1">
        <f t="array" ref="A5">_xlfn.LET(
  _xlpm.key,_xlfn.TEXTSPLIT("Email,Org,IRN,Impact",","),
  _xlpm.complete,ISBLANK(H5:K5),
  _xlpm.missing,_xlfn._xlws.FILTER(_xlpm.key,_xlpm.complete,FALSE()),
  _xlpm.missing_string,"Missing: "&amp;_xlfn.TEXTJOIN(", ",TRUE,_xlpm.missing),
  _xlfn.IFS(
    COUNTA(C5:K5)=0,"Blank",
AND(_xlpm.missing=FALSE,ROWS(_xlpm.missing)=1),"Complete",
    ROWS(_xlpm.missing)&gt;0,_xlpm.missing_string,
    TRUE,"Error"
  )
)</f>
        <v>Complete</v>
      </c>
      <c r="B5" s="17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Valid IRN</v>
      </c>
      <c r="C5" s="13" t="s">
        <v>11</v>
      </c>
      <c r="D5" s="14">
        <v>45108</v>
      </c>
      <c r="E5" s="14" t="s">
        <v>12</v>
      </c>
      <c r="F5" s="13" t="s">
        <v>13</v>
      </c>
      <c r="G5" s="13" t="s">
        <v>14</v>
      </c>
      <c r="H5" s="19" t="s">
        <v>15</v>
      </c>
      <c r="I5" s="19" t="s">
        <v>16</v>
      </c>
      <c r="J5" s="20">
        <v>43877</v>
      </c>
      <c r="K5" s="19">
        <v>250</v>
      </c>
    </row>
    <row r="6" spans="1:11" x14ac:dyDescent="0.3">
      <c r="A6" s="18" t="str" cm="1">
        <f t="array" ref="A6">_xlfn.LET(
  _xlpm.key,_xlfn.TEXTSPLIT("Email,Org,IRN,Impact",","),
  _xlpm.complete,ISBLANK(H6:K6),
  _xlpm.missing,_xlfn._xlws.FILTER(_xlpm.key,_xlpm.complete,FALSE()),
  _xlpm.missing_string,"Missing: "&amp;_xlfn.TEXTJOIN(", ",TRUE,_xlpm.missing),
  _xlfn.IFS(
    COUNTA(C6:K6)=0,"Blank",
AND(_xlpm.missing=FALSE,ROWS(_xlpm.missing)=1),"Complete",
    ROWS(_xlpm.missing)&gt;0,_xlpm.missing_string,
    TRUE,"Error"
  )
)</f>
        <v>Missing: Email, IRN, Impact</v>
      </c>
      <c r="B6" s="18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  <c r="C6" s="13"/>
      <c r="D6" s="14"/>
      <c r="E6" s="15"/>
      <c r="F6" s="13"/>
      <c r="G6" s="13"/>
      <c r="H6" s="22"/>
      <c r="I6" s="13" t="s">
        <v>16</v>
      </c>
      <c r="J6" s="23"/>
      <c r="K6" s="22"/>
    </row>
    <row r="7" spans="1:11" x14ac:dyDescent="0.3">
      <c r="A7" s="17" t="str" cm="1">
        <f t="array" ref="A7">_xlfn.LET(
  _xlpm.key,_xlfn.TEXTSPLIT("Email,Org,IRN,Impact",","),
  _xlpm.complete,ISBLANK(H7:K7),
  _xlpm.missing,_xlfn._xlws.FILTER(_xlpm.key,_xlpm.complete,FALSE()),
  _xlpm.missing_string,"Missing: "&amp;_xlfn.TEXTJOIN(", ",TRUE,_xlpm.missing),
  _xlfn.IFS(
    COUNTA(C7:K7)=0,"Blank",
AND(_xlpm.missing=FALSE,ROWS(_xlpm.missing)=1),"Complete",
    ROWS(_xlpm.missing)&gt;0,_xlpm.missing_string,
    TRUE,"Error"
  )
)</f>
        <v>Complete</v>
      </c>
      <c r="B7" s="17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Valid IRN</v>
      </c>
      <c r="C7" s="13" t="s">
        <v>11</v>
      </c>
      <c r="D7" s="14">
        <v>45473</v>
      </c>
      <c r="E7" s="14" t="s">
        <v>17</v>
      </c>
      <c r="F7" s="13" t="s">
        <v>18</v>
      </c>
      <c r="G7" s="13" t="s">
        <v>19</v>
      </c>
      <c r="H7" s="19" t="s">
        <v>20</v>
      </c>
      <c r="I7" s="21" t="s">
        <v>21</v>
      </c>
      <c r="J7" s="21">
        <v>49767</v>
      </c>
      <c r="K7" s="19">
        <v>350</v>
      </c>
    </row>
    <row r="8" spans="1:11" x14ac:dyDescent="0.3">
      <c r="A8" s="17" t="str" cm="1">
        <f t="array" ref="A8">_xlfn.LET(
  _xlpm.key,_xlfn.TEXTSPLIT("Email,Org,IRN,Impact",","),
  _xlpm.complete,ISBLANK(H8:K8),
  _xlpm.missing,_xlfn._xlws.FILTER(_xlpm.key,_xlpm.complete,FALSE()),
  _xlpm.missing_string,"Missing: "&amp;_xlfn.TEXTJOIN(", ",TRUE,_xlpm.missing),
  _xlfn.IFS(
    COUNTA(C8:K8)=0,"Blank",
AND(_xlpm.missing=FALSE,ROWS(_xlpm.missing)=1),"Complete",
    ROWS(_xlpm.missing)&gt;0,_xlpm.missing_string,
    TRUE,"Error"
  )
)</f>
        <v>Complete</v>
      </c>
      <c r="B8" s="18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  <c r="C8" s="13" t="s">
        <v>11</v>
      </c>
      <c r="D8" s="14">
        <v>45473</v>
      </c>
      <c r="E8" s="14" t="s">
        <v>22</v>
      </c>
      <c r="F8" s="13" t="s">
        <v>23</v>
      </c>
      <c r="G8" s="13" t="s">
        <v>24</v>
      </c>
      <c r="H8" s="13" t="s">
        <v>20</v>
      </c>
      <c r="I8" s="16" t="s">
        <v>25</v>
      </c>
      <c r="J8" s="16">
        <v>149767</v>
      </c>
      <c r="K8" s="13">
        <v>150</v>
      </c>
    </row>
    <row r="9" spans="1:11" x14ac:dyDescent="0.3">
      <c r="A9" s="12" t="str" cm="1">
        <f t="array" ref="A9">_xlfn.LET(
  _xlpm.key,_xlfn.TEXTSPLIT("Email,Org,IRN,Impact",","),
  _xlpm.complete,ISBLANK(H9:K9),
  _xlpm.missing,_xlfn._xlws.FILTER(_xlpm.key,_xlpm.complete,FALSE()),
  _xlpm.missing_string,"Missing: "&amp;_xlfn.TEXTJOIN(", ",TRUE,_xlpm.missing),
  _xlfn.IFS(
    COUNTA(C9:K9)=0,"Blank",
AND(_xlpm.missing=FALSE,ROWS(_xlpm.missing)=1),"Complete",
    ROWS(_xlpm.missing)&gt;0,_xlpm.missing_string,
    TRUE,"Error"
  )
)</f>
        <v>Missing: Email, Impact</v>
      </c>
      <c r="B9" s="1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Valid IRN</v>
      </c>
      <c r="C9" s="13"/>
      <c r="D9" s="14"/>
      <c r="E9" s="13"/>
      <c r="F9" s="13"/>
      <c r="G9" s="13"/>
      <c r="H9" s="22"/>
      <c r="I9" s="16" t="s">
        <v>26</v>
      </c>
      <c r="J9" s="21">
        <v>49759</v>
      </c>
      <c r="K9" s="22"/>
    </row>
    <row r="10" spans="1:11" x14ac:dyDescent="0.3">
      <c r="A10" s="18" t="str" cm="1">
        <f t="array" ref="A10">_xlfn.LET(
  _xlpm.key,_xlfn.TEXTSPLIT("Email,Org,IRN,Impact",","),
  _xlpm.complete,ISBLANK(H10:K10),
  _xlpm.missing,_xlfn._xlws.FILTER(_xlpm.key,_xlpm.complete,FALSE()),
  _xlpm.missing_string,"Missing: "&amp;_xlfn.TEXTJOIN(", ",TRUE,_xlpm.missing),
  _xlfn.IFS(
    COUNTA(C10:K10)=0,"Blank",
AND(_xlpm.missing=FALSE,ROWS(_xlpm.missing)=1),"Complete",
    ROWS(_xlpm.missing)&gt;0,_xlpm.missing_string,
    TRUE,"Error"
  )
)</f>
        <v>Blank</v>
      </c>
      <c r="B10" s="1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  <c r="C10" s="13"/>
      <c r="D10" s="13"/>
      <c r="E10" s="13"/>
      <c r="F10" s="13"/>
      <c r="G10" s="13"/>
      <c r="H10" s="22"/>
      <c r="I10" s="22"/>
      <c r="J10" s="22"/>
      <c r="K10" s="22"/>
    </row>
    <row r="11" spans="1:11" x14ac:dyDescent="0.3">
      <c r="A11" s="2" t="str" cm="1">
        <f t="array" ref="A11">_xlfn.LET(
  _xlpm.key,_xlfn.TEXTSPLIT("Email,Org,IRN,Impact",","),
  _xlpm.complete,ISBLANK(H11:K11),
  _xlpm.missing,_xlfn._xlws.FILTER(_xlpm.key,_xlpm.complete,FALSE()),
  _xlpm.missing_string,"Missing: "&amp;_xlfn.TEXTJOIN(", ",TRUE,_xlpm.missing),
  _xlfn.IFS(
    COUNTA(C11:K11)=0,"Blank",
AND(_xlpm.missing=FALSE,ROWS(_xlpm.missing)=1),"Complete",
    ROWS(_xlpm.missing)&gt;0,_xlpm.missing_string,
    TRUE,"Error"
  )
)</f>
        <v>Blank</v>
      </c>
      <c r="B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" spans="1:11" x14ac:dyDescent="0.3">
      <c r="A12" s="2" t="str" cm="1">
        <f t="array" ref="A12">_xlfn.LET(
  _xlpm.key,_xlfn.TEXTSPLIT("Email,Org,IRN,Impact",","),
  _xlpm.complete,ISBLANK(H12:K12),
  _xlpm.missing,_xlfn._xlws.FILTER(_xlpm.key,_xlpm.complete,FALSE()),
  _xlpm.missing_string,"Missing: "&amp;_xlfn.TEXTJOIN(", ",TRUE,_xlpm.missing),
  _xlfn.IFS(
    COUNTA(C12:K12)=0,"Blank",
AND(_xlpm.missing=FALSE,ROWS(_xlpm.missing)=1),"Complete",
    ROWS(_xlpm.missing)&gt;0,_xlpm.missing_string,
    TRUE,"Error"
  )
)</f>
        <v>Blank</v>
      </c>
      <c r="B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" spans="1:11" x14ac:dyDescent="0.3">
      <c r="A13" s="2" t="str" cm="1">
        <f t="array" ref="A13">_xlfn.LET(
  _xlpm.key,_xlfn.TEXTSPLIT("Email,Org,IRN,Impact",","),
  _xlpm.complete,ISBLANK(H13:K13),
  _xlpm.missing,_xlfn._xlws.FILTER(_xlpm.key,_xlpm.complete,FALSE()),
  _xlpm.missing_string,"Missing: "&amp;_xlfn.TEXTJOIN(", ",TRUE,_xlpm.missing),
  _xlfn.IFS(
    COUNTA(C13:K13)=0,"Blank",
AND(_xlpm.missing=FALSE,ROWS(_xlpm.missing)=1),"Complete",
    ROWS(_xlpm.missing)&gt;0,_xlpm.missing_string,
    TRUE,"Error"
  )
)</f>
        <v>Blank</v>
      </c>
      <c r="B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" spans="1:11" x14ac:dyDescent="0.3">
      <c r="A14" s="2" t="str" cm="1">
        <f t="array" ref="A14">_xlfn.LET(
  _xlpm.key,_xlfn.TEXTSPLIT("Email,Org,IRN,Impact",","),
  _xlpm.complete,ISBLANK(H14:K14),
  _xlpm.missing,_xlfn._xlws.FILTER(_xlpm.key,_xlpm.complete,FALSE()),
  _xlpm.missing_string,"Missing: "&amp;_xlfn.TEXTJOIN(", ",TRUE,_xlpm.missing),
  _xlfn.IFS(
    COUNTA(C14:K14)=0,"Blank",
AND(_xlpm.missing=FALSE,ROWS(_xlpm.missing)=1),"Complete",
    ROWS(_xlpm.missing)&gt;0,_xlpm.missing_string,
    TRUE,"Error"
  )
)</f>
        <v>Blank</v>
      </c>
      <c r="B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" spans="1:11" x14ac:dyDescent="0.3">
      <c r="A15" s="2" t="str" cm="1">
        <f t="array" ref="A15">_xlfn.LET(
  _xlpm.key,_xlfn.TEXTSPLIT("Email,Org,IRN,Impact",","),
  _xlpm.complete,ISBLANK(H15:K15),
  _xlpm.missing,_xlfn._xlws.FILTER(_xlpm.key,_xlpm.complete,FALSE()),
  _xlpm.missing_string,"Missing: "&amp;_xlfn.TEXTJOIN(", ",TRUE,_xlpm.missing),
  _xlfn.IFS(
    COUNTA(C15:K15)=0,"Blank",
AND(_xlpm.missing=FALSE,ROWS(_xlpm.missing)=1),"Complete",
    ROWS(_xlpm.missing)&gt;0,_xlpm.missing_string,
    TRUE,"Error"
  )
)</f>
        <v>Blank</v>
      </c>
      <c r="B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" spans="1:11" x14ac:dyDescent="0.3">
      <c r="A16" s="2" t="str" cm="1">
        <f t="array" ref="A16">_xlfn.LET(
  _xlpm.key,_xlfn.TEXTSPLIT("Email,Org,IRN,Impact",","),
  _xlpm.complete,ISBLANK(H16:K16),
  _xlpm.missing,_xlfn._xlws.FILTER(_xlpm.key,_xlpm.complete,FALSE()),
  _xlpm.missing_string,"Missing: "&amp;_xlfn.TEXTJOIN(", ",TRUE,_xlpm.missing),
  _xlfn.IFS(
    COUNTA(C16:K16)=0,"Blank",
AND(_xlpm.missing=FALSE,ROWS(_xlpm.missing)=1),"Complete",
    ROWS(_xlpm.missing)&gt;0,_xlpm.missing_string,
    TRUE,"Error"
  )
)</f>
        <v>Blank</v>
      </c>
      <c r="B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" spans="1:2" x14ac:dyDescent="0.3">
      <c r="A17" s="2" t="str" cm="1">
        <f t="array" ref="A17">_xlfn.LET(
  _xlpm.key,_xlfn.TEXTSPLIT("Email,Org,IRN,Impact",","),
  _xlpm.complete,ISBLANK(H17:K17),
  _xlpm.missing,_xlfn._xlws.FILTER(_xlpm.key,_xlpm.complete,FALSE()),
  _xlpm.missing_string,"Missing: "&amp;_xlfn.TEXTJOIN(", ",TRUE,_xlpm.missing),
  _xlfn.IFS(
    COUNTA(C17:K17)=0,"Blank",
AND(_xlpm.missing=FALSE,ROWS(_xlpm.missing)=1),"Complete",
    ROWS(_xlpm.missing)&gt;0,_xlpm.missing_string,
    TRUE,"Error"
  )
)</f>
        <v>Blank</v>
      </c>
      <c r="B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" spans="1:2" x14ac:dyDescent="0.3">
      <c r="A18" s="2" t="str" cm="1">
        <f t="array" ref="A18">_xlfn.LET(
  _xlpm.key,_xlfn.TEXTSPLIT("Email,Org,IRN,Impact",","),
  _xlpm.complete,ISBLANK(H18:K18),
  _xlpm.missing,_xlfn._xlws.FILTER(_xlpm.key,_xlpm.complete,FALSE()),
  _xlpm.missing_string,"Missing: "&amp;_xlfn.TEXTJOIN(", ",TRUE,_xlpm.missing),
  _xlfn.IFS(
    COUNTA(C18:K18)=0,"Blank",
AND(_xlpm.missing=FALSE,ROWS(_xlpm.missing)=1),"Complete",
    ROWS(_xlpm.missing)&gt;0,_xlpm.missing_string,
    TRUE,"Error"
  )
)</f>
        <v>Blank</v>
      </c>
      <c r="B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" spans="1:2" x14ac:dyDescent="0.3">
      <c r="A19" s="2" t="str" cm="1">
        <f t="array" ref="A19">_xlfn.LET(
  _xlpm.key,_xlfn.TEXTSPLIT("Email,Org,IRN,Impact",","),
  _xlpm.complete,ISBLANK(H19:K19),
  _xlpm.missing,_xlfn._xlws.FILTER(_xlpm.key,_xlpm.complete,FALSE()),
  _xlpm.missing_string,"Missing: "&amp;_xlfn.TEXTJOIN(", ",TRUE,_xlpm.missing),
  _xlfn.IFS(
    COUNTA(C19:K19)=0,"Blank",
AND(_xlpm.missing=FALSE,ROWS(_xlpm.missing)=1),"Complete",
    ROWS(_xlpm.missing)&gt;0,_xlpm.missing_string,
    TRUE,"Error"
  )
)</f>
        <v>Blank</v>
      </c>
      <c r="B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" spans="1:2" x14ac:dyDescent="0.3">
      <c r="A20" s="2" t="str" cm="1">
        <f t="array" ref="A20">_xlfn.LET(
  _xlpm.key,_xlfn.TEXTSPLIT("Email,Org,IRN,Impact",","),
  _xlpm.complete,ISBLANK(H20:K20),
  _xlpm.missing,_xlfn._xlws.FILTER(_xlpm.key,_xlpm.complete,FALSE()),
  _xlpm.missing_string,"Missing: "&amp;_xlfn.TEXTJOIN(", ",TRUE,_xlpm.missing),
  _xlfn.IFS(
    COUNTA(C20:K20)=0,"Blank",
AND(_xlpm.missing=FALSE,ROWS(_xlpm.missing)=1),"Complete",
    ROWS(_xlpm.missing)&gt;0,_xlpm.missing_string,
    TRUE,"Error"
  )
)</f>
        <v>Blank</v>
      </c>
      <c r="B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" spans="1:2" x14ac:dyDescent="0.3">
      <c r="A21" s="2" t="str" cm="1">
        <f t="array" ref="A21">_xlfn.LET(
  _xlpm.key,_xlfn.TEXTSPLIT("Email,Org,IRN,Impact",","),
  _xlpm.complete,ISBLANK(H21:K21),
  _xlpm.missing,_xlfn._xlws.FILTER(_xlpm.key,_xlpm.complete,FALSE()),
  _xlpm.missing_string,"Missing: "&amp;_xlfn.TEXTJOIN(", ",TRUE,_xlpm.missing),
  _xlfn.IFS(
    COUNTA(C21:K21)=0,"Blank",
AND(_xlpm.missing=FALSE,ROWS(_xlpm.missing)=1),"Complete",
    ROWS(_xlpm.missing)&gt;0,_xlpm.missing_string,
    TRUE,"Error"
  )
)</f>
        <v>Blank</v>
      </c>
      <c r="B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" spans="1:2" x14ac:dyDescent="0.3">
      <c r="A22" s="2" t="str" cm="1">
        <f t="array" ref="A22">_xlfn.LET(
  _xlpm.key,_xlfn.TEXTSPLIT("Email,Org,IRN,Impact",","),
  _xlpm.complete,ISBLANK(H22:K22),
  _xlpm.missing,_xlfn._xlws.FILTER(_xlpm.key,_xlpm.complete,FALSE()),
  _xlpm.missing_string,"Missing: "&amp;_xlfn.TEXTJOIN(", ",TRUE,_xlpm.missing),
  _xlfn.IFS(
    COUNTA(C22:K22)=0,"Blank",
AND(_xlpm.missing=FALSE,ROWS(_xlpm.missing)=1),"Complete",
    ROWS(_xlpm.missing)&gt;0,_xlpm.missing_string,
    TRUE,"Error"
  )
)</f>
        <v>Blank</v>
      </c>
      <c r="B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" spans="1:2" x14ac:dyDescent="0.3">
      <c r="A23" s="2" t="str" cm="1">
        <f t="array" ref="A23">_xlfn.LET(
  _xlpm.key,_xlfn.TEXTSPLIT("Email,Org,IRN,Impact",","),
  _xlpm.complete,ISBLANK(H23:K23),
  _xlpm.missing,_xlfn._xlws.FILTER(_xlpm.key,_xlpm.complete,FALSE()),
  _xlpm.missing_string,"Missing: "&amp;_xlfn.TEXTJOIN(", ",TRUE,_xlpm.missing),
  _xlfn.IFS(
    COUNTA(C23:K23)=0,"Blank",
AND(_xlpm.missing=FALSE,ROWS(_xlpm.missing)=1),"Complete",
    ROWS(_xlpm.missing)&gt;0,_xlpm.missing_string,
    TRUE,"Error"
  )
)</f>
        <v>Blank</v>
      </c>
      <c r="B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" spans="1:2" x14ac:dyDescent="0.3">
      <c r="A24" s="2" t="str" cm="1">
        <f t="array" ref="A24">_xlfn.LET(
  _xlpm.key,_xlfn.TEXTSPLIT("Email,Org,IRN,Impact",","),
  _xlpm.complete,ISBLANK(H24:K24),
  _xlpm.missing,_xlfn._xlws.FILTER(_xlpm.key,_xlpm.complete,FALSE()),
  _xlpm.missing_string,"Missing: "&amp;_xlfn.TEXTJOIN(", ",TRUE,_xlpm.missing),
  _xlfn.IFS(
    COUNTA(C24:K24)=0,"Blank",
AND(_xlpm.missing=FALSE,ROWS(_xlpm.missing)=1),"Complete",
    ROWS(_xlpm.missing)&gt;0,_xlpm.missing_string,
    TRUE,"Error"
  )
)</f>
        <v>Blank</v>
      </c>
      <c r="B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" spans="1:2" x14ac:dyDescent="0.3">
      <c r="A25" s="2" t="str" cm="1">
        <f t="array" ref="A25">_xlfn.LET(
  _xlpm.key,_xlfn.TEXTSPLIT("Email,Org,IRN,Impact",","),
  _xlpm.complete,ISBLANK(H25:K25),
  _xlpm.missing,_xlfn._xlws.FILTER(_xlpm.key,_xlpm.complete,FALSE()),
  _xlpm.missing_string,"Missing: "&amp;_xlfn.TEXTJOIN(", ",TRUE,_xlpm.missing),
  _xlfn.IFS(
    COUNTA(C25:K25)=0,"Blank",
AND(_xlpm.missing=FALSE,ROWS(_xlpm.missing)=1),"Complete",
    ROWS(_xlpm.missing)&gt;0,_xlpm.missing_string,
    TRUE,"Error"
  )
)</f>
        <v>Blank</v>
      </c>
      <c r="B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" spans="1:2" x14ac:dyDescent="0.3">
      <c r="A26" s="2" t="str" cm="1">
        <f t="array" ref="A26">_xlfn.LET(
  _xlpm.key,_xlfn.TEXTSPLIT("Email,Org,IRN,Impact",","),
  _xlpm.complete,ISBLANK(H26:K26),
  _xlpm.missing,_xlfn._xlws.FILTER(_xlpm.key,_xlpm.complete,FALSE()),
  _xlpm.missing_string,"Missing: "&amp;_xlfn.TEXTJOIN(", ",TRUE,_xlpm.missing),
  _xlfn.IFS(
    COUNTA(C26:K26)=0,"Blank",
AND(_xlpm.missing=FALSE,ROWS(_xlpm.missing)=1),"Complete",
    ROWS(_xlpm.missing)&gt;0,_xlpm.missing_string,
    TRUE,"Error"
  )
)</f>
        <v>Blank</v>
      </c>
      <c r="B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" spans="1:2" x14ac:dyDescent="0.3">
      <c r="A27" s="2" t="str" cm="1">
        <f t="array" ref="A27">_xlfn.LET(
  _xlpm.key,_xlfn.TEXTSPLIT("Email,Org,IRN,Impact",","),
  _xlpm.complete,ISBLANK(H27:K27),
  _xlpm.missing,_xlfn._xlws.FILTER(_xlpm.key,_xlpm.complete,FALSE()),
  _xlpm.missing_string,"Missing: "&amp;_xlfn.TEXTJOIN(", ",TRUE,_xlpm.missing),
  _xlfn.IFS(
    COUNTA(C27:K27)=0,"Blank",
AND(_xlpm.missing=FALSE,ROWS(_xlpm.missing)=1),"Complete",
    ROWS(_xlpm.missing)&gt;0,_xlpm.missing_string,
    TRUE,"Error"
  )
)</f>
        <v>Blank</v>
      </c>
      <c r="B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" spans="1:2" x14ac:dyDescent="0.3">
      <c r="A28" s="2" t="str" cm="1">
        <f t="array" ref="A28">_xlfn.LET(
  _xlpm.key,_xlfn.TEXTSPLIT("Email,Org,IRN,Impact",","),
  _xlpm.complete,ISBLANK(H28:K28),
  _xlpm.missing,_xlfn._xlws.FILTER(_xlpm.key,_xlpm.complete,FALSE()),
  _xlpm.missing_string,"Missing: "&amp;_xlfn.TEXTJOIN(", ",TRUE,_xlpm.missing),
  _xlfn.IFS(
    COUNTA(C28:K28)=0,"Blank",
AND(_xlpm.missing=FALSE,ROWS(_xlpm.missing)=1),"Complete",
    ROWS(_xlpm.missing)&gt;0,_xlpm.missing_string,
    TRUE,"Error"
  )
)</f>
        <v>Blank</v>
      </c>
      <c r="B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" spans="1:2" x14ac:dyDescent="0.3">
      <c r="A29" s="2" t="str" cm="1">
        <f t="array" ref="A29">_xlfn.LET(
  _xlpm.key,_xlfn.TEXTSPLIT("Email,Org,IRN,Impact",","),
  _xlpm.complete,ISBLANK(H29:K29),
  _xlpm.missing,_xlfn._xlws.FILTER(_xlpm.key,_xlpm.complete,FALSE()),
  _xlpm.missing_string,"Missing: "&amp;_xlfn.TEXTJOIN(", ",TRUE,_xlpm.missing),
  _xlfn.IFS(
    COUNTA(C29:K29)=0,"Blank",
AND(_xlpm.missing=FALSE,ROWS(_xlpm.missing)=1),"Complete",
    ROWS(_xlpm.missing)&gt;0,_xlpm.missing_string,
    TRUE,"Error"
  )
)</f>
        <v>Blank</v>
      </c>
      <c r="B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" spans="1:2" x14ac:dyDescent="0.3">
      <c r="A30" s="2" t="str" cm="1">
        <f t="array" ref="A30">_xlfn.LET(
  _xlpm.key,_xlfn.TEXTSPLIT("Email,Org,IRN,Impact",","),
  _xlpm.complete,ISBLANK(H30:K30),
  _xlpm.missing,_xlfn._xlws.FILTER(_xlpm.key,_xlpm.complete,FALSE()),
  _xlpm.missing_string,"Missing: "&amp;_xlfn.TEXTJOIN(", ",TRUE,_xlpm.missing),
  _xlfn.IFS(
    COUNTA(C30:K30)=0,"Blank",
AND(_xlpm.missing=FALSE,ROWS(_xlpm.missing)=1),"Complete",
    ROWS(_xlpm.missing)&gt;0,_xlpm.missing_string,
    TRUE,"Error"
  )
)</f>
        <v>Blank</v>
      </c>
      <c r="B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" spans="1:2" x14ac:dyDescent="0.3">
      <c r="A31" s="2" t="str" cm="1">
        <f t="array" ref="A31">_xlfn.LET(
  _xlpm.key,_xlfn.TEXTSPLIT("Email,Org,IRN,Impact",","),
  _xlpm.complete,ISBLANK(H31:K31),
  _xlpm.missing,_xlfn._xlws.FILTER(_xlpm.key,_xlpm.complete,FALSE()),
  _xlpm.missing_string,"Missing: "&amp;_xlfn.TEXTJOIN(", ",TRUE,_xlpm.missing),
  _xlfn.IFS(
    COUNTA(C31:K31)=0,"Blank",
AND(_xlpm.missing=FALSE,ROWS(_xlpm.missing)=1),"Complete",
    ROWS(_xlpm.missing)&gt;0,_xlpm.missing_string,
    TRUE,"Error"
  )
)</f>
        <v>Blank</v>
      </c>
      <c r="B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" spans="1:2" x14ac:dyDescent="0.3">
      <c r="A32" s="2" t="str" cm="1">
        <f t="array" ref="A32">_xlfn.LET(
  _xlpm.key,_xlfn.TEXTSPLIT("Email,Org,IRN,Impact",","),
  _xlpm.complete,ISBLANK(H32:K32),
  _xlpm.missing,_xlfn._xlws.FILTER(_xlpm.key,_xlpm.complete,FALSE()),
  _xlpm.missing_string,"Missing: "&amp;_xlfn.TEXTJOIN(", ",TRUE,_xlpm.missing),
  _xlfn.IFS(
    COUNTA(C32:K32)=0,"Blank",
AND(_xlpm.missing=FALSE,ROWS(_xlpm.missing)=1),"Complete",
    ROWS(_xlpm.missing)&gt;0,_xlpm.missing_string,
    TRUE,"Error"
  )
)</f>
        <v>Blank</v>
      </c>
      <c r="B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" spans="1:2" x14ac:dyDescent="0.3">
      <c r="A33" s="2" t="str" cm="1">
        <f t="array" ref="A33">_xlfn.LET(
  _xlpm.key,_xlfn.TEXTSPLIT("Email,Org,IRN,Impact",","),
  _xlpm.complete,ISBLANK(H33:K33),
  _xlpm.missing,_xlfn._xlws.FILTER(_xlpm.key,_xlpm.complete,FALSE()),
  _xlpm.missing_string,"Missing: "&amp;_xlfn.TEXTJOIN(", ",TRUE,_xlpm.missing),
  _xlfn.IFS(
    COUNTA(C33:K33)=0,"Blank",
AND(_xlpm.missing=FALSE,ROWS(_xlpm.missing)=1),"Complete",
    ROWS(_xlpm.missing)&gt;0,_xlpm.missing_string,
    TRUE,"Error"
  )
)</f>
        <v>Blank</v>
      </c>
      <c r="B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" spans="1:2" x14ac:dyDescent="0.3">
      <c r="A34" s="2" t="str" cm="1">
        <f t="array" ref="A34">_xlfn.LET(
  _xlpm.key,_xlfn.TEXTSPLIT("Email,Org,IRN,Impact",","),
  _xlpm.complete,ISBLANK(H34:K34),
  _xlpm.missing,_xlfn._xlws.FILTER(_xlpm.key,_xlpm.complete,FALSE()),
  _xlpm.missing_string,"Missing: "&amp;_xlfn.TEXTJOIN(", ",TRUE,_xlpm.missing),
  _xlfn.IFS(
    COUNTA(C34:K34)=0,"Blank",
AND(_xlpm.missing=FALSE,ROWS(_xlpm.missing)=1),"Complete",
    ROWS(_xlpm.missing)&gt;0,_xlpm.missing_string,
    TRUE,"Error"
  )
)</f>
        <v>Blank</v>
      </c>
      <c r="B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" spans="1:2" x14ac:dyDescent="0.3">
      <c r="A35" s="2" t="str" cm="1">
        <f t="array" ref="A35">_xlfn.LET(
  _xlpm.key,_xlfn.TEXTSPLIT("Email,Org,IRN,Impact",","),
  _xlpm.complete,ISBLANK(H35:K35),
  _xlpm.missing,_xlfn._xlws.FILTER(_xlpm.key,_xlpm.complete,FALSE()),
  _xlpm.missing_string,"Missing: "&amp;_xlfn.TEXTJOIN(", ",TRUE,_xlpm.missing),
  _xlfn.IFS(
    COUNTA(C35:K35)=0,"Blank",
AND(_xlpm.missing=FALSE,ROWS(_xlpm.missing)=1),"Complete",
    ROWS(_xlpm.missing)&gt;0,_xlpm.missing_string,
    TRUE,"Error"
  )
)</f>
        <v>Blank</v>
      </c>
      <c r="B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" spans="1:2" x14ac:dyDescent="0.3">
      <c r="A36" s="2" t="str" cm="1">
        <f t="array" ref="A36">_xlfn.LET(
  _xlpm.key,_xlfn.TEXTSPLIT("Email,Org,IRN,Impact",","),
  _xlpm.complete,ISBLANK(H36:K36),
  _xlpm.missing,_xlfn._xlws.FILTER(_xlpm.key,_xlpm.complete,FALSE()),
  _xlpm.missing_string,"Missing: "&amp;_xlfn.TEXTJOIN(", ",TRUE,_xlpm.missing),
  _xlfn.IFS(
    COUNTA(C36:K36)=0,"Blank",
AND(_xlpm.missing=FALSE,ROWS(_xlpm.missing)=1),"Complete",
    ROWS(_xlpm.missing)&gt;0,_xlpm.missing_string,
    TRUE,"Error"
  )
)</f>
        <v>Blank</v>
      </c>
      <c r="B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" spans="1:2" x14ac:dyDescent="0.3">
      <c r="A37" s="2" t="str" cm="1">
        <f t="array" ref="A37">_xlfn.LET(
  _xlpm.key,_xlfn.TEXTSPLIT("Email,Org,IRN,Impact",","),
  _xlpm.complete,ISBLANK(H37:K37),
  _xlpm.missing,_xlfn._xlws.FILTER(_xlpm.key,_xlpm.complete,FALSE()),
  _xlpm.missing_string,"Missing: "&amp;_xlfn.TEXTJOIN(", ",TRUE,_xlpm.missing),
  _xlfn.IFS(
    COUNTA(C37:K37)=0,"Blank",
AND(_xlpm.missing=FALSE,ROWS(_xlpm.missing)=1),"Complete",
    ROWS(_xlpm.missing)&gt;0,_xlpm.missing_string,
    TRUE,"Error"
  )
)</f>
        <v>Blank</v>
      </c>
      <c r="B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" spans="1:2" x14ac:dyDescent="0.3">
      <c r="A38" s="2" t="str" cm="1">
        <f t="array" ref="A38">_xlfn.LET(
  _xlpm.key,_xlfn.TEXTSPLIT("Email,Org,IRN,Impact",","),
  _xlpm.complete,ISBLANK(H38:K38),
  _xlpm.missing,_xlfn._xlws.FILTER(_xlpm.key,_xlpm.complete,FALSE()),
  _xlpm.missing_string,"Missing: "&amp;_xlfn.TEXTJOIN(", ",TRUE,_xlpm.missing),
  _xlfn.IFS(
    COUNTA(C38:K38)=0,"Blank",
AND(_xlpm.missing=FALSE,ROWS(_xlpm.missing)=1),"Complete",
    ROWS(_xlpm.missing)&gt;0,_xlpm.missing_string,
    TRUE,"Error"
  )
)</f>
        <v>Blank</v>
      </c>
      <c r="B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" spans="1:2" x14ac:dyDescent="0.3">
      <c r="A39" s="2" t="str" cm="1">
        <f t="array" ref="A39">_xlfn.LET(
  _xlpm.key,_xlfn.TEXTSPLIT("Email,Org,IRN,Impact",","),
  _xlpm.complete,ISBLANK(H39:K39),
  _xlpm.missing,_xlfn._xlws.FILTER(_xlpm.key,_xlpm.complete,FALSE()),
  _xlpm.missing_string,"Missing: "&amp;_xlfn.TEXTJOIN(", ",TRUE,_xlpm.missing),
  _xlfn.IFS(
    COUNTA(C39:K39)=0,"Blank",
AND(_xlpm.missing=FALSE,ROWS(_xlpm.missing)=1),"Complete",
    ROWS(_xlpm.missing)&gt;0,_xlpm.missing_string,
    TRUE,"Error"
  )
)</f>
        <v>Blank</v>
      </c>
      <c r="B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" spans="1:2" x14ac:dyDescent="0.3">
      <c r="A40" s="2" t="str" cm="1">
        <f t="array" ref="A40">_xlfn.LET(
  _xlpm.key,_xlfn.TEXTSPLIT("Email,Org,IRN,Impact",","),
  _xlpm.complete,ISBLANK(H40:K40),
  _xlpm.missing,_xlfn._xlws.FILTER(_xlpm.key,_xlpm.complete,FALSE()),
  _xlpm.missing_string,"Missing: "&amp;_xlfn.TEXTJOIN(", ",TRUE,_xlpm.missing),
  _xlfn.IFS(
    COUNTA(C40:K40)=0,"Blank",
AND(_xlpm.missing=FALSE,ROWS(_xlpm.missing)=1),"Complete",
    ROWS(_xlpm.missing)&gt;0,_xlpm.missing_string,
    TRUE,"Error"
  )
)</f>
        <v>Blank</v>
      </c>
      <c r="B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" spans="1:2" x14ac:dyDescent="0.3">
      <c r="A41" s="2" t="str" cm="1">
        <f t="array" ref="A41">_xlfn.LET(
  _xlpm.key,_xlfn.TEXTSPLIT("Email,Org,IRN,Impact",","),
  _xlpm.complete,ISBLANK(H41:K41),
  _xlpm.missing,_xlfn._xlws.FILTER(_xlpm.key,_xlpm.complete,FALSE()),
  _xlpm.missing_string,"Missing: "&amp;_xlfn.TEXTJOIN(", ",TRUE,_xlpm.missing),
  _xlfn.IFS(
    COUNTA(C41:K41)=0,"Blank",
AND(_xlpm.missing=FALSE,ROWS(_xlpm.missing)=1),"Complete",
    ROWS(_xlpm.missing)&gt;0,_xlpm.missing_string,
    TRUE,"Error"
  )
)</f>
        <v>Blank</v>
      </c>
      <c r="B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" spans="1:2" x14ac:dyDescent="0.3">
      <c r="A42" s="2" t="str" cm="1">
        <f t="array" ref="A42">_xlfn.LET(
  _xlpm.key,_xlfn.TEXTSPLIT("Email,Org,IRN,Impact",","),
  _xlpm.complete,ISBLANK(H42:K42),
  _xlpm.missing,_xlfn._xlws.FILTER(_xlpm.key,_xlpm.complete,FALSE()),
  _xlpm.missing_string,"Missing: "&amp;_xlfn.TEXTJOIN(", ",TRUE,_xlpm.missing),
  _xlfn.IFS(
    COUNTA(C42:K42)=0,"Blank",
AND(_xlpm.missing=FALSE,ROWS(_xlpm.missing)=1),"Complete",
    ROWS(_xlpm.missing)&gt;0,_xlpm.missing_string,
    TRUE,"Error"
  )
)</f>
        <v>Blank</v>
      </c>
      <c r="B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" spans="1:2" x14ac:dyDescent="0.3">
      <c r="A43" s="2" t="str" cm="1">
        <f t="array" ref="A43">_xlfn.LET(
  _xlpm.key,_xlfn.TEXTSPLIT("Email,Org,IRN,Impact",","),
  _xlpm.complete,ISBLANK(H43:K43),
  _xlpm.missing,_xlfn._xlws.FILTER(_xlpm.key,_xlpm.complete,FALSE()),
  _xlpm.missing_string,"Missing: "&amp;_xlfn.TEXTJOIN(", ",TRUE,_xlpm.missing),
  _xlfn.IFS(
    COUNTA(C43:K43)=0,"Blank",
AND(_xlpm.missing=FALSE,ROWS(_xlpm.missing)=1),"Complete",
    ROWS(_xlpm.missing)&gt;0,_xlpm.missing_string,
    TRUE,"Error"
  )
)</f>
        <v>Blank</v>
      </c>
      <c r="B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" spans="1:2" x14ac:dyDescent="0.3">
      <c r="A44" s="2" t="str" cm="1">
        <f t="array" ref="A44">_xlfn.LET(
  _xlpm.key,_xlfn.TEXTSPLIT("Email,Org,IRN,Impact",","),
  _xlpm.complete,ISBLANK(H44:K44),
  _xlpm.missing,_xlfn._xlws.FILTER(_xlpm.key,_xlpm.complete,FALSE()),
  _xlpm.missing_string,"Missing: "&amp;_xlfn.TEXTJOIN(", ",TRUE,_xlpm.missing),
  _xlfn.IFS(
    COUNTA(C44:K44)=0,"Blank",
AND(_xlpm.missing=FALSE,ROWS(_xlpm.missing)=1),"Complete",
    ROWS(_xlpm.missing)&gt;0,_xlpm.missing_string,
    TRUE,"Error"
  )
)</f>
        <v>Blank</v>
      </c>
      <c r="B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" spans="1:2" x14ac:dyDescent="0.3">
      <c r="A45" s="2" t="str" cm="1">
        <f t="array" ref="A45">_xlfn.LET(
  _xlpm.key,_xlfn.TEXTSPLIT("Email,Org,IRN,Impact",","),
  _xlpm.complete,ISBLANK(H45:K45),
  _xlpm.missing,_xlfn._xlws.FILTER(_xlpm.key,_xlpm.complete,FALSE()),
  _xlpm.missing_string,"Missing: "&amp;_xlfn.TEXTJOIN(", ",TRUE,_xlpm.missing),
  _xlfn.IFS(
    COUNTA(C45:K45)=0,"Blank",
AND(_xlpm.missing=FALSE,ROWS(_xlpm.missing)=1),"Complete",
    ROWS(_xlpm.missing)&gt;0,_xlpm.missing_string,
    TRUE,"Error"
  )
)</f>
        <v>Blank</v>
      </c>
      <c r="B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" spans="1:2" x14ac:dyDescent="0.3">
      <c r="A46" s="2" t="str" cm="1">
        <f t="array" ref="A46">_xlfn.LET(
  _xlpm.key,_xlfn.TEXTSPLIT("Email,Org,IRN,Impact",","),
  _xlpm.complete,ISBLANK(H46:K46),
  _xlpm.missing,_xlfn._xlws.FILTER(_xlpm.key,_xlpm.complete,FALSE()),
  _xlpm.missing_string,"Missing: "&amp;_xlfn.TEXTJOIN(", ",TRUE,_xlpm.missing),
  _xlfn.IFS(
    COUNTA(C46:K46)=0,"Blank",
AND(_xlpm.missing=FALSE,ROWS(_xlpm.missing)=1),"Complete",
    ROWS(_xlpm.missing)&gt;0,_xlpm.missing_string,
    TRUE,"Error"
  )
)</f>
        <v>Blank</v>
      </c>
      <c r="B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" spans="1:2" x14ac:dyDescent="0.3">
      <c r="A47" s="2" t="str" cm="1">
        <f t="array" ref="A47">_xlfn.LET(
  _xlpm.key,_xlfn.TEXTSPLIT("Email,Org,IRN,Impact",","),
  _xlpm.complete,ISBLANK(H47:K47),
  _xlpm.missing,_xlfn._xlws.FILTER(_xlpm.key,_xlpm.complete,FALSE()),
  _xlpm.missing_string,"Missing: "&amp;_xlfn.TEXTJOIN(", ",TRUE,_xlpm.missing),
  _xlfn.IFS(
    COUNTA(C47:K47)=0,"Blank",
AND(_xlpm.missing=FALSE,ROWS(_xlpm.missing)=1),"Complete",
    ROWS(_xlpm.missing)&gt;0,_xlpm.missing_string,
    TRUE,"Error"
  )
)</f>
        <v>Blank</v>
      </c>
      <c r="B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" spans="1:2" x14ac:dyDescent="0.3">
      <c r="A48" s="2" t="str" cm="1">
        <f t="array" ref="A48">_xlfn.LET(
  _xlpm.key,_xlfn.TEXTSPLIT("Email,Org,IRN,Impact",","),
  _xlpm.complete,ISBLANK(H48:K48),
  _xlpm.missing,_xlfn._xlws.FILTER(_xlpm.key,_xlpm.complete,FALSE()),
  _xlpm.missing_string,"Missing: "&amp;_xlfn.TEXTJOIN(", ",TRUE,_xlpm.missing),
  _xlfn.IFS(
    COUNTA(C48:K48)=0,"Blank",
AND(_xlpm.missing=FALSE,ROWS(_xlpm.missing)=1),"Complete",
    ROWS(_xlpm.missing)&gt;0,_xlpm.missing_string,
    TRUE,"Error"
  )
)</f>
        <v>Blank</v>
      </c>
      <c r="B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" spans="1:2" x14ac:dyDescent="0.3">
      <c r="A49" s="2" t="str" cm="1">
        <f t="array" ref="A49">_xlfn.LET(
  _xlpm.key,_xlfn.TEXTSPLIT("Email,Org,IRN,Impact",","),
  _xlpm.complete,ISBLANK(H49:K49),
  _xlpm.missing,_xlfn._xlws.FILTER(_xlpm.key,_xlpm.complete,FALSE()),
  _xlpm.missing_string,"Missing: "&amp;_xlfn.TEXTJOIN(", ",TRUE,_xlpm.missing),
  _xlfn.IFS(
    COUNTA(C49:K49)=0,"Blank",
AND(_xlpm.missing=FALSE,ROWS(_xlpm.missing)=1),"Complete",
    ROWS(_xlpm.missing)&gt;0,_xlpm.missing_string,
    TRUE,"Error"
  )
)</f>
        <v>Blank</v>
      </c>
      <c r="B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" spans="1:2" x14ac:dyDescent="0.3">
      <c r="A50" s="2" t="str" cm="1">
        <f t="array" ref="A50">_xlfn.LET(
  _xlpm.key,_xlfn.TEXTSPLIT("Email,Org,IRN,Impact",","),
  _xlpm.complete,ISBLANK(H50:K50),
  _xlpm.missing,_xlfn._xlws.FILTER(_xlpm.key,_xlpm.complete,FALSE()),
  _xlpm.missing_string,"Missing: "&amp;_xlfn.TEXTJOIN(", ",TRUE,_xlpm.missing),
  _xlfn.IFS(
    COUNTA(C50:K50)=0,"Blank",
AND(_xlpm.missing=FALSE,ROWS(_xlpm.missing)=1),"Complete",
    ROWS(_xlpm.missing)&gt;0,_xlpm.missing_string,
    TRUE,"Error"
  )
)</f>
        <v>Blank</v>
      </c>
      <c r="B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" spans="1:2" x14ac:dyDescent="0.3">
      <c r="A51" s="2" t="str" cm="1">
        <f t="array" ref="A51">_xlfn.LET(
  _xlpm.key,_xlfn.TEXTSPLIT("Email,Org,IRN,Impact",","),
  _xlpm.complete,ISBLANK(H51:K51),
  _xlpm.missing,_xlfn._xlws.FILTER(_xlpm.key,_xlpm.complete,FALSE()),
  _xlpm.missing_string,"Missing: "&amp;_xlfn.TEXTJOIN(", ",TRUE,_xlpm.missing),
  _xlfn.IFS(
    COUNTA(C51:K51)=0,"Blank",
AND(_xlpm.missing=FALSE,ROWS(_xlpm.missing)=1),"Complete",
    ROWS(_xlpm.missing)&gt;0,_xlpm.missing_string,
    TRUE,"Error"
  )
)</f>
        <v>Blank</v>
      </c>
      <c r="B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" spans="1:2" x14ac:dyDescent="0.3">
      <c r="A52" s="2" t="str" cm="1">
        <f t="array" ref="A52">_xlfn.LET(
  _xlpm.key,_xlfn.TEXTSPLIT("Email,Org,IRN,Impact",","),
  _xlpm.complete,ISBLANK(H52:K52),
  _xlpm.missing,_xlfn._xlws.FILTER(_xlpm.key,_xlpm.complete,FALSE()),
  _xlpm.missing_string,"Missing: "&amp;_xlfn.TEXTJOIN(", ",TRUE,_xlpm.missing),
  _xlfn.IFS(
    COUNTA(C52:K52)=0,"Blank",
AND(_xlpm.missing=FALSE,ROWS(_xlpm.missing)=1),"Complete",
    ROWS(_xlpm.missing)&gt;0,_xlpm.missing_string,
    TRUE,"Error"
  )
)</f>
        <v>Blank</v>
      </c>
      <c r="B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" spans="1:2" x14ac:dyDescent="0.3">
      <c r="A53" s="2" t="str" cm="1">
        <f t="array" ref="A53">_xlfn.LET(
  _xlpm.key,_xlfn.TEXTSPLIT("Email,Org,IRN,Impact",","),
  _xlpm.complete,ISBLANK(H53:K53),
  _xlpm.missing,_xlfn._xlws.FILTER(_xlpm.key,_xlpm.complete,FALSE()),
  _xlpm.missing_string,"Missing: "&amp;_xlfn.TEXTJOIN(", ",TRUE,_xlpm.missing),
  _xlfn.IFS(
    COUNTA(C53:K53)=0,"Blank",
AND(_xlpm.missing=FALSE,ROWS(_xlpm.missing)=1),"Complete",
    ROWS(_xlpm.missing)&gt;0,_xlpm.missing_string,
    TRUE,"Error"
  )
)</f>
        <v>Blank</v>
      </c>
      <c r="B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" spans="1:2" x14ac:dyDescent="0.3">
      <c r="A54" s="2" t="str" cm="1">
        <f t="array" ref="A54">_xlfn.LET(
  _xlpm.key,_xlfn.TEXTSPLIT("Email,Org,IRN,Impact",","),
  _xlpm.complete,ISBLANK(H54:K54),
  _xlpm.missing,_xlfn._xlws.FILTER(_xlpm.key,_xlpm.complete,FALSE()),
  _xlpm.missing_string,"Missing: "&amp;_xlfn.TEXTJOIN(", ",TRUE,_xlpm.missing),
  _xlfn.IFS(
    COUNTA(C54:K54)=0,"Blank",
AND(_xlpm.missing=FALSE,ROWS(_xlpm.missing)=1),"Complete",
    ROWS(_xlpm.missing)&gt;0,_xlpm.missing_string,
    TRUE,"Error"
  )
)</f>
        <v>Blank</v>
      </c>
      <c r="B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" spans="1:2" x14ac:dyDescent="0.3">
      <c r="A55" s="2" t="str" cm="1">
        <f t="array" ref="A55">_xlfn.LET(
  _xlpm.key,_xlfn.TEXTSPLIT("Email,Org,IRN,Impact",","),
  _xlpm.complete,ISBLANK(H55:K55),
  _xlpm.missing,_xlfn._xlws.FILTER(_xlpm.key,_xlpm.complete,FALSE()),
  _xlpm.missing_string,"Missing: "&amp;_xlfn.TEXTJOIN(", ",TRUE,_xlpm.missing),
  _xlfn.IFS(
    COUNTA(C55:K55)=0,"Blank",
AND(_xlpm.missing=FALSE,ROWS(_xlpm.missing)=1),"Complete",
    ROWS(_xlpm.missing)&gt;0,_xlpm.missing_string,
    TRUE,"Error"
  )
)</f>
        <v>Blank</v>
      </c>
      <c r="B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" spans="1:2" x14ac:dyDescent="0.3">
      <c r="A56" s="2" t="str" cm="1">
        <f t="array" ref="A56">_xlfn.LET(
  _xlpm.key,_xlfn.TEXTSPLIT("Email,Org,IRN,Impact",","),
  _xlpm.complete,ISBLANK(H56:K56),
  _xlpm.missing,_xlfn._xlws.FILTER(_xlpm.key,_xlpm.complete,FALSE()),
  _xlpm.missing_string,"Missing: "&amp;_xlfn.TEXTJOIN(", ",TRUE,_xlpm.missing),
  _xlfn.IFS(
    COUNTA(C56:K56)=0,"Blank",
AND(_xlpm.missing=FALSE,ROWS(_xlpm.missing)=1),"Complete",
    ROWS(_xlpm.missing)&gt;0,_xlpm.missing_string,
    TRUE,"Error"
  )
)</f>
        <v>Blank</v>
      </c>
      <c r="B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" spans="1:2" x14ac:dyDescent="0.3">
      <c r="A57" s="2" t="str" cm="1">
        <f t="array" ref="A57">_xlfn.LET(
  _xlpm.key,_xlfn.TEXTSPLIT("Email,Org,IRN,Impact",","),
  _xlpm.complete,ISBLANK(H57:K57),
  _xlpm.missing,_xlfn._xlws.FILTER(_xlpm.key,_xlpm.complete,FALSE()),
  _xlpm.missing_string,"Missing: "&amp;_xlfn.TEXTJOIN(", ",TRUE,_xlpm.missing),
  _xlfn.IFS(
    COUNTA(C57:K57)=0,"Blank",
AND(_xlpm.missing=FALSE,ROWS(_xlpm.missing)=1),"Complete",
    ROWS(_xlpm.missing)&gt;0,_xlpm.missing_string,
    TRUE,"Error"
  )
)</f>
        <v>Blank</v>
      </c>
      <c r="B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" spans="1:2" x14ac:dyDescent="0.3">
      <c r="A58" s="2" t="str" cm="1">
        <f t="array" ref="A58">_xlfn.LET(
  _xlpm.key,_xlfn.TEXTSPLIT("Email,Org,IRN,Impact",","),
  _xlpm.complete,ISBLANK(H58:K58),
  _xlpm.missing,_xlfn._xlws.FILTER(_xlpm.key,_xlpm.complete,FALSE()),
  _xlpm.missing_string,"Missing: "&amp;_xlfn.TEXTJOIN(", ",TRUE,_xlpm.missing),
  _xlfn.IFS(
    COUNTA(C58:K58)=0,"Blank",
AND(_xlpm.missing=FALSE,ROWS(_xlpm.missing)=1),"Complete",
    ROWS(_xlpm.missing)&gt;0,_xlpm.missing_string,
    TRUE,"Error"
  )
)</f>
        <v>Blank</v>
      </c>
      <c r="B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" spans="1:2" x14ac:dyDescent="0.3">
      <c r="A59" s="2" t="str" cm="1">
        <f t="array" ref="A59">_xlfn.LET(
  _xlpm.key,_xlfn.TEXTSPLIT("Email,Org,IRN,Impact",","),
  _xlpm.complete,ISBLANK(H59:K59),
  _xlpm.missing,_xlfn._xlws.FILTER(_xlpm.key,_xlpm.complete,FALSE()),
  _xlpm.missing_string,"Missing: "&amp;_xlfn.TEXTJOIN(", ",TRUE,_xlpm.missing),
  _xlfn.IFS(
    COUNTA(C59:K59)=0,"Blank",
AND(_xlpm.missing=FALSE,ROWS(_xlpm.missing)=1),"Complete",
    ROWS(_xlpm.missing)&gt;0,_xlpm.missing_string,
    TRUE,"Error"
  )
)</f>
        <v>Blank</v>
      </c>
      <c r="B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" spans="1:2" x14ac:dyDescent="0.3">
      <c r="A60" s="2" t="str" cm="1">
        <f t="array" ref="A60">_xlfn.LET(
  _xlpm.key,_xlfn.TEXTSPLIT("Email,Org,IRN,Impact",","),
  _xlpm.complete,ISBLANK(H60:K60),
  _xlpm.missing,_xlfn._xlws.FILTER(_xlpm.key,_xlpm.complete,FALSE()),
  _xlpm.missing_string,"Missing: "&amp;_xlfn.TEXTJOIN(", ",TRUE,_xlpm.missing),
  _xlfn.IFS(
    COUNTA(C60:K60)=0,"Blank",
AND(_xlpm.missing=FALSE,ROWS(_xlpm.missing)=1),"Complete",
    ROWS(_xlpm.missing)&gt;0,_xlpm.missing_string,
    TRUE,"Error"
  )
)</f>
        <v>Blank</v>
      </c>
      <c r="B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" spans="1:2" x14ac:dyDescent="0.3">
      <c r="A61" s="2" t="str" cm="1">
        <f t="array" ref="A61">_xlfn.LET(
  _xlpm.key,_xlfn.TEXTSPLIT("Email,Org,IRN,Impact",","),
  _xlpm.complete,ISBLANK(H61:K61),
  _xlpm.missing,_xlfn._xlws.FILTER(_xlpm.key,_xlpm.complete,FALSE()),
  _xlpm.missing_string,"Missing: "&amp;_xlfn.TEXTJOIN(", ",TRUE,_xlpm.missing),
  _xlfn.IFS(
    COUNTA(C61:K61)=0,"Blank",
AND(_xlpm.missing=FALSE,ROWS(_xlpm.missing)=1),"Complete",
    ROWS(_xlpm.missing)&gt;0,_xlpm.missing_string,
    TRUE,"Error"
  )
)</f>
        <v>Blank</v>
      </c>
      <c r="B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" spans="1:2" x14ac:dyDescent="0.3">
      <c r="A62" s="2" t="str" cm="1">
        <f t="array" ref="A62">_xlfn.LET(
  _xlpm.key,_xlfn.TEXTSPLIT("Email,Org,IRN,Impact",","),
  _xlpm.complete,ISBLANK(H62:K62),
  _xlpm.missing,_xlfn._xlws.FILTER(_xlpm.key,_xlpm.complete,FALSE()),
  _xlpm.missing_string,"Missing: "&amp;_xlfn.TEXTJOIN(", ",TRUE,_xlpm.missing),
  _xlfn.IFS(
    COUNTA(C62:K62)=0,"Blank",
AND(_xlpm.missing=FALSE,ROWS(_xlpm.missing)=1),"Complete",
    ROWS(_xlpm.missing)&gt;0,_xlpm.missing_string,
    TRUE,"Error"
  )
)</f>
        <v>Blank</v>
      </c>
      <c r="B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" spans="1:2" x14ac:dyDescent="0.3">
      <c r="A63" s="2" t="str" cm="1">
        <f t="array" ref="A63">_xlfn.LET(
  _xlpm.key,_xlfn.TEXTSPLIT("Email,Org,IRN,Impact",","),
  _xlpm.complete,ISBLANK(H63:K63),
  _xlpm.missing,_xlfn._xlws.FILTER(_xlpm.key,_xlpm.complete,FALSE()),
  _xlpm.missing_string,"Missing: "&amp;_xlfn.TEXTJOIN(", ",TRUE,_xlpm.missing),
  _xlfn.IFS(
    COUNTA(C63:K63)=0,"Blank",
AND(_xlpm.missing=FALSE,ROWS(_xlpm.missing)=1),"Complete",
    ROWS(_xlpm.missing)&gt;0,_xlpm.missing_string,
    TRUE,"Error"
  )
)</f>
        <v>Blank</v>
      </c>
      <c r="B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" spans="1:2" x14ac:dyDescent="0.3">
      <c r="A64" s="2" t="str" cm="1">
        <f t="array" ref="A64">_xlfn.LET(
  _xlpm.key,_xlfn.TEXTSPLIT("Email,Org,IRN,Impact",","),
  _xlpm.complete,ISBLANK(H64:K64),
  _xlpm.missing,_xlfn._xlws.FILTER(_xlpm.key,_xlpm.complete,FALSE()),
  _xlpm.missing_string,"Missing: "&amp;_xlfn.TEXTJOIN(", ",TRUE,_xlpm.missing),
  _xlfn.IFS(
    COUNTA(C64:K64)=0,"Blank",
AND(_xlpm.missing=FALSE,ROWS(_xlpm.missing)=1),"Complete",
    ROWS(_xlpm.missing)&gt;0,_xlpm.missing_string,
    TRUE,"Error"
  )
)</f>
        <v>Blank</v>
      </c>
      <c r="B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" spans="1:2" x14ac:dyDescent="0.3">
      <c r="A65" s="2" t="str" cm="1">
        <f t="array" ref="A65">_xlfn.LET(
  _xlpm.key,_xlfn.TEXTSPLIT("Email,Org,IRN,Impact",","),
  _xlpm.complete,ISBLANK(H65:K65),
  _xlpm.missing,_xlfn._xlws.FILTER(_xlpm.key,_xlpm.complete,FALSE()),
  _xlpm.missing_string,"Missing: "&amp;_xlfn.TEXTJOIN(", ",TRUE,_xlpm.missing),
  _xlfn.IFS(
    COUNTA(C65:K65)=0,"Blank",
AND(_xlpm.missing=FALSE,ROWS(_xlpm.missing)=1),"Complete",
    ROWS(_xlpm.missing)&gt;0,_xlpm.missing_string,
    TRUE,"Error"
  )
)</f>
        <v>Blank</v>
      </c>
      <c r="B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" spans="1:2" x14ac:dyDescent="0.3">
      <c r="A66" s="2" t="str" cm="1">
        <f t="array" ref="A66">_xlfn.LET(
  _xlpm.key,_xlfn.TEXTSPLIT("Email,Org,IRN,Impact",","),
  _xlpm.complete,ISBLANK(H66:K66),
  _xlpm.missing,_xlfn._xlws.FILTER(_xlpm.key,_xlpm.complete,FALSE()),
  _xlpm.missing_string,"Missing: "&amp;_xlfn.TEXTJOIN(", ",TRUE,_xlpm.missing),
  _xlfn.IFS(
    COUNTA(C66:K66)=0,"Blank",
AND(_xlpm.missing=FALSE,ROWS(_xlpm.missing)=1),"Complete",
    ROWS(_xlpm.missing)&gt;0,_xlpm.missing_string,
    TRUE,"Error"
  )
)</f>
        <v>Blank</v>
      </c>
      <c r="B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" spans="1:2" x14ac:dyDescent="0.3">
      <c r="A67" s="2" t="str" cm="1">
        <f t="array" ref="A67">_xlfn.LET(
  _xlpm.key,_xlfn.TEXTSPLIT("Email,Org,IRN,Impact",","),
  _xlpm.complete,ISBLANK(H67:K67),
  _xlpm.missing,_xlfn._xlws.FILTER(_xlpm.key,_xlpm.complete,FALSE()),
  _xlpm.missing_string,"Missing: "&amp;_xlfn.TEXTJOIN(", ",TRUE,_xlpm.missing),
  _xlfn.IFS(
    COUNTA(C67:K67)=0,"Blank",
AND(_xlpm.missing=FALSE,ROWS(_xlpm.missing)=1),"Complete",
    ROWS(_xlpm.missing)&gt;0,_xlpm.missing_string,
    TRUE,"Error"
  )
)</f>
        <v>Blank</v>
      </c>
      <c r="B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" spans="1:2" x14ac:dyDescent="0.3">
      <c r="A68" s="2" t="str" cm="1">
        <f t="array" ref="A68">_xlfn.LET(
  _xlpm.key,_xlfn.TEXTSPLIT("Email,Org,IRN,Impact",","),
  _xlpm.complete,ISBLANK(H68:K68),
  _xlpm.missing,_xlfn._xlws.FILTER(_xlpm.key,_xlpm.complete,FALSE()),
  _xlpm.missing_string,"Missing: "&amp;_xlfn.TEXTJOIN(", ",TRUE,_xlpm.missing),
  _xlfn.IFS(
    COUNTA(C68:K68)=0,"Blank",
AND(_xlpm.missing=FALSE,ROWS(_xlpm.missing)=1),"Complete",
    ROWS(_xlpm.missing)&gt;0,_xlpm.missing_string,
    TRUE,"Error"
  )
)</f>
        <v>Blank</v>
      </c>
      <c r="B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" spans="1:2" x14ac:dyDescent="0.3">
      <c r="A69" s="2" t="str" cm="1">
        <f t="array" ref="A69">_xlfn.LET(
  _xlpm.key,_xlfn.TEXTSPLIT("Email,Org,IRN,Impact",","),
  _xlpm.complete,ISBLANK(H69:K69),
  _xlpm.missing,_xlfn._xlws.FILTER(_xlpm.key,_xlpm.complete,FALSE()),
  _xlpm.missing_string,"Missing: "&amp;_xlfn.TEXTJOIN(", ",TRUE,_xlpm.missing),
  _xlfn.IFS(
    COUNTA(C69:K69)=0,"Blank",
AND(_xlpm.missing=FALSE,ROWS(_xlpm.missing)=1),"Complete",
    ROWS(_xlpm.missing)&gt;0,_xlpm.missing_string,
    TRUE,"Error"
  )
)</f>
        <v>Blank</v>
      </c>
      <c r="B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" spans="1:2" x14ac:dyDescent="0.3">
      <c r="A70" s="2" t="str" cm="1">
        <f t="array" ref="A70">_xlfn.LET(
  _xlpm.key,_xlfn.TEXTSPLIT("Email,Org,IRN,Impact",","),
  _xlpm.complete,ISBLANK(H70:K70),
  _xlpm.missing,_xlfn._xlws.FILTER(_xlpm.key,_xlpm.complete,FALSE()),
  _xlpm.missing_string,"Missing: "&amp;_xlfn.TEXTJOIN(", ",TRUE,_xlpm.missing),
  _xlfn.IFS(
    COUNTA(C70:K70)=0,"Blank",
AND(_xlpm.missing=FALSE,ROWS(_xlpm.missing)=1),"Complete",
    ROWS(_xlpm.missing)&gt;0,_xlpm.missing_string,
    TRUE,"Error"
  )
)</f>
        <v>Blank</v>
      </c>
      <c r="B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" spans="1:2" x14ac:dyDescent="0.3">
      <c r="A71" s="2" t="str" cm="1">
        <f t="array" ref="A71">_xlfn.LET(
  _xlpm.key,_xlfn.TEXTSPLIT("Email,Org,IRN,Impact",","),
  _xlpm.complete,ISBLANK(H71:K71),
  _xlpm.missing,_xlfn._xlws.FILTER(_xlpm.key,_xlpm.complete,FALSE()),
  _xlpm.missing_string,"Missing: "&amp;_xlfn.TEXTJOIN(", ",TRUE,_xlpm.missing),
  _xlfn.IFS(
    COUNTA(C71:K71)=0,"Blank",
AND(_xlpm.missing=FALSE,ROWS(_xlpm.missing)=1),"Complete",
    ROWS(_xlpm.missing)&gt;0,_xlpm.missing_string,
    TRUE,"Error"
  )
)</f>
        <v>Blank</v>
      </c>
      <c r="B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" spans="1:2" x14ac:dyDescent="0.3">
      <c r="A72" s="2" t="str" cm="1">
        <f t="array" ref="A72">_xlfn.LET(
  _xlpm.key,_xlfn.TEXTSPLIT("Email,Org,IRN,Impact",","),
  _xlpm.complete,ISBLANK(H72:K72),
  _xlpm.missing,_xlfn._xlws.FILTER(_xlpm.key,_xlpm.complete,FALSE()),
  _xlpm.missing_string,"Missing: "&amp;_xlfn.TEXTJOIN(", ",TRUE,_xlpm.missing),
  _xlfn.IFS(
    COUNTA(C72:K72)=0,"Blank",
AND(_xlpm.missing=FALSE,ROWS(_xlpm.missing)=1),"Complete",
    ROWS(_xlpm.missing)&gt;0,_xlpm.missing_string,
    TRUE,"Error"
  )
)</f>
        <v>Blank</v>
      </c>
      <c r="B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" spans="1:2" x14ac:dyDescent="0.3">
      <c r="A73" s="2" t="str" cm="1">
        <f t="array" ref="A73">_xlfn.LET(
  _xlpm.key,_xlfn.TEXTSPLIT("Email,Org,IRN,Impact",","),
  _xlpm.complete,ISBLANK(H73:K73),
  _xlpm.missing,_xlfn._xlws.FILTER(_xlpm.key,_xlpm.complete,FALSE()),
  _xlpm.missing_string,"Missing: "&amp;_xlfn.TEXTJOIN(", ",TRUE,_xlpm.missing),
  _xlfn.IFS(
    COUNTA(C73:K73)=0,"Blank",
AND(_xlpm.missing=FALSE,ROWS(_xlpm.missing)=1),"Complete",
    ROWS(_xlpm.missing)&gt;0,_xlpm.missing_string,
    TRUE,"Error"
  )
)</f>
        <v>Blank</v>
      </c>
      <c r="B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" spans="1:2" x14ac:dyDescent="0.3">
      <c r="A74" s="2" t="str" cm="1">
        <f t="array" ref="A74">_xlfn.LET(
  _xlpm.key,_xlfn.TEXTSPLIT("Email,Org,IRN,Impact",","),
  _xlpm.complete,ISBLANK(H74:K74),
  _xlpm.missing,_xlfn._xlws.FILTER(_xlpm.key,_xlpm.complete,FALSE()),
  _xlpm.missing_string,"Missing: "&amp;_xlfn.TEXTJOIN(", ",TRUE,_xlpm.missing),
  _xlfn.IFS(
    COUNTA(C74:K74)=0,"Blank",
AND(_xlpm.missing=FALSE,ROWS(_xlpm.missing)=1),"Complete",
    ROWS(_xlpm.missing)&gt;0,_xlpm.missing_string,
    TRUE,"Error"
  )
)</f>
        <v>Blank</v>
      </c>
      <c r="B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" spans="1:2" x14ac:dyDescent="0.3">
      <c r="A75" s="2" t="str" cm="1">
        <f t="array" ref="A75">_xlfn.LET(
  _xlpm.key,_xlfn.TEXTSPLIT("Email,Org,IRN,Impact",","),
  _xlpm.complete,ISBLANK(H75:K75),
  _xlpm.missing,_xlfn._xlws.FILTER(_xlpm.key,_xlpm.complete,FALSE()),
  _xlpm.missing_string,"Missing: "&amp;_xlfn.TEXTJOIN(", ",TRUE,_xlpm.missing),
  _xlfn.IFS(
    COUNTA(C75:K75)=0,"Blank",
AND(_xlpm.missing=FALSE,ROWS(_xlpm.missing)=1),"Complete",
    ROWS(_xlpm.missing)&gt;0,_xlpm.missing_string,
    TRUE,"Error"
  )
)</f>
        <v>Blank</v>
      </c>
      <c r="B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" spans="1:2" x14ac:dyDescent="0.3">
      <c r="A76" s="2" t="str" cm="1">
        <f t="array" ref="A76">_xlfn.LET(
  _xlpm.key,_xlfn.TEXTSPLIT("Email,Org,IRN,Impact",","),
  _xlpm.complete,ISBLANK(H76:K76),
  _xlpm.missing,_xlfn._xlws.FILTER(_xlpm.key,_xlpm.complete,FALSE()),
  _xlpm.missing_string,"Missing: "&amp;_xlfn.TEXTJOIN(", ",TRUE,_xlpm.missing),
  _xlfn.IFS(
    COUNTA(C76:K76)=0,"Blank",
AND(_xlpm.missing=FALSE,ROWS(_xlpm.missing)=1),"Complete",
    ROWS(_xlpm.missing)&gt;0,_xlpm.missing_string,
    TRUE,"Error"
  )
)</f>
        <v>Blank</v>
      </c>
      <c r="B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" spans="1:2" x14ac:dyDescent="0.3">
      <c r="A77" s="2" t="str" cm="1">
        <f t="array" ref="A77">_xlfn.LET(
  _xlpm.key,_xlfn.TEXTSPLIT("Email,Org,IRN,Impact",","),
  _xlpm.complete,ISBLANK(H77:K77),
  _xlpm.missing,_xlfn._xlws.FILTER(_xlpm.key,_xlpm.complete,FALSE()),
  _xlpm.missing_string,"Missing: "&amp;_xlfn.TEXTJOIN(", ",TRUE,_xlpm.missing),
  _xlfn.IFS(
    COUNTA(C77:K77)=0,"Blank",
AND(_xlpm.missing=FALSE,ROWS(_xlpm.missing)=1),"Complete",
    ROWS(_xlpm.missing)&gt;0,_xlpm.missing_string,
    TRUE,"Error"
  )
)</f>
        <v>Blank</v>
      </c>
      <c r="B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" spans="1:2" x14ac:dyDescent="0.3">
      <c r="A78" s="2" t="str" cm="1">
        <f t="array" ref="A78">_xlfn.LET(
  _xlpm.key,_xlfn.TEXTSPLIT("Email,Org,IRN,Impact",","),
  _xlpm.complete,ISBLANK(H78:K78),
  _xlpm.missing,_xlfn._xlws.FILTER(_xlpm.key,_xlpm.complete,FALSE()),
  _xlpm.missing_string,"Missing: "&amp;_xlfn.TEXTJOIN(", ",TRUE,_xlpm.missing),
  _xlfn.IFS(
    COUNTA(C78:K78)=0,"Blank",
AND(_xlpm.missing=FALSE,ROWS(_xlpm.missing)=1),"Complete",
    ROWS(_xlpm.missing)&gt;0,_xlpm.missing_string,
    TRUE,"Error"
  )
)</f>
        <v>Blank</v>
      </c>
      <c r="B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" spans="1:2" x14ac:dyDescent="0.3">
      <c r="A79" s="2" t="str" cm="1">
        <f t="array" ref="A79">_xlfn.LET(
  _xlpm.key,_xlfn.TEXTSPLIT("Email,Org,IRN,Impact",","),
  _xlpm.complete,ISBLANK(H79:K79),
  _xlpm.missing,_xlfn._xlws.FILTER(_xlpm.key,_xlpm.complete,FALSE()),
  _xlpm.missing_string,"Missing: "&amp;_xlfn.TEXTJOIN(", ",TRUE,_xlpm.missing),
  _xlfn.IFS(
    COUNTA(C79:K79)=0,"Blank",
AND(_xlpm.missing=FALSE,ROWS(_xlpm.missing)=1),"Complete",
    ROWS(_xlpm.missing)&gt;0,_xlpm.missing_string,
    TRUE,"Error"
  )
)</f>
        <v>Blank</v>
      </c>
      <c r="B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" spans="1:2" x14ac:dyDescent="0.3">
      <c r="A80" s="2" t="str" cm="1">
        <f t="array" ref="A80">_xlfn.LET(
  _xlpm.key,_xlfn.TEXTSPLIT("Email,Org,IRN,Impact",","),
  _xlpm.complete,ISBLANK(H80:K80),
  _xlpm.missing,_xlfn._xlws.FILTER(_xlpm.key,_xlpm.complete,FALSE()),
  _xlpm.missing_string,"Missing: "&amp;_xlfn.TEXTJOIN(", ",TRUE,_xlpm.missing),
  _xlfn.IFS(
    COUNTA(C80:K80)=0,"Blank",
AND(_xlpm.missing=FALSE,ROWS(_xlpm.missing)=1),"Complete",
    ROWS(_xlpm.missing)&gt;0,_xlpm.missing_string,
    TRUE,"Error"
  )
)</f>
        <v>Blank</v>
      </c>
      <c r="B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" spans="1:2" x14ac:dyDescent="0.3">
      <c r="A81" s="2" t="str" cm="1">
        <f t="array" ref="A81">_xlfn.LET(
  _xlpm.key,_xlfn.TEXTSPLIT("Email,Org,IRN,Impact",","),
  _xlpm.complete,ISBLANK(H81:K81),
  _xlpm.missing,_xlfn._xlws.FILTER(_xlpm.key,_xlpm.complete,FALSE()),
  _xlpm.missing_string,"Missing: "&amp;_xlfn.TEXTJOIN(", ",TRUE,_xlpm.missing),
  _xlfn.IFS(
    COUNTA(C81:K81)=0,"Blank",
AND(_xlpm.missing=FALSE,ROWS(_xlpm.missing)=1),"Complete",
    ROWS(_xlpm.missing)&gt;0,_xlpm.missing_string,
    TRUE,"Error"
  )
)</f>
        <v>Blank</v>
      </c>
      <c r="B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" spans="1:2" x14ac:dyDescent="0.3">
      <c r="A82" s="2" t="str" cm="1">
        <f t="array" ref="A82">_xlfn.LET(
  _xlpm.key,_xlfn.TEXTSPLIT("Email,Org,IRN,Impact",","),
  _xlpm.complete,ISBLANK(H82:K82),
  _xlpm.missing,_xlfn._xlws.FILTER(_xlpm.key,_xlpm.complete,FALSE()),
  _xlpm.missing_string,"Missing: "&amp;_xlfn.TEXTJOIN(", ",TRUE,_xlpm.missing),
  _xlfn.IFS(
    COUNTA(C82:K82)=0,"Blank",
AND(_xlpm.missing=FALSE,ROWS(_xlpm.missing)=1),"Complete",
    ROWS(_xlpm.missing)&gt;0,_xlpm.missing_string,
    TRUE,"Error"
  )
)</f>
        <v>Blank</v>
      </c>
      <c r="B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" spans="1:2" x14ac:dyDescent="0.3">
      <c r="A83" s="2" t="str" cm="1">
        <f t="array" ref="A83">_xlfn.LET(
  _xlpm.key,_xlfn.TEXTSPLIT("Email,Org,IRN,Impact",","),
  _xlpm.complete,ISBLANK(H83:K83),
  _xlpm.missing,_xlfn._xlws.FILTER(_xlpm.key,_xlpm.complete,FALSE()),
  _xlpm.missing_string,"Missing: "&amp;_xlfn.TEXTJOIN(", ",TRUE,_xlpm.missing),
  _xlfn.IFS(
    COUNTA(C83:K83)=0,"Blank",
AND(_xlpm.missing=FALSE,ROWS(_xlpm.missing)=1),"Complete",
    ROWS(_xlpm.missing)&gt;0,_xlpm.missing_string,
    TRUE,"Error"
  )
)</f>
        <v>Blank</v>
      </c>
      <c r="B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" spans="1:2" x14ac:dyDescent="0.3">
      <c r="A84" s="2" t="str" cm="1">
        <f t="array" ref="A84">_xlfn.LET(
  _xlpm.key,_xlfn.TEXTSPLIT("Email,Org,IRN,Impact",","),
  _xlpm.complete,ISBLANK(H84:K84),
  _xlpm.missing,_xlfn._xlws.FILTER(_xlpm.key,_xlpm.complete,FALSE()),
  _xlpm.missing_string,"Missing: "&amp;_xlfn.TEXTJOIN(", ",TRUE,_xlpm.missing),
  _xlfn.IFS(
    COUNTA(C84:K84)=0,"Blank",
AND(_xlpm.missing=FALSE,ROWS(_xlpm.missing)=1),"Complete",
    ROWS(_xlpm.missing)&gt;0,_xlpm.missing_string,
    TRUE,"Error"
  )
)</f>
        <v>Blank</v>
      </c>
      <c r="B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" spans="1:2" x14ac:dyDescent="0.3">
      <c r="A85" s="2" t="str" cm="1">
        <f t="array" ref="A85">_xlfn.LET(
  _xlpm.key,_xlfn.TEXTSPLIT("Email,Org,IRN,Impact",","),
  _xlpm.complete,ISBLANK(H85:K85),
  _xlpm.missing,_xlfn._xlws.FILTER(_xlpm.key,_xlpm.complete,FALSE()),
  _xlpm.missing_string,"Missing: "&amp;_xlfn.TEXTJOIN(", ",TRUE,_xlpm.missing),
  _xlfn.IFS(
    COUNTA(C85:K85)=0,"Blank",
AND(_xlpm.missing=FALSE,ROWS(_xlpm.missing)=1),"Complete",
    ROWS(_xlpm.missing)&gt;0,_xlpm.missing_string,
    TRUE,"Error"
  )
)</f>
        <v>Blank</v>
      </c>
      <c r="B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" spans="1:2" x14ac:dyDescent="0.3">
      <c r="A86" s="2" t="str" cm="1">
        <f t="array" ref="A86">_xlfn.LET(
  _xlpm.key,_xlfn.TEXTSPLIT("Email,Org,IRN,Impact",","),
  _xlpm.complete,ISBLANK(H86:K86),
  _xlpm.missing,_xlfn._xlws.FILTER(_xlpm.key,_xlpm.complete,FALSE()),
  _xlpm.missing_string,"Missing: "&amp;_xlfn.TEXTJOIN(", ",TRUE,_xlpm.missing),
  _xlfn.IFS(
    COUNTA(C86:K86)=0,"Blank",
AND(_xlpm.missing=FALSE,ROWS(_xlpm.missing)=1),"Complete",
    ROWS(_xlpm.missing)&gt;0,_xlpm.missing_string,
    TRUE,"Error"
  )
)</f>
        <v>Blank</v>
      </c>
      <c r="B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" spans="1:2" x14ac:dyDescent="0.3">
      <c r="A87" s="2" t="str" cm="1">
        <f t="array" ref="A87">_xlfn.LET(
  _xlpm.key,_xlfn.TEXTSPLIT("Email,Org,IRN,Impact",","),
  _xlpm.complete,ISBLANK(H87:K87),
  _xlpm.missing,_xlfn._xlws.FILTER(_xlpm.key,_xlpm.complete,FALSE()),
  _xlpm.missing_string,"Missing: "&amp;_xlfn.TEXTJOIN(", ",TRUE,_xlpm.missing),
  _xlfn.IFS(
    COUNTA(C87:K87)=0,"Blank",
AND(_xlpm.missing=FALSE,ROWS(_xlpm.missing)=1),"Complete",
    ROWS(_xlpm.missing)&gt;0,_xlpm.missing_string,
    TRUE,"Error"
  )
)</f>
        <v>Blank</v>
      </c>
      <c r="B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" spans="1:2" x14ac:dyDescent="0.3">
      <c r="A88" s="2" t="str" cm="1">
        <f t="array" ref="A88">_xlfn.LET(
  _xlpm.key,_xlfn.TEXTSPLIT("Email,Org,IRN,Impact",","),
  _xlpm.complete,ISBLANK(H88:K88),
  _xlpm.missing,_xlfn._xlws.FILTER(_xlpm.key,_xlpm.complete,FALSE()),
  _xlpm.missing_string,"Missing: "&amp;_xlfn.TEXTJOIN(", ",TRUE,_xlpm.missing),
  _xlfn.IFS(
    COUNTA(C88:K88)=0,"Blank",
AND(_xlpm.missing=FALSE,ROWS(_xlpm.missing)=1),"Complete",
    ROWS(_xlpm.missing)&gt;0,_xlpm.missing_string,
    TRUE,"Error"
  )
)</f>
        <v>Blank</v>
      </c>
      <c r="B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" spans="1:2" x14ac:dyDescent="0.3">
      <c r="A89" s="2" t="str" cm="1">
        <f t="array" ref="A89">_xlfn.LET(
  _xlpm.key,_xlfn.TEXTSPLIT("Email,Org,IRN,Impact",","),
  _xlpm.complete,ISBLANK(H89:K89),
  _xlpm.missing,_xlfn._xlws.FILTER(_xlpm.key,_xlpm.complete,FALSE()),
  _xlpm.missing_string,"Missing: "&amp;_xlfn.TEXTJOIN(", ",TRUE,_xlpm.missing),
  _xlfn.IFS(
    COUNTA(C89:K89)=0,"Blank",
AND(_xlpm.missing=FALSE,ROWS(_xlpm.missing)=1),"Complete",
    ROWS(_xlpm.missing)&gt;0,_xlpm.missing_string,
    TRUE,"Error"
  )
)</f>
        <v>Blank</v>
      </c>
      <c r="B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" spans="1:2" x14ac:dyDescent="0.3">
      <c r="A90" s="2" t="str" cm="1">
        <f t="array" ref="A90">_xlfn.LET(
  _xlpm.key,_xlfn.TEXTSPLIT("Email,Org,IRN,Impact",","),
  _xlpm.complete,ISBLANK(H90:K90),
  _xlpm.missing,_xlfn._xlws.FILTER(_xlpm.key,_xlpm.complete,FALSE()),
  _xlpm.missing_string,"Missing: "&amp;_xlfn.TEXTJOIN(", ",TRUE,_xlpm.missing),
  _xlfn.IFS(
    COUNTA(C90:K90)=0,"Blank",
AND(_xlpm.missing=FALSE,ROWS(_xlpm.missing)=1),"Complete",
    ROWS(_xlpm.missing)&gt;0,_xlpm.missing_string,
    TRUE,"Error"
  )
)</f>
        <v>Blank</v>
      </c>
      <c r="B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" spans="1:2" x14ac:dyDescent="0.3">
      <c r="A91" s="2" t="str" cm="1">
        <f t="array" ref="A91">_xlfn.LET(
  _xlpm.key,_xlfn.TEXTSPLIT("Email,Org,IRN,Impact",","),
  _xlpm.complete,ISBLANK(H91:K91),
  _xlpm.missing,_xlfn._xlws.FILTER(_xlpm.key,_xlpm.complete,FALSE()),
  _xlpm.missing_string,"Missing: "&amp;_xlfn.TEXTJOIN(", ",TRUE,_xlpm.missing),
  _xlfn.IFS(
    COUNTA(C91:K91)=0,"Blank",
AND(_xlpm.missing=FALSE,ROWS(_xlpm.missing)=1),"Complete",
    ROWS(_xlpm.missing)&gt;0,_xlpm.missing_string,
    TRUE,"Error"
  )
)</f>
        <v>Blank</v>
      </c>
      <c r="B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" spans="1:2" x14ac:dyDescent="0.3">
      <c r="A92" s="2" t="str" cm="1">
        <f t="array" ref="A92">_xlfn.LET(
  _xlpm.key,_xlfn.TEXTSPLIT("Email,Org,IRN,Impact",","),
  _xlpm.complete,ISBLANK(H92:K92),
  _xlpm.missing,_xlfn._xlws.FILTER(_xlpm.key,_xlpm.complete,FALSE()),
  _xlpm.missing_string,"Missing: "&amp;_xlfn.TEXTJOIN(", ",TRUE,_xlpm.missing),
  _xlfn.IFS(
    COUNTA(C92:K92)=0,"Blank",
AND(_xlpm.missing=FALSE,ROWS(_xlpm.missing)=1),"Complete",
    ROWS(_xlpm.missing)&gt;0,_xlpm.missing_string,
    TRUE,"Error"
  )
)</f>
        <v>Blank</v>
      </c>
      <c r="B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" spans="1:2" x14ac:dyDescent="0.3">
      <c r="A93" s="2" t="str" cm="1">
        <f t="array" ref="A93">_xlfn.LET(
  _xlpm.key,_xlfn.TEXTSPLIT("Email,Org,IRN,Impact",","),
  _xlpm.complete,ISBLANK(H93:K93),
  _xlpm.missing,_xlfn._xlws.FILTER(_xlpm.key,_xlpm.complete,FALSE()),
  _xlpm.missing_string,"Missing: "&amp;_xlfn.TEXTJOIN(", ",TRUE,_xlpm.missing),
  _xlfn.IFS(
    COUNTA(C93:K93)=0,"Blank",
AND(_xlpm.missing=FALSE,ROWS(_xlpm.missing)=1),"Complete",
    ROWS(_xlpm.missing)&gt;0,_xlpm.missing_string,
    TRUE,"Error"
  )
)</f>
        <v>Blank</v>
      </c>
      <c r="B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" spans="1:2" x14ac:dyDescent="0.3">
      <c r="A94" s="2" t="str" cm="1">
        <f t="array" ref="A94">_xlfn.LET(
  _xlpm.key,_xlfn.TEXTSPLIT("Email,Org,IRN,Impact",","),
  _xlpm.complete,ISBLANK(H94:K94),
  _xlpm.missing,_xlfn._xlws.FILTER(_xlpm.key,_xlpm.complete,FALSE()),
  _xlpm.missing_string,"Missing: "&amp;_xlfn.TEXTJOIN(", ",TRUE,_xlpm.missing),
  _xlfn.IFS(
    COUNTA(C94:K94)=0,"Blank",
AND(_xlpm.missing=FALSE,ROWS(_xlpm.missing)=1),"Complete",
    ROWS(_xlpm.missing)&gt;0,_xlpm.missing_string,
    TRUE,"Error"
  )
)</f>
        <v>Blank</v>
      </c>
      <c r="B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" spans="1:2" x14ac:dyDescent="0.3">
      <c r="A95" s="2" t="str" cm="1">
        <f t="array" ref="A95">_xlfn.LET(
  _xlpm.key,_xlfn.TEXTSPLIT("Email,Org,IRN,Impact",","),
  _xlpm.complete,ISBLANK(H95:K95),
  _xlpm.missing,_xlfn._xlws.FILTER(_xlpm.key,_xlpm.complete,FALSE()),
  _xlpm.missing_string,"Missing: "&amp;_xlfn.TEXTJOIN(", ",TRUE,_xlpm.missing),
  _xlfn.IFS(
    COUNTA(C95:K95)=0,"Blank",
AND(_xlpm.missing=FALSE,ROWS(_xlpm.missing)=1),"Complete",
    ROWS(_xlpm.missing)&gt;0,_xlpm.missing_string,
    TRUE,"Error"
  )
)</f>
        <v>Blank</v>
      </c>
      <c r="B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" spans="1:2" x14ac:dyDescent="0.3">
      <c r="A96" s="2" t="str" cm="1">
        <f t="array" ref="A96">_xlfn.LET(
  _xlpm.key,_xlfn.TEXTSPLIT("Email,Org,IRN,Impact",","),
  _xlpm.complete,ISBLANK(H96:K96),
  _xlpm.missing,_xlfn._xlws.FILTER(_xlpm.key,_xlpm.complete,FALSE()),
  _xlpm.missing_string,"Missing: "&amp;_xlfn.TEXTJOIN(", ",TRUE,_xlpm.missing),
  _xlfn.IFS(
    COUNTA(C96:K96)=0,"Blank",
AND(_xlpm.missing=FALSE,ROWS(_xlpm.missing)=1),"Complete",
    ROWS(_xlpm.missing)&gt;0,_xlpm.missing_string,
    TRUE,"Error"
  )
)</f>
        <v>Blank</v>
      </c>
      <c r="B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" spans="1:2" x14ac:dyDescent="0.3">
      <c r="A97" s="2" t="str" cm="1">
        <f t="array" ref="A97">_xlfn.LET(
  _xlpm.key,_xlfn.TEXTSPLIT("Email,Org,IRN,Impact",","),
  _xlpm.complete,ISBLANK(H97:K97),
  _xlpm.missing,_xlfn._xlws.FILTER(_xlpm.key,_xlpm.complete,FALSE()),
  _xlpm.missing_string,"Missing: "&amp;_xlfn.TEXTJOIN(", ",TRUE,_xlpm.missing),
  _xlfn.IFS(
    COUNTA(C97:K97)=0,"Blank",
AND(_xlpm.missing=FALSE,ROWS(_xlpm.missing)=1),"Complete",
    ROWS(_xlpm.missing)&gt;0,_xlpm.missing_string,
    TRUE,"Error"
  )
)</f>
        <v>Blank</v>
      </c>
      <c r="B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" spans="1:2" x14ac:dyDescent="0.3">
      <c r="A98" s="2" t="str" cm="1">
        <f t="array" ref="A98">_xlfn.LET(
  _xlpm.key,_xlfn.TEXTSPLIT("Email,Org,IRN,Impact",","),
  _xlpm.complete,ISBLANK(H98:K98),
  _xlpm.missing,_xlfn._xlws.FILTER(_xlpm.key,_xlpm.complete,FALSE()),
  _xlpm.missing_string,"Missing: "&amp;_xlfn.TEXTJOIN(", ",TRUE,_xlpm.missing),
  _xlfn.IFS(
    COUNTA(C98:K98)=0,"Blank",
AND(_xlpm.missing=FALSE,ROWS(_xlpm.missing)=1),"Complete",
    ROWS(_xlpm.missing)&gt;0,_xlpm.missing_string,
    TRUE,"Error"
  )
)</f>
        <v>Blank</v>
      </c>
      <c r="B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" spans="1:2" x14ac:dyDescent="0.3">
      <c r="A99" s="2" t="str" cm="1">
        <f t="array" ref="A99">_xlfn.LET(
  _xlpm.key,_xlfn.TEXTSPLIT("Email,Org,IRN,Impact",","),
  _xlpm.complete,ISBLANK(H99:K99),
  _xlpm.missing,_xlfn._xlws.FILTER(_xlpm.key,_xlpm.complete,FALSE()),
  _xlpm.missing_string,"Missing: "&amp;_xlfn.TEXTJOIN(", ",TRUE,_xlpm.missing),
  _xlfn.IFS(
    COUNTA(C99:K99)=0,"Blank",
AND(_xlpm.missing=FALSE,ROWS(_xlpm.missing)=1),"Complete",
    ROWS(_xlpm.missing)&gt;0,_xlpm.missing_string,
    TRUE,"Error"
  )
)</f>
        <v>Blank</v>
      </c>
      <c r="B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0" spans="1:2" x14ac:dyDescent="0.3">
      <c r="A100" s="2" t="str" cm="1">
        <f t="array" ref="A100">_xlfn.LET(
  _xlpm.key,_xlfn.TEXTSPLIT("Email,Org,IRN,Impact",","),
  _xlpm.complete,ISBLANK(H100:K100),
  _xlpm.missing,_xlfn._xlws.FILTER(_xlpm.key,_xlpm.complete,FALSE()),
  _xlpm.missing_string,"Missing: "&amp;_xlfn.TEXTJOIN(", ",TRUE,_xlpm.missing),
  _xlfn.IFS(
    COUNTA(C100:K100)=0,"Blank",
AND(_xlpm.missing=FALSE,ROWS(_xlpm.missing)=1),"Complete",
    ROWS(_xlpm.missing)&gt;0,_xlpm.missing_string,
    TRUE,"Error"
  )
)</f>
        <v>Blank</v>
      </c>
      <c r="B1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1" spans="1:2" x14ac:dyDescent="0.3">
      <c r="A101" s="2" t="str" cm="1">
        <f t="array" ref="A101">_xlfn.LET(
  _xlpm.key,_xlfn.TEXTSPLIT("Email,Org,IRN,Impact",","),
  _xlpm.complete,ISBLANK(H101:K101),
  _xlpm.missing,_xlfn._xlws.FILTER(_xlpm.key,_xlpm.complete,FALSE()),
  _xlpm.missing_string,"Missing: "&amp;_xlfn.TEXTJOIN(", ",TRUE,_xlpm.missing),
  _xlfn.IFS(
    COUNTA(C101:K101)=0,"Blank",
AND(_xlpm.missing=FALSE,ROWS(_xlpm.missing)=1),"Complete",
    ROWS(_xlpm.missing)&gt;0,_xlpm.missing_string,
    TRUE,"Error"
  )
)</f>
        <v>Blank</v>
      </c>
      <c r="B1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2" spans="1:2" x14ac:dyDescent="0.3">
      <c r="A102" s="2" t="str" cm="1">
        <f t="array" ref="A102">_xlfn.LET(
  _xlpm.key,_xlfn.TEXTSPLIT("Email,Org,IRN,Impact",","),
  _xlpm.complete,ISBLANK(H102:K102),
  _xlpm.missing,_xlfn._xlws.FILTER(_xlpm.key,_xlpm.complete,FALSE()),
  _xlpm.missing_string,"Missing: "&amp;_xlfn.TEXTJOIN(", ",TRUE,_xlpm.missing),
  _xlfn.IFS(
    COUNTA(C102:K102)=0,"Blank",
AND(_xlpm.missing=FALSE,ROWS(_xlpm.missing)=1),"Complete",
    ROWS(_xlpm.missing)&gt;0,_xlpm.missing_string,
    TRUE,"Error"
  )
)</f>
        <v>Blank</v>
      </c>
      <c r="B1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3" spans="1:2" x14ac:dyDescent="0.3">
      <c r="A103" s="2" t="str" cm="1">
        <f t="array" ref="A103">_xlfn.LET(
  _xlpm.key,_xlfn.TEXTSPLIT("Email,Org,IRN,Impact",","),
  _xlpm.complete,ISBLANK(H103:K103),
  _xlpm.missing,_xlfn._xlws.FILTER(_xlpm.key,_xlpm.complete,FALSE()),
  _xlpm.missing_string,"Missing: "&amp;_xlfn.TEXTJOIN(", ",TRUE,_xlpm.missing),
  _xlfn.IFS(
    COUNTA(C103:K103)=0,"Blank",
AND(_xlpm.missing=FALSE,ROWS(_xlpm.missing)=1),"Complete",
    ROWS(_xlpm.missing)&gt;0,_xlpm.missing_string,
    TRUE,"Error"
  )
)</f>
        <v>Blank</v>
      </c>
      <c r="B1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4" spans="1:2" x14ac:dyDescent="0.3">
      <c r="A104" s="2" t="str" cm="1">
        <f t="array" ref="A104">_xlfn.LET(
  _xlpm.key,_xlfn.TEXTSPLIT("Email,Org,IRN,Impact",","),
  _xlpm.complete,ISBLANK(H104:K104),
  _xlpm.missing,_xlfn._xlws.FILTER(_xlpm.key,_xlpm.complete,FALSE()),
  _xlpm.missing_string,"Missing: "&amp;_xlfn.TEXTJOIN(", ",TRUE,_xlpm.missing),
  _xlfn.IFS(
    COUNTA(C104:K104)=0,"Blank",
AND(_xlpm.missing=FALSE,ROWS(_xlpm.missing)=1),"Complete",
    ROWS(_xlpm.missing)&gt;0,_xlpm.missing_string,
    TRUE,"Error"
  )
)</f>
        <v>Blank</v>
      </c>
      <c r="B1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5" spans="1:2" x14ac:dyDescent="0.3">
      <c r="A105" s="2" t="str" cm="1">
        <f t="array" ref="A105">_xlfn.LET(
  _xlpm.key,_xlfn.TEXTSPLIT("Email,Org,IRN,Impact",","),
  _xlpm.complete,ISBLANK(H105:K105),
  _xlpm.missing,_xlfn._xlws.FILTER(_xlpm.key,_xlpm.complete,FALSE()),
  _xlpm.missing_string,"Missing: "&amp;_xlfn.TEXTJOIN(", ",TRUE,_xlpm.missing),
  _xlfn.IFS(
    COUNTA(C105:K105)=0,"Blank",
AND(_xlpm.missing=FALSE,ROWS(_xlpm.missing)=1),"Complete",
    ROWS(_xlpm.missing)&gt;0,_xlpm.missing_string,
    TRUE,"Error"
  )
)</f>
        <v>Blank</v>
      </c>
      <c r="B1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6" spans="1:2" x14ac:dyDescent="0.3">
      <c r="A106" s="2" t="str" cm="1">
        <f t="array" ref="A106">_xlfn.LET(
  _xlpm.key,_xlfn.TEXTSPLIT("Email,Org,IRN,Impact",","),
  _xlpm.complete,ISBLANK(H106:K106),
  _xlpm.missing,_xlfn._xlws.FILTER(_xlpm.key,_xlpm.complete,FALSE()),
  _xlpm.missing_string,"Missing: "&amp;_xlfn.TEXTJOIN(", ",TRUE,_xlpm.missing),
  _xlfn.IFS(
    COUNTA(C106:K106)=0,"Blank",
AND(_xlpm.missing=FALSE,ROWS(_xlpm.missing)=1),"Complete",
    ROWS(_xlpm.missing)&gt;0,_xlpm.missing_string,
    TRUE,"Error"
  )
)</f>
        <v>Blank</v>
      </c>
      <c r="B1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7" spans="1:2" x14ac:dyDescent="0.3">
      <c r="A107" s="2" t="str" cm="1">
        <f t="array" ref="A107">_xlfn.LET(
  _xlpm.key,_xlfn.TEXTSPLIT("Email,Org,IRN,Impact",","),
  _xlpm.complete,ISBLANK(H107:K107),
  _xlpm.missing,_xlfn._xlws.FILTER(_xlpm.key,_xlpm.complete,FALSE()),
  _xlpm.missing_string,"Missing: "&amp;_xlfn.TEXTJOIN(", ",TRUE,_xlpm.missing),
  _xlfn.IFS(
    COUNTA(C107:K107)=0,"Blank",
AND(_xlpm.missing=FALSE,ROWS(_xlpm.missing)=1),"Complete",
    ROWS(_xlpm.missing)&gt;0,_xlpm.missing_string,
    TRUE,"Error"
  )
)</f>
        <v>Blank</v>
      </c>
      <c r="B1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8" spans="1:2" x14ac:dyDescent="0.3">
      <c r="A108" s="2" t="str" cm="1">
        <f t="array" ref="A108">_xlfn.LET(
  _xlpm.key,_xlfn.TEXTSPLIT("Email,Org,IRN,Impact",","),
  _xlpm.complete,ISBLANK(H108:K108),
  _xlpm.missing,_xlfn._xlws.FILTER(_xlpm.key,_xlpm.complete,FALSE()),
  _xlpm.missing_string,"Missing: "&amp;_xlfn.TEXTJOIN(", ",TRUE,_xlpm.missing),
  _xlfn.IFS(
    COUNTA(C108:K108)=0,"Blank",
AND(_xlpm.missing=FALSE,ROWS(_xlpm.missing)=1),"Complete",
    ROWS(_xlpm.missing)&gt;0,_xlpm.missing_string,
    TRUE,"Error"
  )
)</f>
        <v>Blank</v>
      </c>
      <c r="B1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9" spans="1:2" x14ac:dyDescent="0.3">
      <c r="A109" s="2" t="str" cm="1">
        <f t="array" ref="A109">_xlfn.LET(
  _xlpm.key,_xlfn.TEXTSPLIT("Email,Org,IRN,Impact",","),
  _xlpm.complete,ISBLANK(H109:K109),
  _xlpm.missing,_xlfn._xlws.FILTER(_xlpm.key,_xlpm.complete,FALSE()),
  _xlpm.missing_string,"Missing: "&amp;_xlfn.TEXTJOIN(", ",TRUE,_xlpm.missing),
  _xlfn.IFS(
    COUNTA(C109:K109)=0,"Blank",
AND(_xlpm.missing=FALSE,ROWS(_xlpm.missing)=1),"Complete",
    ROWS(_xlpm.missing)&gt;0,_xlpm.missing_string,
    TRUE,"Error"
  )
)</f>
        <v>Blank</v>
      </c>
      <c r="B1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0" spans="1:2" x14ac:dyDescent="0.3">
      <c r="A110" s="2" t="str" cm="1">
        <f t="array" ref="A110">_xlfn.LET(
  _xlpm.key,_xlfn.TEXTSPLIT("Email,Org,IRN,Impact",","),
  _xlpm.complete,ISBLANK(H110:K110),
  _xlpm.missing,_xlfn._xlws.FILTER(_xlpm.key,_xlpm.complete,FALSE()),
  _xlpm.missing_string,"Missing: "&amp;_xlfn.TEXTJOIN(", ",TRUE,_xlpm.missing),
  _xlfn.IFS(
    COUNTA(C110:K110)=0,"Blank",
AND(_xlpm.missing=FALSE,ROWS(_xlpm.missing)=1),"Complete",
    ROWS(_xlpm.missing)&gt;0,_xlpm.missing_string,
    TRUE,"Error"
  )
)</f>
        <v>Blank</v>
      </c>
      <c r="B1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1" spans="1:2" x14ac:dyDescent="0.3">
      <c r="A111" s="2" t="str" cm="1">
        <f t="array" ref="A111">_xlfn.LET(
  _xlpm.key,_xlfn.TEXTSPLIT("Email,Org,IRN,Impact",","),
  _xlpm.complete,ISBLANK(H111:K111),
  _xlpm.missing,_xlfn._xlws.FILTER(_xlpm.key,_xlpm.complete,FALSE()),
  _xlpm.missing_string,"Missing: "&amp;_xlfn.TEXTJOIN(", ",TRUE,_xlpm.missing),
  _xlfn.IFS(
    COUNTA(C111:K111)=0,"Blank",
AND(_xlpm.missing=FALSE,ROWS(_xlpm.missing)=1),"Complete",
    ROWS(_xlpm.missing)&gt;0,_xlpm.missing_string,
    TRUE,"Error"
  )
)</f>
        <v>Blank</v>
      </c>
      <c r="B1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2" spans="1:2" x14ac:dyDescent="0.3">
      <c r="A112" s="2" t="str" cm="1">
        <f t="array" ref="A112">_xlfn.LET(
  _xlpm.key,_xlfn.TEXTSPLIT("Email,Org,IRN,Impact",","),
  _xlpm.complete,ISBLANK(H112:K112),
  _xlpm.missing,_xlfn._xlws.FILTER(_xlpm.key,_xlpm.complete,FALSE()),
  _xlpm.missing_string,"Missing: "&amp;_xlfn.TEXTJOIN(", ",TRUE,_xlpm.missing),
  _xlfn.IFS(
    COUNTA(C112:K112)=0,"Blank",
AND(_xlpm.missing=FALSE,ROWS(_xlpm.missing)=1),"Complete",
    ROWS(_xlpm.missing)&gt;0,_xlpm.missing_string,
    TRUE,"Error"
  )
)</f>
        <v>Blank</v>
      </c>
      <c r="B1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3" spans="1:2" x14ac:dyDescent="0.3">
      <c r="A113" s="2" t="str" cm="1">
        <f t="array" ref="A113">_xlfn.LET(
  _xlpm.key,_xlfn.TEXTSPLIT("Email,Org,IRN,Impact",","),
  _xlpm.complete,ISBLANK(H113:K113),
  _xlpm.missing,_xlfn._xlws.FILTER(_xlpm.key,_xlpm.complete,FALSE()),
  _xlpm.missing_string,"Missing: "&amp;_xlfn.TEXTJOIN(", ",TRUE,_xlpm.missing),
  _xlfn.IFS(
    COUNTA(C113:K113)=0,"Blank",
AND(_xlpm.missing=FALSE,ROWS(_xlpm.missing)=1),"Complete",
    ROWS(_xlpm.missing)&gt;0,_xlpm.missing_string,
    TRUE,"Error"
  )
)</f>
        <v>Blank</v>
      </c>
      <c r="B1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4" spans="1:2" x14ac:dyDescent="0.3">
      <c r="A114" s="2" t="str" cm="1">
        <f t="array" ref="A114">_xlfn.LET(
  _xlpm.key,_xlfn.TEXTSPLIT("Email,Org,IRN,Impact",","),
  _xlpm.complete,ISBLANK(H114:K114),
  _xlpm.missing,_xlfn._xlws.FILTER(_xlpm.key,_xlpm.complete,FALSE()),
  _xlpm.missing_string,"Missing: "&amp;_xlfn.TEXTJOIN(", ",TRUE,_xlpm.missing),
  _xlfn.IFS(
    COUNTA(C114:K114)=0,"Blank",
AND(_xlpm.missing=FALSE,ROWS(_xlpm.missing)=1),"Complete",
    ROWS(_xlpm.missing)&gt;0,_xlpm.missing_string,
    TRUE,"Error"
  )
)</f>
        <v>Blank</v>
      </c>
      <c r="B1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5" spans="1:2" x14ac:dyDescent="0.3">
      <c r="A115" s="2" t="str" cm="1">
        <f t="array" ref="A115">_xlfn.LET(
  _xlpm.key,_xlfn.TEXTSPLIT("Email,Org,IRN,Impact",","),
  _xlpm.complete,ISBLANK(H115:K115),
  _xlpm.missing,_xlfn._xlws.FILTER(_xlpm.key,_xlpm.complete,FALSE()),
  _xlpm.missing_string,"Missing: "&amp;_xlfn.TEXTJOIN(", ",TRUE,_xlpm.missing),
  _xlfn.IFS(
    COUNTA(C115:K115)=0,"Blank",
AND(_xlpm.missing=FALSE,ROWS(_xlpm.missing)=1),"Complete",
    ROWS(_xlpm.missing)&gt;0,_xlpm.missing_string,
    TRUE,"Error"
  )
)</f>
        <v>Blank</v>
      </c>
      <c r="B1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6" spans="1:2" x14ac:dyDescent="0.3">
      <c r="A116" s="2" t="str" cm="1">
        <f t="array" ref="A116">_xlfn.LET(
  _xlpm.key,_xlfn.TEXTSPLIT("Email,Org,IRN,Impact",","),
  _xlpm.complete,ISBLANK(H116:K116),
  _xlpm.missing,_xlfn._xlws.FILTER(_xlpm.key,_xlpm.complete,FALSE()),
  _xlpm.missing_string,"Missing: "&amp;_xlfn.TEXTJOIN(", ",TRUE,_xlpm.missing),
  _xlfn.IFS(
    COUNTA(C116:K116)=0,"Blank",
AND(_xlpm.missing=FALSE,ROWS(_xlpm.missing)=1),"Complete",
    ROWS(_xlpm.missing)&gt;0,_xlpm.missing_string,
    TRUE,"Error"
  )
)</f>
        <v>Blank</v>
      </c>
      <c r="B1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7" spans="1:2" x14ac:dyDescent="0.3">
      <c r="A117" s="2" t="str" cm="1">
        <f t="array" ref="A117">_xlfn.LET(
  _xlpm.key,_xlfn.TEXTSPLIT("Email,Org,IRN,Impact",","),
  _xlpm.complete,ISBLANK(H117:K117),
  _xlpm.missing,_xlfn._xlws.FILTER(_xlpm.key,_xlpm.complete,FALSE()),
  _xlpm.missing_string,"Missing: "&amp;_xlfn.TEXTJOIN(", ",TRUE,_xlpm.missing),
  _xlfn.IFS(
    COUNTA(C117:K117)=0,"Blank",
AND(_xlpm.missing=FALSE,ROWS(_xlpm.missing)=1),"Complete",
    ROWS(_xlpm.missing)&gt;0,_xlpm.missing_string,
    TRUE,"Error"
  )
)</f>
        <v>Blank</v>
      </c>
      <c r="B1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8" spans="1:2" x14ac:dyDescent="0.3">
      <c r="A118" s="2" t="str" cm="1">
        <f t="array" ref="A118">_xlfn.LET(
  _xlpm.key,_xlfn.TEXTSPLIT("Email,Org,IRN,Impact",","),
  _xlpm.complete,ISBLANK(H118:K118),
  _xlpm.missing,_xlfn._xlws.FILTER(_xlpm.key,_xlpm.complete,FALSE()),
  _xlpm.missing_string,"Missing: "&amp;_xlfn.TEXTJOIN(", ",TRUE,_xlpm.missing),
  _xlfn.IFS(
    COUNTA(C118:K118)=0,"Blank",
AND(_xlpm.missing=FALSE,ROWS(_xlpm.missing)=1),"Complete",
    ROWS(_xlpm.missing)&gt;0,_xlpm.missing_string,
    TRUE,"Error"
  )
)</f>
        <v>Blank</v>
      </c>
      <c r="B1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19" spans="1:2" x14ac:dyDescent="0.3">
      <c r="A119" s="2" t="str" cm="1">
        <f t="array" ref="A119">_xlfn.LET(
  _xlpm.key,_xlfn.TEXTSPLIT("Email,Org,IRN,Impact",","),
  _xlpm.complete,ISBLANK(H119:K119),
  _xlpm.missing,_xlfn._xlws.FILTER(_xlpm.key,_xlpm.complete,FALSE()),
  _xlpm.missing_string,"Missing: "&amp;_xlfn.TEXTJOIN(", ",TRUE,_xlpm.missing),
  _xlfn.IFS(
    COUNTA(C119:K119)=0,"Blank",
AND(_xlpm.missing=FALSE,ROWS(_xlpm.missing)=1),"Complete",
    ROWS(_xlpm.missing)&gt;0,_xlpm.missing_string,
    TRUE,"Error"
  )
)</f>
        <v>Blank</v>
      </c>
      <c r="B1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0" spans="1:2" x14ac:dyDescent="0.3">
      <c r="A120" s="2" t="str" cm="1">
        <f t="array" ref="A120">_xlfn.LET(
  _xlpm.key,_xlfn.TEXTSPLIT("Email,Org,IRN,Impact",","),
  _xlpm.complete,ISBLANK(H120:K120),
  _xlpm.missing,_xlfn._xlws.FILTER(_xlpm.key,_xlpm.complete,FALSE()),
  _xlpm.missing_string,"Missing: "&amp;_xlfn.TEXTJOIN(", ",TRUE,_xlpm.missing),
  _xlfn.IFS(
    COUNTA(C120:K120)=0,"Blank",
AND(_xlpm.missing=FALSE,ROWS(_xlpm.missing)=1),"Complete",
    ROWS(_xlpm.missing)&gt;0,_xlpm.missing_string,
    TRUE,"Error"
  )
)</f>
        <v>Blank</v>
      </c>
      <c r="B1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1" spans="1:2" x14ac:dyDescent="0.3">
      <c r="A121" s="2" t="str" cm="1">
        <f t="array" ref="A121">_xlfn.LET(
  _xlpm.key,_xlfn.TEXTSPLIT("Email,Org,IRN,Impact",","),
  _xlpm.complete,ISBLANK(H121:K121),
  _xlpm.missing,_xlfn._xlws.FILTER(_xlpm.key,_xlpm.complete,FALSE()),
  _xlpm.missing_string,"Missing: "&amp;_xlfn.TEXTJOIN(", ",TRUE,_xlpm.missing),
  _xlfn.IFS(
    COUNTA(C121:K121)=0,"Blank",
AND(_xlpm.missing=FALSE,ROWS(_xlpm.missing)=1),"Complete",
    ROWS(_xlpm.missing)&gt;0,_xlpm.missing_string,
    TRUE,"Error"
  )
)</f>
        <v>Blank</v>
      </c>
      <c r="B1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2" spans="1:2" x14ac:dyDescent="0.3">
      <c r="A122" s="2" t="str" cm="1">
        <f t="array" ref="A122">_xlfn.LET(
  _xlpm.key,_xlfn.TEXTSPLIT("Email,Org,IRN,Impact",","),
  _xlpm.complete,ISBLANK(H122:K122),
  _xlpm.missing,_xlfn._xlws.FILTER(_xlpm.key,_xlpm.complete,FALSE()),
  _xlpm.missing_string,"Missing: "&amp;_xlfn.TEXTJOIN(", ",TRUE,_xlpm.missing),
  _xlfn.IFS(
    COUNTA(C122:K122)=0,"Blank",
AND(_xlpm.missing=FALSE,ROWS(_xlpm.missing)=1),"Complete",
    ROWS(_xlpm.missing)&gt;0,_xlpm.missing_string,
    TRUE,"Error"
  )
)</f>
        <v>Blank</v>
      </c>
      <c r="B1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3" spans="1:2" x14ac:dyDescent="0.3">
      <c r="A123" s="2" t="str" cm="1">
        <f t="array" ref="A123">_xlfn.LET(
  _xlpm.key,_xlfn.TEXTSPLIT("Email,Org,IRN,Impact",","),
  _xlpm.complete,ISBLANK(H123:K123),
  _xlpm.missing,_xlfn._xlws.FILTER(_xlpm.key,_xlpm.complete,FALSE()),
  _xlpm.missing_string,"Missing: "&amp;_xlfn.TEXTJOIN(", ",TRUE,_xlpm.missing),
  _xlfn.IFS(
    COUNTA(C123:K123)=0,"Blank",
AND(_xlpm.missing=FALSE,ROWS(_xlpm.missing)=1),"Complete",
    ROWS(_xlpm.missing)&gt;0,_xlpm.missing_string,
    TRUE,"Error"
  )
)</f>
        <v>Blank</v>
      </c>
      <c r="B1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4" spans="1:2" x14ac:dyDescent="0.3">
      <c r="A124" s="2" t="str" cm="1">
        <f t="array" ref="A124">_xlfn.LET(
  _xlpm.key,_xlfn.TEXTSPLIT("Email,Org,IRN,Impact",","),
  _xlpm.complete,ISBLANK(H124:K124),
  _xlpm.missing,_xlfn._xlws.FILTER(_xlpm.key,_xlpm.complete,FALSE()),
  _xlpm.missing_string,"Missing: "&amp;_xlfn.TEXTJOIN(", ",TRUE,_xlpm.missing),
  _xlfn.IFS(
    COUNTA(C124:K124)=0,"Blank",
AND(_xlpm.missing=FALSE,ROWS(_xlpm.missing)=1),"Complete",
    ROWS(_xlpm.missing)&gt;0,_xlpm.missing_string,
    TRUE,"Error"
  )
)</f>
        <v>Blank</v>
      </c>
      <c r="B1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5" spans="1:2" x14ac:dyDescent="0.3">
      <c r="A125" s="2" t="str" cm="1">
        <f t="array" ref="A125">_xlfn.LET(
  _xlpm.key,_xlfn.TEXTSPLIT("Email,Org,IRN,Impact",","),
  _xlpm.complete,ISBLANK(H125:K125),
  _xlpm.missing,_xlfn._xlws.FILTER(_xlpm.key,_xlpm.complete,FALSE()),
  _xlpm.missing_string,"Missing: "&amp;_xlfn.TEXTJOIN(", ",TRUE,_xlpm.missing),
  _xlfn.IFS(
    COUNTA(C125:K125)=0,"Blank",
AND(_xlpm.missing=FALSE,ROWS(_xlpm.missing)=1),"Complete",
    ROWS(_xlpm.missing)&gt;0,_xlpm.missing_string,
    TRUE,"Error"
  )
)</f>
        <v>Blank</v>
      </c>
      <c r="B1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6" spans="1:2" x14ac:dyDescent="0.3">
      <c r="A126" s="2" t="str" cm="1">
        <f t="array" ref="A126">_xlfn.LET(
  _xlpm.key,_xlfn.TEXTSPLIT("Email,Org,IRN,Impact",","),
  _xlpm.complete,ISBLANK(H126:K126),
  _xlpm.missing,_xlfn._xlws.FILTER(_xlpm.key,_xlpm.complete,FALSE()),
  _xlpm.missing_string,"Missing: "&amp;_xlfn.TEXTJOIN(", ",TRUE,_xlpm.missing),
  _xlfn.IFS(
    COUNTA(C126:K126)=0,"Blank",
AND(_xlpm.missing=FALSE,ROWS(_xlpm.missing)=1),"Complete",
    ROWS(_xlpm.missing)&gt;0,_xlpm.missing_string,
    TRUE,"Error"
  )
)</f>
        <v>Blank</v>
      </c>
      <c r="B1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7" spans="1:2" x14ac:dyDescent="0.3">
      <c r="A127" s="2" t="str" cm="1">
        <f t="array" ref="A127">_xlfn.LET(
  _xlpm.key,_xlfn.TEXTSPLIT("Email,Org,IRN,Impact",","),
  _xlpm.complete,ISBLANK(H127:K127),
  _xlpm.missing,_xlfn._xlws.FILTER(_xlpm.key,_xlpm.complete,FALSE()),
  _xlpm.missing_string,"Missing: "&amp;_xlfn.TEXTJOIN(", ",TRUE,_xlpm.missing),
  _xlfn.IFS(
    COUNTA(C127:K127)=0,"Blank",
AND(_xlpm.missing=FALSE,ROWS(_xlpm.missing)=1),"Complete",
    ROWS(_xlpm.missing)&gt;0,_xlpm.missing_string,
    TRUE,"Error"
  )
)</f>
        <v>Blank</v>
      </c>
      <c r="B1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8" spans="1:2" x14ac:dyDescent="0.3">
      <c r="A128" s="2" t="str" cm="1">
        <f t="array" ref="A128">_xlfn.LET(
  _xlpm.key,_xlfn.TEXTSPLIT("Email,Org,IRN,Impact",","),
  _xlpm.complete,ISBLANK(H128:K128),
  _xlpm.missing,_xlfn._xlws.FILTER(_xlpm.key,_xlpm.complete,FALSE()),
  _xlpm.missing_string,"Missing: "&amp;_xlfn.TEXTJOIN(", ",TRUE,_xlpm.missing),
  _xlfn.IFS(
    COUNTA(C128:K128)=0,"Blank",
AND(_xlpm.missing=FALSE,ROWS(_xlpm.missing)=1),"Complete",
    ROWS(_xlpm.missing)&gt;0,_xlpm.missing_string,
    TRUE,"Error"
  )
)</f>
        <v>Blank</v>
      </c>
      <c r="B1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29" spans="1:2" x14ac:dyDescent="0.3">
      <c r="A129" s="2" t="str" cm="1">
        <f t="array" ref="A129">_xlfn.LET(
  _xlpm.key,_xlfn.TEXTSPLIT("Email,Org,IRN,Impact",","),
  _xlpm.complete,ISBLANK(H129:K129),
  _xlpm.missing,_xlfn._xlws.FILTER(_xlpm.key,_xlpm.complete,FALSE()),
  _xlpm.missing_string,"Missing: "&amp;_xlfn.TEXTJOIN(", ",TRUE,_xlpm.missing),
  _xlfn.IFS(
    COUNTA(C129:K129)=0,"Blank",
AND(_xlpm.missing=FALSE,ROWS(_xlpm.missing)=1),"Complete",
    ROWS(_xlpm.missing)&gt;0,_xlpm.missing_string,
    TRUE,"Error"
  )
)</f>
        <v>Blank</v>
      </c>
      <c r="B1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0" spans="1:2" x14ac:dyDescent="0.3">
      <c r="A130" s="2" t="str" cm="1">
        <f t="array" ref="A130">_xlfn.LET(
  _xlpm.key,_xlfn.TEXTSPLIT("Email,Org,IRN,Impact",","),
  _xlpm.complete,ISBLANK(H130:K130),
  _xlpm.missing,_xlfn._xlws.FILTER(_xlpm.key,_xlpm.complete,FALSE()),
  _xlpm.missing_string,"Missing: "&amp;_xlfn.TEXTJOIN(", ",TRUE,_xlpm.missing),
  _xlfn.IFS(
    COUNTA(C130:K130)=0,"Blank",
AND(_xlpm.missing=FALSE,ROWS(_xlpm.missing)=1),"Complete",
    ROWS(_xlpm.missing)&gt;0,_xlpm.missing_string,
    TRUE,"Error"
  )
)</f>
        <v>Blank</v>
      </c>
      <c r="B1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1" spans="1:2" x14ac:dyDescent="0.3">
      <c r="A131" s="2" t="str" cm="1">
        <f t="array" ref="A131">_xlfn.LET(
  _xlpm.key,_xlfn.TEXTSPLIT("Email,Org,IRN,Impact",","),
  _xlpm.complete,ISBLANK(H131:K131),
  _xlpm.missing,_xlfn._xlws.FILTER(_xlpm.key,_xlpm.complete,FALSE()),
  _xlpm.missing_string,"Missing: "&amp;_xlfn.TEXTJOIN(", ",TRUE,_xlpm.missing),
  _xlfn.IFS(
    COUNTA(C131:K131)=0,"Blank",
AND(_xlpm.missing=FALSE,ROWS(_xlpm.missing)=1),"Complete",
    ROWS(_xlpm.missing)&gt;0,_xlpm.missing_string,
    TRUE,"Error"
  )
)</f>
        <v>Blank</v>
      </c>
      <c r="B1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2" spans="1:2" x14ac:dyDescent="0.3">
      <c r="A132" s="2" t="str" cm="1">
        <f t="array" ref="A132">_xlfn.LET(
  _xlpm.key,_xlfn.TEXTSPLIT("Email,Org,IRN,Impact",","),
  _xlpm.complete,ISBLANK(H132:K132),
  _xlpm.missing,_xlfn._xlws.FILTER(_xlpm.key,_xlpm.complete,FALSE()),
  _xlpm.missing_string,"Missing: "&amp;_xlfn.TEXTJOIN(", ",TRUE,_xlpm.missing),
  _xlfn.IFS(
    COUNTA(C132:K132)=0,"Blank",
AND(_xlpm.missing=FALSE,ROWS(_xlpm.missing)=1),"Complete",
    ROWS(_xlpm.missing)&gt;0,_xlpm.missing_string,
    TRUE,"Error"
  )
)</f>
        <v>Blank</v>
      </c>
      <c r="B1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3" spans="1:2" x14ac:dyDescent="0.3">
      <c r="A133" s="2" t="str" cm="1">
        <f t="array" ref="A133">_xlfn.LET(
  _xlpm.key,_xlfn.TEXTSPLIT("Email,Org,IRN,Impact",","),
  _xlpm.complete,ISBLANK(H133:K133),
  _xlpm.missing,_xlfn._xlws.FILTER(_xlpm.key,_xlpm.complete,FALSE()),
  _xlpm.missing_string,"Missing: "&amp;_xlfn.TEXTJOIN(", ",TRUE,_xlpm.missing),
  _xlfn.IFS(
    COUNTA(C133:K133)=0,"Blank",
AND(_xlpm.missing=FALSE,ROWS(_xlpm.missing)=1),"Complete",
    ROWS(_xlpm.missing)&gt;0,_xlpm.missing_string,
    TRUE,"Error"
  )
)</f>
        <v>Blank</v>
      </c>
      <c r="B1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4" spans="1:2" x14ac:dyDescent="0.3">
      <c r="A134" s="2" t="str" cm="1">
        <f t="array" ref="A134">_xlfn.LET(
  _xlpm.key,_xlfn.TEXTSPLIT("Email,Org,IRN,Impact",","),
  _xlpm.complete,ISBLANK(H134:K134),
  _xlpm.missing,_xlfn._xlws.FILTER(_xlpm.key,_xlpm.complete,FALSE()),
  _xlpm.missing_string,"Missing: "&amp;_xlfn.TEXTJOIN(", ",TRUE,_xlpm.missing),
  _xlfn.IFS(
    COUNTA(C134:K134)=0,"Blank",
AND(_xlpm.missing=FALSE,ROWS(_xlpm.missing)=1),"Complete",
    ROWS(_xlpm.missing)&gt;0,_xlpm.missing_string,
    TRUE,"Error"
  )
)</f>
        <v>Blank</v>
      </c>
      <c r="B1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5" spans="1:2" x14ac:dyDescent="0.3">
      <c r="A135" s="2" t="str" cm="1">
        <f t="array" ref="A135">_xlfn.LET(
  _xlpm.key,_xlfn.TEXTSPLIT("Email,Org,IRN,Impact",","),
  _xlpm.complete,ISBLANK(H135:K135),
  _xlpm.missing,_xlfn._xlws.FILTER(_xlpm.key,_xlpm.complete,FALSE()),
  _xlpm.missing_string,"Missing: "&amp;_xlfn.TEXTJOIN(", ",TRUE,_xlpm.missing),
  _xlfn.IFS(
    COUNTA(C135:K135)=0,"Blank",
AND(_xlpm.missing=FALSE,ROWS(_xlpm.missing)=1),"Complete",
    ROWS(_xlpm.missing)&gt;0,_xlpm.missing_string,
    TRUE,"Error"
  )
)</f>
        <v>Blank</v>
      </c>
      <c r="B1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6" spans="1:2" x14ac:dyDescent="0.3">
      <c r="A136" s="2" t="str" cm="1">
        <f t="array" ref="A136">_xlfn.LET(
  _xlpm.key,_xlfn.TEXTSPLIT("Email,Org,IRN,Impact",","),
  _xlpm.complete,ISBLANK(H136:K136),
  _xlpm.missing,_xlfn._xlws.FILTER(_xlpm.key,_xlpm.complete,FALSE()),
  _xlpm.missing_string,"Missing: "&amp;_xlfn.TEXTJOIN(", ",TRUE,_xlpm.missing),
  _xlfn.IFS(
    COUNTA(C136:K136)=0,"Blank",
AND(_xlpm.missing=FALSE,ROWS(_xlpm.missing)=1),"Complete",
    ROWS(_xlpm.missing)&gt;0,_xlpm.missing_string,
    TRUE,"Error"
  )
)</f>
        <v>Blank</v>
      </c>
      <c r="B1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7" spans="1:2" x14ac:dyDescent="0.3">
      <c r="A137" s="2" t="str" cm="1">
        <f t="array" ref="A137">_xlfn.LET(
  _xlpm.key,_xlfn.TEXTSPLIT("Email,Org,IRN,Impact",","),
  _xlpm.complete,ISBLANK(H137:K137),
  _xlpm.missing,_xlfn._xlws.FILTER(_xlpm.key,_xlpm.complete,FALSE()),
  _xlpm.missing_string,"Missing: "&amp;_xlfn.TEXTJOIN(", ",TRUE,_xlpm.missing),
  _xlfn.IFS(
    COUNTA(C137:K137)=0,"Blank",
AND(_xlpm.missing=FALSE,ROWS(_xlpm.missing)=1),"Complete",
    ROWS(_xlpm.missing)&gt;0,_xlpm.missing_string,
    TRUE,"Error"
  )
)</f>
        <v>Blank</v>
      </c>
      <c r="B1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8" spans="1:2" x14ac:dyDescent="0.3">
      <c r="A138" s="2" t="str" cm="1">
        <f t="array" ref="A138">_xlfn.LET(
  _xlpm.key,_xlfn.TEXTSPLIT("Email,Org,IRN,Impact",","),
  _xlpm.complete,ISBLANK(H138:K138),
  _xlpm.missing,_xlfn._xlws.FILTER(_xlpm.key,_xlpm.complete,FALSE()),
  _xlpm.missing_string,"Missing: "&amp;_xlfn.TEXTJOIN(", ",TRUE,_xlpm.missing),
  _xlfn.IFS(
    COUNTA(C138:K138)=0,"Blank",
AND(_xlpm.missing=FALSE,ROWS(_xlpm.missing)=1),"Complete",
    ROWS(_xlpm.missing)&gt;0,_xlpm.missing_string,
    TRUE,"Error"
  )
)</f>
        <v>Blank</v>
      </c>
      <c r="B1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39" spans="1:2" x14ac:dyDescent="0.3">
      <c r="A139" s="2" t="str" cm="1">
        <f t="array" ref="A139">_xlfn.LET(
  _xlpm.key,_xlfn.TEXTSPLIT("Email,Org,IRN,Impact",","),
  _xlpm.complete,ISBLANK(H139:K139),
  _xlpm.missing,_xlfn._xlws.FILTER(_xlpm.key,_xlpm.complete,FALSE()),
  _xlpm.missing_string,"Missing: "&amp;_xlfn.TEXTJOIN(", ",TRUE,_xlpm.missing),
  _xlfn.IFS(
    COUNTA(C139:K139)=0,"Blank",
AND(_xlpm.missing=FALSE,ROWS(_xlpm.missing)=1),"Complete",
    ROWS(_xlpm.missing)&gt;0,_xlpm.missing_string,
    TRUE,"Error"
  )
)</f>
        <v>Blank</v>
      </c>
      <c r="B1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0" spans="1:2" x14ac:dyDescent="0.3">
      <c r="A140" s="2" t="str" cm="1">
        <f t="array" ref="A140">_xlfn.LET(
  _xlpm.key,_xlfn.TEXTSPLIT("Email,Org,IRN,Impact",","),
  _xlpm.complete,ISBLANK(H140:K140),
  _xlpm.missing,_xlfn._xlws.FILTER(_xlpm.key,_xlpm.complete,FALSE()),
  _xlpm.missing_string,"Missing: "&amp;_xlfn.TEXTJOIN(", ",TRUE,_xlpm.missing),
  _xlfn.IFS(
    COUNTA(C140:K140)=0,"Blank",
AND(_xlpm.missing=FALSE,ROWS(_xlpm.missing)=1),"Complete",
    ROWS(_xlpm.missing)&gt;0,_xlpm.missing_string,
    TRUE,"Error"
  )
)</f>
        <v>Blank</v>
      </c>
      <c r="B1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1" spans="1:2" x14ac:dyDescent="0.3">
      <c r="A141" s="2" t="str" cm="1">
        <f t="array" ref="A141">_xlfn.LET(
  _xlpm.key,_xlfn.TEXTSPLIT("Email,Org,IRN,Impact",","),
  _xlpm.complete,ISBLANK(H141:K141),
  _xlpm.missing,_xlfn._xlws.FILTER(_xlpm.key,_xlpm.complete,FALSE()),
  _xlpm.missing_string,"Missing: "&amp;_xlfn.TEXTJOIN(", ",TRUE,_xlpm.missing),
  _xlfn.IFS(
    COUNTA(C141:K141)=0,"Blank",
AND(_xlpm.missing=FALSE,ROWS(_xlpm.missing)=1),"Complete",
    ROWS(_xlpm.missing)&gt;0,_xlpm.missing_string,
    TRUE,"Error"
  )
)</f>
        <v>Blank</v>
      </c>
      <c r="B1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2" spans="1:2" x14ac:dyDescent="0.3">
      <c r="A142" s="2" t="str" cm="1">
        <f t="array" ref="A142">_xlfn.LET(
  _xlpm.key,_xlfn.TEXTSPLIT("Email,Org,IRN,Impact",","),
  _xlpm.complete,ISBLANK(H142:K142),
  _xlpm.missing,_xlfn._xlws.FILTER(_xlpm.key,_xlpm.complete,FALSE()),
  _xlpm.missing_string,"Missing: "&amp;_xlfn.TEXTJOIN(", ",TRUE,_xlpm.missing),
  _xlfn.IFS(
    COUNTA(C142:K142)=0,"Blank",
AND(_xlpm.missing=FALSE,ROWS(_xlpm.missing)=1),"Complete",
    ROWS(_xlpm.missing)&gt;0,_xlpm.missing_string,
    TRUE,"Error"
  )
)</f>
        <v>Blank</v>
      </c>
      <c r="B1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3" spans="1:2" x14ac:dyDescent="0.3">
      <c r="A143" s="2" t="str" cm="1">
        <f t="array" ref="A143">_xlfn.LET(
  _xlpm.key,_xlfn.TEXTSPLIT("Email,Org,IRN,Impact",","),
  _xlpm.complete,ISBLANK(H143:K143),
  _xlpm.missing,_xlfn._xlws.FILTER(_xlpm.key,_xlpm.complete,FALSE()),
  _xlpm.missing_string,"Missing: "&amp;_xlfn.TEXTJOIN(", ",TRUE,_xlpm.missing),
  _xlfn.IFS(
    COUNTA(C143:K143)=0,"Blank",
AND(_xlpm.missing=FALSE,ROWS(_xlpm.missing)=1),"Complete",
    ROWS(_xlpm.missing)&gt;0,_xlpm.missing_string,
    TRUE,"Error"
  )
)</f>
        <v>Blank</v>
      </c>
      <c r="B1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4" spans="1:2" x14ac:dyDescent="0.3">
      <c r="A144" s="2" t="str" cm="1">
        <f t="array" ref="A144">_xlfn.LET(
  _xlpm.key,_xlfn.TEXTSPLIT("Email,Org,IRN,Impact",","),
  _xlpm.complete,ISBLANK(H144:K144),
  _xlpm.missing,_xlfn._xlws.FILTER(_xlpm.key,_xlpm.complete,FALSE()),
  _xlpm.missing_string,"Missing: "&amp;_xlfn.TEXTJOIN(", ",TRUE,_xlpm.missing),
  _xlfn.IFS(
    COUNTA(C144:K144)=0,"Blank",
AND(_xlpm.missing=FALSE,ROWS(_xlpm.missing)=1),"Complete",
    ROWS(_xlpm.missing)&gt;0,_xlpm.missing_string,
    TRUE,"Error"
  )
)</f>
        <v>Blank</v>
      </c>
      <c r="B1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5" spans="1:2" x14ac:dyDescent="0.3">
      <c r="A145" s="2" t="str" cm="1">
        <f t="array" ref="A145">_xlfn.LET(
  _xlpm.key,_xlfn.TEXTSPLIT("Email,Org,IRN,Impact",","),
  _xlpm.complete,ISBLANK(H145:K145),
  _xlpm.missing,_xlfn._xlws.FILTER(_xlpm.key,_xlpm.complete,FALSE()),
  _xlpm.missing_string,"Missing: "&amp;_xlfn.TEXTJOIN(", ",TRUE,_xlpm.missing),
  _xlfn.IFS(
    COUNTA(C145:K145)=0,"Blank",
AND(_xlpm.missing=FALSE,ROWS(_xlpm.missing)=1),"Complete",
    ROWS(_xlpm.missing)&gt;0,_xlpm.missing_string,
    TRUE,"Error"
  )
)</f>
        <v>Blank</v>
      </c>
      <c r="B1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6" spans="1:2" x14ac:dyDescent="0.3">
      <c r="A146" s="2" t="str" cm="1">
        <f t="array" ref="A146">_xlfn.LET(
  _xlpm.key,_xlfn.TEXTSPLIT("Email,Org,IRN,Impact",","),
  _xlpm.complete,ISBLANK(H146:K146),
  _xlpm.missing,_xlfn._xlws.FILTER(_xlpm.key,_xlpm.complete,FALSE()),
  _xlpm.missing_string,"Missing: "&amp;_xlfn.TEXTJOIN(", ",TRUE,_xlpm.missing),
  _xlfn.IFS(
    COUNTA(C146:K146)=0,"Blank",
AND(_xlpm.missing=FALSE,ROWS(_xlpm.missing)=1),"Complete",
    ROWS(_xlpm.missing)&gt;0,_xlpm.missing_string,
    TRUE,"Error"
  )
)</f>
        <v>Blank</v>
      </c>
      <c r="B1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7" spans="1:2" x14ac:dyDescent="0.3">
      <c r="A147" s="2" t="str" cm="1">
        <f t="array" ref="A147">_xlfn.LET(
  _xlpm.key,_xlfn.TEXTSPLIT("Email,Org,IRN,Impact",","),
  _xlpm.complete,ISBLANK(H147:K147),
  _xlpm.missing,_xlfn._xlws.FILTER(_xlpm.key,_xlpm.complete,FALSE()),
  _xlpm.missing_string,"Missing: "&amp;_xlfn.TEXTJOIN(", ",TRUE,_xlpm.missing),
  _xlfn.IFS(
    COUNTA(C147:K147)=0,"Blank",
AND(_xlpm.missing=FALSE,ROWS(_xlpm.missing)=1),"Complete",
    ROWS(_xlpm.missing)&gt;0,_xlpm.missing_string,
    TRUE,"Error"
  )
)</f>
        <v>Blank</v>
      </c>
      <c r="B1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8" spans="1:2" x14ac:dyDescent="0.3">
      <c r="A148" s="2" t="str" cm="1">
        <f t="array" ref="A148">_xlfn.LET(
  _xlpm.key,_xlfn.TEXTSPLIT("Email,Org,IRN,Impact",","),
  _xlpm.complete,ISBLANK(H148:K148),
  _xlpm.missing,_xlfn._xlws.FILTER(_xlpm.key,_xlpm.complete,FALSE()),
  _xlpm.missing_string,"Missing: "&amp;_xlfn.TEXTJOIN(", ",TRUE,_xlpm.missing),
  _xlfn.IFS(
    COUNTA(C148:K148)=0,"Blank",
AND(_xlpm.missing=FALSE,ROWS(_xlpm.missing)=1),"Complete",
    ROWS(_xlpm.missing)&gt;0,_xlpm.missing_string,
    TRUE,"Error"
  )
)</f>
        <v>Blank</v>
      </c>
      <c r="B1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49" spans="1:2" x14ac:dyDescent="0.3">
      <c r="A149" s="2" t="str" cm="1">
        <f t="array" ref="A149">_xlfn.LET(
  _xlpm.key,_xlfn.TEXTSPLIT("Email,Org,IRN,Impact",","),
  _xlpm.complete,ISBLANK(H149:K149),
  _xlpm.missing,_xlfn._xlws.FILTER(_xlpm.key,_xlpm.complete,FALSE()),
  _xlpm.missing_string,"Missing: "&amp;_xlfn.TEXTJOIN(", ",TRUE,_xlpm.missing),
  _xlfn.IFS(
    COUNTA(C149:K149)=0,"Blank",
AND(_xlpm.missing=FALSE,ROWS(_xlpm.missing)=1),"Complete",
    ROWS(_xlpm.missing)&gt;0,_xlpm.missing_string,
    TRUE,"Error"
  )
)</f>
        <v>Blank</v>
      </c>
      <c r="B1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0" spans="1:2" x14ac:dyDescent="0.3">
      <c r="A150" s="2" t="str" cm="1">
        <f t="array" ref="A150">_xlfn.LET(
  _xlpm.key,_xlfn.TEXTSPLIT("Email,Org,IRN,Impact",","),
  _xlpm.complete,ISBLANK(H150:K150),
  _xlpm.missing,_xlfn._xlws.FILTER(_xlpm.key,_xlpm.complete,FALSE()),
  _xlpm.missing_string,"Missing: "&amp;_xlfn.TEXTJOIN(", ",TRUE,_xlpm.missing),
  _xlfn.IFS(
    COUNTA(C150:K150)=0,"Blank",
AND(_xlpm.missing=FALSE,ROWS(_xlpm.missing)=1),"Complete",
    ROWS(_xlpm.missing)&gt;0,_xlpm.missing_string,
    TRUE,"Error"
  )
)</f>
        <v>Blank</v>
      </c>
      <c r="B1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1" spans="1:2" x14ac:dyDescent="0.3">
      <c r="A151" s="2" t="str" cm="1">
        <f t="array" ref="A151">_xlfn.LET(
  _xlpm.key,_xlfn.TEXTSPLIT("Email,Org,IRN,Impact",","),
  _xlpm.complete,ISBLANK(H151:K151),
  _xlpm.missing,_xlfn._xlws.FILTER(_xlpm.key,_xlpm.complete,FALSE()),
  _xlpm.missing_string,"Missing: "&amp;_xlfn.TEXTJOIN(", ",TRUE,_xlpm.missing),
  _xlfn.IFS(
    COUNTA(C151:K151)=0,"Blank",
AND(_xlpm.missing=FALSE,ROWS(_xlpm.missing)=1),"Complete",
    ROWS(_xlpm.missing)&gt;0,_xlpm.missing_string,
    TRUE,"Error"
  )
)</f>
        <v>Blank</v>
      </c>
      <c r="B1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2" spans="1:2" x14ac:dyDescent="0.3">
      <c r="A152" s="2" t="str" cm="1">
        <f t="array" ref="A152">_xlfn.LET(
  _xlpm.key,_xlfn.TEXTSPLIT("Email,Org,IRN,Impact",","),
  _xlpm.complete,ISBLANK(H152:K152),
  _xlpm.missing,_xlfn._xlws.FILTER(_xlpm.key,_xlpm.complete,FALSE()),
  _xlpm.missing_string,"Missing: "&amp;_xlfn.TEXTJOIN(", ",TRUE,_xlpm.missing),
  _xlfn.IFS(
    COUNTA(C152:K152)=0,"Blank",
AND(_xlpm.missing=FALSE,ROWS(_xlpm.missing)=1),"Complete",
    ROWS(_xlpm.missing)&gt;0,_xlpm.missing_string,
    TRUE,"Error"
  )
)</f>
        <v>Blank</v>
      </c>
      <c r="B1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3" spans="1:2" x14ac:dyDescent="0.3">
      <c r="A153" s="2" t="str" cm="1">
        <f t="array" ref="A153">_xlfn.LET(
  _xlpm.key,_xlfn.TEXTSPLIT("Email,Org,IRN,Impact",","),
  _xlpm.complete,ISBLANK(H153:K153),
  _xlpm.missing,_xlfn._xlws.FILTER(_xlpm.key,_xlpm.complete,FALSE()),
  _xlpm.missing_string,"Missing: "&amp;_xlfn.TEXTJOIN(", ",TRUE,_xlpm.missing),
  _xlfn.IFS(
    COUNTA(C153:K153)=0,"Blank",
AND(_xlpm.missing=FALSE,ROWS(_xlpm.missing)=1),"Complete",
    ROWS(_xlpm.missing)&gt;0,_xlpm.missing_string,
    TRUE,"Error"
  )
)</f>
        <v>Blank</v>
      </c>
      <c r="B1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4" spans="1:2" x14ac:dyDescent="0.3">
      <c r="A154" s="2" t="str" cm="1">
        <f t="array" ref="A154">_xlfn.LET(
  _xlpm.key,_xlfn.TEXTSPLIT("Email,Org,IRN,Impact",","),
  _xlpm.complete,ISBLANK(H154:K154),
  _xlpm.missing,_xlfn._xlws.FILTER(_xlpm.key,_xlpm.complete,FALSE()),
  _xlpm.missing_string,"Missing: "&amp;_xlfn.TEXTJOIN(", ",TRUE,_xlpm.missing),
  _xlfn.IFS(
    COUNTA(C154:K154)=0,"Blank",
AND(_xlpm.missing=FALSE,ROWS(_xlpm.missing)=1),"Complete",
    ROWS(_xlpm.missing)&gt;0,_xlpm.missing_string,
    TRUE,"Error"
  )
)</f>
        <v>Blank</v>
      </c>
      <c r="B1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5" spans="1:2" x14ac:dyDescent="0.3">
      <c r="A155" s="2" t="str" cm="1">
        <f t="array" ref="A155">_xlfn.LET(
  _xlpm.key,_xlfn.TEXTSPLIT("Email,Org,IRN,Impact",","),
  _xlpm.complete,ISBLANK(H155:K155),
  _xlpm.missing,_xlfn._xlws.FILTER(_xlpm.key,_xlpm.complete,FALSE()),
  _xlpm.missing_string,"Missing: "&amp;_xlfn.TEXTJOIN(", ",TRUE,_xlpm.missing),
  _xlfn.IFS(
    COUNTA(C155:K155)=0,"Blank",
AND(_xlpm.missing=FALSE,ROWS(_xlpm.missing)=1),"Complete",
    ROWS(_xlpm.missing)&gt;0,_xlpm.missing_string,
    TRUE,"Error"
  )
)</f>
        <v>Blank</v>
      </c>
      <c r="B1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6" spans="1:2" x14ac:dyDescent="0.3">
      <c r="A156" s="2" t="str" cm="1">
        <f t="array" ref="A156">_xlfn.LET(
  _xlpm.key,_xlfn.TEXTSPLIT("Email,Org,IRN,Impact",","),
  _xlpm.complete,ISBLANK(H156:K156),
  _xlpm.missing,_xlfn._xlws.FILTER(_xlpm.key,_xlpm.complete,FALSE()),
  _xlpm.missing_string,"Missing: "&amp;_xlfn.TEXTJOIN(", ",TRUE,_xlpm.missing),
  _xlfn.IFS(
    COUNTA(C156:K156)=0,"Blank",
AND(_xlpm.missing=FALSE,ROWS(_xlpm.missing)=1),"Complete",
    ROWS(_xlpm.missing)&gt;0,_xlpm.missing_string,
    TRUE,"Error"
  )
)</f>
        <v>Blank</v>
      </c>
      <c r="B1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7" spans="1:2" x14ac:dyDescent="0.3">
      <c r="A157" s="2" t="str" cm="1">
        <f t="array" ref="A157">_xlfn.LET(
  _xlpm.key,_xlfn.TEXTSPLIT("Email,Org,IRN,Impact",","),
  _xlpm.complete,ISBLANK(H157:K157),
  _xlpm.missing,_xlfn._xlws.FILTER(_xlpm.key,_xlpm.complete,FALSE()),
  _xlpm.missing_string,"Missing: "&amp;_xlfn.TEXTJOIN(", ",TRUE,_xlpm.missing),
  _xlfn.IFS(
    COUNTA(C157:K157)=0,"Blank",
AND(_xlpm.missing=FALSE,ROWS(_xlpm.missing)=1),"Complete",
    ROWS(_xlpm.missing)&gt;0,_xlpm.missing_string,
    TRUE,"Error"
  )
)</f>
        <v>Blank</v>
      </c>
      <c r="B1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8" spans="1:2" x14ac:dyDescent="0.3">
      <c r="A158" s="2" t="str" cm="1">
        <f t="array" ref="A158">_xlfn.LET(
  _xlpm.key,_xlfn.TEXTSPLIT("Email,Org,IRN,Impact",","),
  _xlpm.complete,ISBLANK(H158:K158),
  _xlpm.missing,_xlfn._xlws.FILTER(_xlpm.key,_xlpm.complete,FALSE()),
  _xlpm.missing_string,"Missing: "&amp;_xlfn.TEXTJOIN(", ",TRUE,_xlpm.missing),
  _xlfn.IFS(
    COUNTA(C158:K158)=0,"Blank",
AND(_xlpm.missing=FALSE,ROWS(_xlpm.missing)=1),"Complete",
    ROWS(_xlpm.missing)&gt;0,_xlpm.missing_string,
    TRUE,"Error"
  )
)</f>
        <v>Blank</v>
      </c>
      <c r="B1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59" spans="1:2" x14ac:dyDescent="0.3">
      <c r="A159" s="2" t="str" cm="1">
        <f t="array" ref="A159">_xlfn.LET(
  _xlpm.key,_xlfn.TEXTSPLIT("Email,Org,IRN,Impact",","),
  _xlpm.complete,ISBLANK(H159:K159),
  _xlpm.missing,_xlfn._xlws.FILTER(_xlpm.key,_xlpm.complete,FALSE()),
  _xlpm.missing_string,"Missing: "&amp;_xlfn.TEXTJOIN(", ",TRUE,_xlpm.missing),
  _xlfn.IFS(
    COUNTA(C159:K159)=0,"Blank",
AND(_xlpm.missing=FALSE,ROWS(_xlpm.missing)=1),"Complete",
    ROWS(_xlpm.missing)&gt;0,_xlpm.missing_string,
    TRUE,"Error"
  )
)</f>
        <v>Blank</v>
      </c>
      <c r="B1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0" spans="1:2" x14ac:dyDescent="0.3">
      <c r="A160" s="2" t="str" cm="1">
        <f t="array" ref="A160">_xlfn.LET(
  _xlpm.key,_xlfn.TEXTSPLIT("Email,Org,IRN,Impact",","),
  _xlpm.complete,ISBLANK(H160:K160),
  _xlpm.missing,_xlfn._xlws.FILTER(_xlpm.key,_xlpm.complete,FALSE()),
  _xlpm.missing_string,"Missing: "&amp;_xlfn.TEXTJOIN(", ",TRUE,_xlpm.missing),
  _xlfn.IFS(
    COUNTA(C160:K160)=0,"Blank",
AND(_xlpm.missing=FALSE,ROWS(_xlpm.missing)=1),"Complete",
    ROWS(_xlpm.missing)&gt;0,_xlpm.missing_string,
    TRUE,"Error"
  )
)</f>
        <v>Blank</v>
      </c>
      <c r="B1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1" spans="1:2" x14ac:dyDescent="0.3">
      <c r="A161" s="2" t="str" cm="1">
        <f t="array" ref="A161">_xlfn.LET(
  _xlpm.key,_xlfn.TEXTSPLIT("Email,Org,IRN,Impact",","),
  _xlpm.complete,ISBLANK(H161:K161),
  _xlpm.missing,_xlfn._xlws.FILTER(_xlpm.key,_xlpm.complete,FALSE()),
  _xlpm.missing_string,"Missing: "&amp;_xlfn.TEXTJOIN(", ",TRUE,_xlpm.missing),
  _xlfn.IFS(
    COUNTA(C161:K161)=0,"Blank",
AND(_xlpm.missing=FALSE,ROWS(_xlpm.missing)=1),"Complete",
    ROWS(_xlpm.missing)&gt;0,_xlpm.missing_string,
    TRUE,"Error"
  )
)</f>
        <v>Blank</v>
      </c>
      <c r="B1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2" spans="1:2" x14ac:dyDescent="0.3">
      <c r="A162" s="2" t="str" cm="1">
        <f t="array" ref="A162">_xlfn.LET(
  _xlpm.key,_xlfn.TEXTSPLIT("Email,Org,IRN,Impact",","),
  _xlpm.complete,ISBLANK(H162:K162),
  _xlpm.missing,_xlfn._xlws.FILTER(_xlpm.key,_xlpm.complete,FALSE()),
  _xlpm.missing_string,"Missing: "&amp;_xlfn.TEXTJOIN(", ",TRUE,_xlpm.missing),
  _xlfn.IFS(
    COUNTA(C162:K162)=0,"Blank",
AND(_xlpm.missing=FALSE,ROWS(_xlpm.missing)=1),"Complete",
    ROWS(_xlpm.missing)&gt;0,_xlpm.missing_string,
    TRUE,"Error"
  )
)</f>
        <v>Blank</v>
      </c>
      <c r="B1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3" spans="1:2" x14ac:dyDescent="0.3">
      <c r="A163" s="2" t="str" cm="1">
        <f t="array" ref="A163">_xlfn.LET(
  _xlpm.key,_xlfn.TEXTSPLIT("Email,Org,IRN,Impact",","),
  _xlpm.complete,ISBLANK(H163:K163),
  _xlpm.missing,_xlfn._xlws.FILTER(_xlpm.key,_xlpm.complete,FALSE()),
  _xlpm.missing_string,"Missing: "&amp;_xlfn.TEXTJOIN(", ",TRUE,_xlpm.missing),
  _xlfn.IFS(
    COUNTA(C163:K163)=0,"Blank",
AND(_xlpm.missing=FALSE,ROWS(_xlpm.missing)=1),"Complete",
    ROWS(_xlpm.missing)&gt;0,_xlpm.missing_string,
    TRUE,"Error"
  )
)</f>
        <v>Blank</v>
      </c>
      <c r="B1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4" spans="1:2" x14ac:dyDescent="0.3">
      <c r="A164" s="2" t="str" cm="1">
        <f t="array" ref="A164">_xlfn.LET(
  _xlpm.key,_xlfn.TEXTSPLIT("Email,Org,IRN,Impact",","),
  _xlpm.complete,ISBLANK(H164:K164),
  _xlpm.missing,_xlfn._xlws.FILTER(_xlpm.key,_xlpm.complete,FALSE()),
  _xlpm.missing_string,"Missing: "&amp;_xlfn.TEXTJOIN(", ",TRUE,_xlpm.missing),
  _xlfn.IFS(
    COUNTA(C164:K164)=0,"Blank",
AND(_xlpm.missing=FALSE,ROWS(_xlpm.missing)=1),"Complete",
    ROWS(_xlpm.missing)&gt;0,_xlpm.missing_string,
    TRUE,"Error"
  )
)</f>
        <v>Blank</v>
      </c>
      <c r="B1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5" spans="1:2" x14ac:dyDescent="0.3">
      <c r="A165" s="2" t="str" cm="1">
        <f t="array" ref="A165">_xlfn.LET(
  _xlpm.key,_xlfn.TEXTSPLIT("Email,Org,IRN,Impact",","),
  _xlpm.complete,ISBLANK(H165:K165),
  _xlpm.missing,_xlfn._xlws.FILTER(_xlpm.key,_xlpm.complete,FALSE()),
  _xlpm.missing_string,"Missing: "&amp;_xlfn.TEXTJOIN(", ",TRUE,_xlpm.missing),
  _xlfn.IFS(
    COUNTA(C165:K165)=0,"Blank",
AND(_xlpm.missing=FALSE,ROWS(_xlpm.missing)=1),"Complete",
    ROWS(_xlpm.missing)&gt;0,_xlpm.missing_string,
    TRUE,"Error"
  )
)</f>
        <v>Blank</v>
      </c>
      <c r="B1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6" spans="1:2" x14ac:dyDescent="0.3">
      <c r="A166" s="2" t="str" cm="1">
        <f t="array" ref="A166">_xlfn.LET(
  _xlpm.key,_xlfn.TEXTSPLIT("Email,Org,IRN,Impact",","),
  _xlpm.complete,ISBLANK(H166:K166),
  _xlpm.missing,_xlfn._xlws.FILTER(_xlpm.key,_xlpm.complete,FALSE()),
  _xlpm.missing_string,"Missing: "&amp;_xlfn.TEXTJOIN(", ",TRUE,_xlpm.missing),
  _xlfn.IFS(
    COUNTA(C166:K166)=0,"Blank",
AND(_xlpm.missing=FALSE,ROWS(_xlpm.missing)=1),"Complete",
    ROWS(_xlpm.missing)&gt;0,_xlpm.missing_string,
    TRUE,"Error"
  )
)</f>
        <v>Blank</v>
      </c>
      <c r="B1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7" spans="1:2" x14ac:dyDescent="0.3">
      <c r="A167" s="2" t="str" cm="1">
        <f t="array" ref="A167">_xlfn.LET(
  _xlpm.key,_xlfn.TEXTSPLIT("Email,Org,IRN,Impact",","),
  _xlpm.complete,ISBLANK(H167:K167),
  _xlpm.missing,_xlfn._xlws.FILTER(_xlpm.key,_xlpm.complete,FALSE()),
  _xlpm.missing_string,"Missing: "&amp;_xlfn.TEXTJOIN(", ",TRUE,_xlpm.missing),
  _xlfn.IFS(
    COUNTA(C167:K167)=0,"Blank",
AND(_xlpm.missing=FALSE,ROWS(_xlpm.missing)=1),"Complete",
    ROWS(_xlpm.missing)&gt;0,_xlpm.missing_string,
    TRUE,"Error"
  )
)</f>
        <v>Blank</v>
      </c>
      <c r="B1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8" spans="1:2" x14ac:dyDescent="0.3">
      <c r="A168" s="2" t="str" cm="1">
        <f t="array" ref="A168">_xlfn.LET(
  _xlpm.key,_xlfn.TEXTSPLIT("Email,Org,IRN,Impact",","),
  _xlpm.complete,ISBLANK(H168:K168),
  _xlpm.missing,_xlfn._xlws.FILTER(_xlpm.key,_xlpm.complete,FALSE()),
  _xlpm.missing_string,"Missing: "&amp;_xlfn.TEXTJOIN(", ",TRUE,_xlpm.missing),
  _xlfn.IFS(
    COUNTA(C168:K168)=0,"Blank",
AND(_xlpm.missing=FALSE,ROWS(_xlpm.missing)=1),"Complete",
    ROWS(_xlpm.missing)&gt;0,_xlpm.missing_string,
    TRUE,"Error"
  )
)</f>
        <v>Blank</v>
      </c>
      <c r="B1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69" spans="1:2" x14ac:dyDescent="0.3">
      <c r="A169" s="2" t="str" cm="1">
        <f t="array" ref="A169">_xlfn.LET(
  _xlpm.key,_xlfn.TEXTSPLIT("Email,Org,IRN,Impact",","),
  _xlpm.complete,ISBLANK(H169:K169),
  _xlpm.missing,_xlfn._xlws.FILTER(_xlpm.key,_xlpm.complete,FALSE()),
  _xlpm.missing_string,"Missing: "&amp;_xlfn.TEXTJOIN(", ",TRUE,_xlpm.missing),
  _xlfn.IFS(
    COUNTA(C169:K169)=0,"Blank",
AND(_xlpm.missing=FALSE,ROWS(_xlpm.missing)=1),"Complete",
    ROWS(_xlpm.missing)&gt;0,_xlpm.missing_string,
    TRUE,"Error"
  )
)</f>
        <v>Blank</v>
      </c>
      <c r="B1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0" spans="1:2" x14ac:dyDescent="0.3">
      <c r="A170" s="2" t="str" cm="1">
        <f t="array" ref="A170">_xlfn.LET(
  _xlpm.key,_xlfn.TEXTSPLIT("Email,Org,IRN,Impact",","),
  _xlpm.complete,ISBLANK(H170:K170),
  _xlpm.missing,_xlfn._xlws.FILTER(_xlpm.key,_xlpm.complete,FALSE()),
  _xlpm.missing_string,"Missing: "&amp;_xlfn.TEXTJOIN(", ",TRUE,_xlpm.missing),
  _xlfn.IFS(
    COUNTA(C170:K170)=0,"Blank",
AND(_xlpm.missing=FALSE,ROWS(_xlpm.missing)=1),"Complete",
    ROWS(_xlpm.missing)&gt;0,_xlpm.missing_string,
    TRUE,"Error"
  )
)</f>
        <v>Blank</v>
      </c>
      <c r="B1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1" spans="1:2" x14ac:dyDescent="0.3">
      <c r="A171" s="2" t="str" cm="1">
        <f t="array" ref="A171">_xlfn.LET(
  _xlpm.key,_xlfn.TEXTSPLIT("Email,Org,IRN,Impact",","),
  _xlpm.complete,ISBLANK(H171:K171),
  _xlpm.missing,_xlfn._xlws.FILTER(_xlpm.key,_xlpm.complete,FALSE()),
  _xlpm.missing_string,"Missing: "&amp;_xlfn.TEXTJOIN(", ",TRUE,_xlpm.missing),
  _xlfn.IFS(
    COUNTA(C171:K171)=0,"Blank",
AND(_xlpm.missing=FALSE,ROWS(_xlpm.missing)=1),"Complete",
    ROWS(_xlpm.missing)&gt;0,_xlpm.missing_string,
    TRUE,"Error"
  )
)</f>
        <v>Blank</v>
      </c>
      <c r="B1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2" spans="1:2" x14ac:dyDescent="0.3">
      <c r="A172" s="2" t="str" cm="1">
        <f t="array" ref="A172">_xlfn.LET(
  _xlpm.key,_xlfn.TEXTSPLIT("Email,Org,IRN,Impact",","),
  _xlpm.complete,ISBLANK(H172:K172),
  _xlpm.missing,_xlfn._xlws.FILTER(_xlpm.key,_xlpm.complete,FALSE()),
  _xlpm.missing_string,"Missing: "&amp;_xlfn.TEXTJOIN(", ",TRUE,_xlpm.missing),
  _xlfn.IFS(
    COUNTA(C172:K172)=0,"Blank",
AND(_xlpm.missing=FALSE,ROWS(_xlpm.missing)=1),"Complete",
    ROWS(_xlpm.missing)&gt;0,_xlpm.missing_string,
    TRUE,"Error"
  )
)</f>
        <v>Blank</v>
      </c>
      <c r="B1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3" spans="1:2" x14ac:dyDescent="0.3">
      <c r="A173" s="2" t="str" cm="1">
        <f t="array" ref="A173">_xlfn.LET(
  _xlpm.key,_xlfn.TEXTSPLIT("Email,Org,IRN,Impact",","),
  _xlpm.complete,ISBLANK(H173:K173),
  _xlpm.missing,_xlfn._xlws.FILTER(_xlpm.key,_xlpm.complete,FALSE()),
  _xlpm.missing_string,"Missing: "&amp;_xlfn.TEXTJOIN(", ",TRUE,_xlpm.missing),
  _xlfn.IFS(
    COUNTA(C173:K173)=0,"Blank",
AND(_xlpm.missing=FALSE,ROWS(_xlpm.missing)=1),"Complete",
    ROWS(_xlpm.missing)&gt;0,_xlpm.missing_string,
    TRUE,"Error"
  )
)</f>
        <v>Blank</v>
      </c>
      <c r="B1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4" spans="1:2" x14ac:dyDescent="0.3">
      <c r="A174" s="2" t="str" cm="1">
        <f t="array" ref="A174">_xlfn.LET(
  _xlpm.key,_xlfn.TEXTSPLIT("Email,Org,IRN,Impact",","),
  _xlpm.complete,ISBLANK(H174:K174),
  _xlpm.missing,_xlfn._xlws.FILTER(_xlpm.key,_xlpm.complete,FALSE()),
  _xlpm.missing_string,"Missing: "&amp;_xlfn.TEXTJOIN(", ",TRUE,_xlpm.missing),
  _xlfn.IFS(
    COUNTA(C174:K174)=0,"Blank",
AND(_xlpm.missing=FALSE,ROWS(_xlpm.missing)=1),"Complete",
    ROWS(_xlpm.missing)&gt;0,_xlpm.missing_string,
    TRUE,"Error"
  )
)</f>
        <v>Blank</v>
      </c>
      <c r="B1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5" spans="1:2" x14ac:dyDescent="0.3">
      <c r="A175" s="2" t="str" cm="1">
        <f t="array" ref="A175">_xlfn.LET(
  _xlpm.key,_xlfn.TEXTSPLIT("Email,Org,IRN,Impact",","),
  _xlpm.complete,ISBLANK(H175:K175),
  _xlpm.missing,_xlfn._xlws.FILTER(_xlpm.key,_xlpm.complete,FALSE()),
  _xlpm.missing_string,"Missing: "&amp;_xlfn.TEXTJOIN(", ",TRUE,_xlpm.missing),
  _xlfn.IFS(
    COUNTA(C175:K175)=0,"Blank",
AND(_xlpm.missing=FALSE,ROWS(_xlpm.missing)=1),"Complete",
    ROWS(_xlpm.missing)&gt;0,_xlpm.missing_string,
    TRUE,"Error"
  )
)</f>
        <v>Blank</v>
      </c>
      <c r="B1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6" spans="1:2" x14ac:dyDescent="0.3">
      <c r="A176" s="2" t="str" cm="1">
        <f t="array" ref="A176">_xlfn.LET(
  _xlpm.key,_xlfn.TEXTSPLIT("Email,Org,IRN,Impact",","),
  _xlpm.complete,ISBLANK(H176:K176),
  _xlpm.missing,_xlfn._xlws.FILTER(_xlpm.key,_xlpm.complete,FALSE()),
  _xlpm.missing_string,"Missing: "&amp;_xlfn.TEXTJOIN(", ",TRUE,_xlpm.missing),
  _xlfn.IFS(
    COUNTA(C176:K176)=0,"Blank",
AND(_xlpm.missing=FALSE,ROWS(_xlpm.missing)=1),"Complete",
    ROWS(_xlpm.missing)&gt;0,_xlpm.missing_string,
    TRUE,"Error"
  )
)</f>
        <v>Blank</v>
      </c>
      <c r="B1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7" spans="1:2" x14ac:dyDescent="0.3">
      <c r="A177" s="2" t="str" cm="1">
        <f t="array" ref="A177">_xlfn.LET(
  _xlpm.key,_xlfn.TEXTSPLIT("Email,Org,IRN,Impact",","),
  _xlpm.complete,ISBLANK(H177:K177),
  _xlpm.missing,_xlfn._xlws.FILTER(_xlpm.key,_xlpm.complete,FALSE()),
  _xlpm.missing_string,"Missing: "&amp;_xlfn.TEXTJOIN(", ",TRUE,_xlpm.missing),
  _xlfn.IFS(
    COUNTA(C177:K177)=0,"Blank",
AND(_xlpm.missing=FALSE,ROWS(_xlpm.missing)=1),"Complete",
    ROWS(_xlpm.missing)&gt;0,_xlpm.missing_string,
    TRUE,"Error"
  )
)</f>
        <v>Blank</v>
      </c>
      <c r="B1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8" spans="1:2" x14ac:dyDescent="0.3">
      <c r="A178" s="2" t="str" cm="1">
        <f t="array" ref="A178">_xlfn.LET(
  _xlpm.key,_xlfn.TEXTSPLIT("Email,Org,IRN,Impact",","),
  _xlpm.complete,ISBLANK(H178:K178),
  _xlpm.missing,_xlfn._xlws.FILTER(_xlpm.key,_xlpm.complete,FALSE()),
  _xlpm.missing_string,"Missing: "&amp;_xlfn.TEXTJOIN(", ",TRUE,_xlpm.missing),
  _xlfn.IFS(
    COUNTA(C178:K178)=0,"Blank",
AND(_xlpm.missing=FALSE,ROWS(_xlpm.missing)=1),"Complete",
    ROWS(_xlpm.missing)&gt;0,_xlpm.missing_string,
    TRUE,"Error"
  )
)</f>
        <v>Blank</v>
      </c>
      <c r="B1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79" spans="1:2" x14ac:dyDescent="0.3">
      <c r="A179" s="2" t="str" cm="1">
        <f t="array" ref="A179">_xlfn.LET(
  _xlpm.key,_xlfn.TEXTSPLIT("Email,Org,IRN,Impact",","),
  _xlpm.complete,ISBLANK(H179:K179),
  _xlpm.missing,_xlfn._xlws.FILTER(_xlpm.key,_xlpm.complete,FALSE()),
  _xlpm.missing_string,"Missing: "&amp;_xlfn.TEXTJOIN(", ",TRUE,_xlpm.missing),
  _xlfn.IFS(
    COUNTA(C179:K179)=0,"Blank",
AND(_xlpm.missing=FALSE,ROWS(_xlpm.missing)=1),"Complete",
    ROWS(_xlpm.missing)&gt;0,_xlpm.missing_string,
    TRUE,"Error"
  )
)</f>
        <v>Blank</v>
      </c>
      <c r="B1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0" spans="1:2" x14ac:dyDescent="0.3">
      <c r="A180" s="2" t="str" cm="1">
        <f t="array" ref="A180">_xlfn.LET(
  _xlpm.key,_xlfn.TEXTSPLIT("Email,Org,IRN,Impact",","),
  _xlpm.complete,ISBLANK(H180:K180),
  _xlpm.missing,_xlfn._xlws.FILTER(_xlpm.key,_xlpm.complete,FALSE()),
  _xlpm.missing_string,"Missing: "&amp;_xlfn.TEXTJOIN(", ",TRUE,_xlpm.missing),
  _xlfn.IFS(
    COUNTA(C180:K180)=0,"Blank",
AND(_xlpm.missing=FALSE,ROWS(_xlpm.missing)=1),"Complete",
    ROWS(_xlpm.missing)&gt;0,_xlpm.missing_string,
    TRUE,"Error"
  )
)</f>
        <v>Blank</v>
      </c>
      <c r="B1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1" spans="1:2" x14ac:dyDescent="0.3">
      <c r="A181" s="2" t="str" cm="1">
        <f t="array" ref="A181">_xlfn.LET(
  _xlpm.key,_xlfn.TEXTSPLIT("Email,Org,IRN,Impact",","),
  _xlpm.complete,ISBLANK(H181:K181),
  _xlpm.missing,_xlfn._xlws.FILTER(_xlpm.key,_xlpm.complete,FALSE()),
  _xlpm.missing_string,"Missing: "&amp;_xlfn.TEXTJOIN(", ",TRUE,_xlpm.missing),
  _xlfn.IFS(
    COUNTA(C181:K181)=0,"Blank",
AND(_xlpm.missing=FALSE,ROWS(_xlpm.missing)=1),"Complete",
    ROWS(_xlpm.missing)&gt;0,_xlpm.missing_string,
    TRUE,"Error"
  )
)</f>
        <v>Blank</v>
      </c>
      <c r="B1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2" spans="1:2" x14ac:dyDescent="0.3">
      <c r="A182" s="2" t="str" cm="1">
        <f t="array" ref="A182">_xlfn.LET(
  _xlpm.key,_xlfn.TEXTSPLIT("Email,Org,IRN,Impact",","),
  _xlpm.complete,ISBLANK(H182:K182),
  _xlpm.missing,_xlfn._xlws.FILTER(_xlpm.key,_xlpm.complete,FALSE()),
  _xlpm.missing_string,"Missing: "&amp;_xlfn.TEXTJOIN(", ",TRUE,_xlpm.missing),
  _xlfn.IFS(
    COUNTA(C182:K182)=0,"Blank",
AND(_xlpm.missing=FALSE,ROWS(_xlpm.missing)=1),"Complete",
    ROWS(_xlpm.missing)&gt;0,_xlpm.missing_string,
    TRUE,"Error"
  )
)</f>
        <v>Blank</v>
      </c>
      <c r="B1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3" spans="1:2" x14ac:dyDescent="0.3">
      <c r="A183" s="2" t="str" cm="1">
        <f t="array" ref="A183">_xlfn.LET(
  _xlpm.key,_xlfn.TEXTSPLIT("Email,Org,IRN,Impact",","),
  _xlpm.complete,ISBLANK(H183:K183),
  _xlpm.missing,_xlfn._xlws.FILTER(_xlpm.key,_xlpm.complete,FALSE()),
  _xlpm.missing_string,"Missing: "&amp;_xlfn.TEXTJOIN(", ",TRUE,_xlpm.missing),
  _xlfn.IFS(
    COUNTA(C183:K183)=0,"Blank",
AND(_xlpm.missing=FALSE,ROWS(_xlpm.missing)=1),"Complete",
    ROWS(_xlpm.missing)&gt;0,_xlpm.missing_string,
    TRUE,"Error"
  )
)</f>
        <v>Blank</v>
      </c>
      <c r="B1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4" spans="1:2" x14ac:dyDescent="0.3">
      <c r="A184" s="2" t="str" cm="1">
        <f t="array" ref="A184">_xlfn.LET(
  _xlpm.key,_xlfn.TEXTSPLIT("Email,Org,IRN,Impact",","),
  _xlpm.complete,ISBLANK(H184:K184),
  _xlpm.missing,_xlfn._xlws.FILTER(_xlpm.key,_xlpm.complete,FALSE()),
  _xlpm.missing_string,"Missing: "&amp;_xlfn.TEXTJOIN(", ",TRUE,_xlpm.missing),
  _xlfn.IFS(
    COUNTA(C184:K184)=0,"Blank",
AND(_xlpm.missing=FALSE,ROWS(_xlpm.missing)=1),"Complete",
    ROWS(_xlpm.missing)&gt;0,_xlpm.missing_string,
    TRUE,"Error"
  )
)</f>
        <v>Blank</v>
      </c>
      <c r="B1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5" spans="1:2" x14ac:dyDescent="0.3">
      <c r="A185" s="2" t="str" cm="1">
        <f t="array" ref="A185">_xlfn.LET(
  _xlpm.key,_xlfn.TEXTSPLIT("Email,Org,IRN,Impact",","),
  _xlpm.complete,ISBLANK(H185:K185),
  _xlpm.missing,_xlfn._xlws.FILTER(_xlpm.key,_xlpm.complete,FALSE()),
  _xlpm.missing_string,"Missing: "&amp;_xlfn.TEXTJOIN(", ",TRUE,_xlpm.missing),
  _xlfn.IFS(
    COUNTA(C185:K185)=0,"Blank",
AND(_xlpm.missing=FALSE,ROWS(_xlpm.missing)=1),"Complete",
    ROWS(_xlpm.missing)&gt;0,_xlpm.missing_string,
    TRUE,"Error"
  )
)</f>
        <v>Blank</v>
      </c>
      <c r="B1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6" spans="1:2" x14ac:dyDescent="0.3">
      <c r="A186" s="2" t="str" cm="1">
        <f t="array" ref="A186">_xlfn.LET(
  _xlpm.key,_xlfn.TEXTSPLIT("Email,Org,IRN,Impact",","),
  _xlpm.complete,ISBLANK(H186:K186),
  _xlpm.missing,_xlfn._xlws.FILTER(_xlpm.key,_xlpm.complete,FALSE()),
  _xlpm.missing_string,"Missing: "&amp;_xlfn.TEXTJOIN(", ",TRUE,_xlpm.missing),
  _xlfn.IFS(
    COUNTA(C186:K186)=0,"Blank",
AND(_xlpm.missing=FALSE,ROWS(_xlpm.missing)=1),"Complete",
    ROWS(_xlpm.missing)&gt;0,_xlpm.missing_string,
    TRUE,"Error"
  )
)</f>
        <v>Blank</v>
      </c>
      <c r="B1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7" spans="1:2" x14ac:dyDescent="0.3">
      <c r="A187" s="2" t="str" cm="1">
        <f t="array" ref="A187">_xlfn.LET(
  _xlpm.key,_xlfn.TEXTSPLIT("Email,Org,IRN,Impact",","),
  _xlpm.complete,ISBLANK(H187:K187),
  _xlpm.missing,_xlfn._xlws.FILTER(_xlpm.key,_xlpm.complete,FALSE()),
  _xlpm.missing_string,"Missing: "&amp;_xlfn.TEXTJOIN(", ",TRUE,_xlpm.missing),
  _xlfn.IFS(
    COUNTA(C187:K187)=0,"Blank",
AND(_xlpm.missing=FALSE,ROWS(_xlpm.missing)=1),"Complete",
    ROWS(_xlpm.missing)&gt;0,_xlpm.missing_string,
    TRUE,"Error"
  )
)</f>
        <v>Blank</v>
      </c>
      <c r="B1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8" spans="1:2" x14ac:dyDescent="0.3">
      <c r="A188" s="2" t="str" cm="1">
        <f t="array" ref="A188">_xlfn.LET(
  _xlpm.key,_xlfn.TEXTSPLIT("Email,Org,IRN,Impact",","),
  _xlpm.complete,ISBLANK(H188:K188),
  _xlpm.missing,_xlfn._xlws.FILTER(_xlpm.key,_xlpm.complete,FALSE()),
  _xlpm.missing_string,"Missing: "&amp;_xlfn.TEXTJOIN(", ",TRUE,_xlpm.missing),
  _xlfn.IFS(
    COUNTA(C188:K188)=0,"Blank",
AND(_xlpm.missing=FALSE,ROWS(_xlpm.missing)=1),"Complete",
    ROWS(_xlpm.missing)&gt;0,_xlpm.missing_string,
    TRUE,"Error"
  )
)</f>
        <v>Blank</v>
      </c>
      <c r="B1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89" spans="1:2" x14ac:dyDescent="0.3">
      <c r="A189" s="2" t="str" cm="1">
        <f t="array" ref="A189">_xlfn.LET(
  _xlpm.key,_xlfn.TEXTSPLIT("Email,Org,IRN,Impact",","),
  _xlpm.complete,ISBLANK(H189:K189),
  _xlpm.missing,_xlfn._xlws.FILTER(_xlpm.key,_xlpm.complete,FALSE()),
  _xlpm.missing_string,"Missing: "&amp;_xlfn.TEXTJOIN(", ",TRUE,_xlpm.missing),
  _xlfn.IFS(
    COUNTA(C189:K189)=0,"Blank",
AND(_xlpm.missing=FALSE,ROWS(_xlpm.missing)=1),"Complete",
    ROWS(_xlpm.missing)&gt;0,_xlpm.missing_string,
    TRUE,"Error"
  )
)</f>
        <v>Blank</v>
      </c>
      <c r="B1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0" spans="1:2" x14ac:dyDescent="0.3">
      <c r="A190" s="2" t="str" cm="1">
        <f t="array" ref="A190">_xlfn.LET(
  _xlpm.key,_xlfn.TEXTSPLIT("Email,Org,IRN,Impact",","),
  _xlpm.complete,ISBLANK(H190:K190),
  _xlpm.missing,_xlfn._xlws.FILTER(_xlpm.key,_xlpm.complete,FALSE()),
  _xlpm.missing_string,"Missing: "&amp;_xlfn.TEXTJOIN(", ",TRUE,_xlpm.missing),
  _xlfn.IFS(
    COUNTA(C190:K190)=0,"Blank",
AND(_xlpm.missing=FALSE,ROWS(_xlpm.missing)=1),"Complete",
    ROWS(_xlpm.missing)&gt;0,_xlpm.missing_string,
    TRUE,"Error"
  )
)</f>
        <v>Blank</v>
      </c>
      <c r="B1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1" spans="1:2" x14ac:dyDescent="0.3">
      <c r="A191" s="2" t="str" cm="1">
        <f t="array" ref="A191">_xlfn.LET(
  _xlpm.key,_xlfn.TEXTSPLIT("Email,Org,IRN,Impact",","),
  _xlpm.complete,ISBLANK(H191:K191),
  _xlpm.missing,_xlfn._xlws.FILTER(_xlpm.key,_xlpm.complete,FALSE()),
  _xlpm.missing_string,"Missing: "&amp;_xlfn.TEXTJOIN(", ",TRUE,_xlpm.missing),
  _xlfn.IFS(
    COUNTA(C191:K191)=0,"Blank",
AND(_xlpm.missing=FALSE,ROWS(_xlpm.missing)=1),"Complete",
    ROWS(_xlpm.missing)&gt;0,_xlpm.missing_string,
    TRUE,"Error"
  )
)</f>
        <v>Blank</v>
      </c>
      <c r="B1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2" spans="1:2" x14ac:dyDescent="0.3">
      <c r="A192" s="2" t="str" cm="1">
        <f t="array" ref="A192">_xlfn.LET(
  _xlpm.key,_xlfn.TEXTSPLIT("Email,Org,IRN,Impact",","),
  _xlpm.complete,ISBLANK(H192:K192),
  _xlpm.missing,_xlfn._xlws.FILTER(_xlpm.key,_xlpm.complete,FALSE()),
  _xlpm.missing_string,"Missing: "&amp;_xlfn.TEXTJOIN(", ",TRUE,_xlpm.missing),
  _xlfn.IFS(
    COUNTA(C192:K192)=0,"Blank",
AND(_xlpm.missing=FALSE,ROWS(_xlpm.missing)=1),"Complete",
    ROWS(_xlpm.missing)&gt;0,_xlpm.missing_string,
    TRUE,"Error"
  )
)</f>
        <v>Blank</v>
      </c>
      <c r="B1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3" spans="1:2" x14ac:dyDescent="0.3">
      <c r="A193" s="2" t="str" cm="1">
        <f t="array" ref="A193">_xlfn.LET(
  _xlpm.key,_xlfn.TEXTSPLIT("Email,Org,IRN,Impact",","),
  _xlpm.complete,ISBLANK(H193:K193),
  _xlpm.missing,_xlfn._xlws.FILTER(_xlpm.key,_xlpm.complete,FALSE()),
  _xlpm.missing_string,"Missing: "&amp;_xlfn.TEXTJOIN(", ",TRUE,_xlpm.missing),
  _xlfn.IFS(
    COUNTA(C193:K193)=0,"Blank",
AND(_xlpm.missing=FALSE,ROWS(_xlpm.missing)=1),"Complete",
    ROWS(_xlpm.missing)&gt;0,_xlpm.missing_string,
    TRUE,"Error"
  )
)</f>
        <v>Blank</v>
      </c>
      <c r="B1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4" spans="1:2" x14ac:dyDescent="0.3">
      <c r="A194" s="2" t="str" cm="1">
        <f t="array" ref="A194">_xlfn.LET(
  _xlpm.key,_xlfn.TEXTSPLIT("Email,Org,IRN,Impact",","),
  _xlpm.complete,ISBLANK(H194:K194),
  _xlpm.missing,_xlfn._xlws.FILTER(_xlpm.key,_xlpm.complete,FALSE()),
  _xlpm.missing_string,"Missing: "&amp;_xlfn.TEXTJOIN(", ",TRUE,_xlpm.missing),
  _xlfn.IFS(
    COUNTA(C194:K194)=0,"Blank",
AND(_xlpm.missing=FALSE,ROWS(_xlpm.missing)=1),"Complete",
    ROWS(_xlpm.missing)&gt;0,_xlpm.missing_string,
    TRUE,"Error"
  )
)</f>
        <v>Blank</v>
      </c>
      <c r="B1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5" spans="1:2" x14ac:dyDescent="0.3">
      <c r="A195" s="2" t="str" cm="1">
        <f t="array" ref="A195">_xlfn.LET(
  _xlpm.key,_xlfn.TEXTSPLIT("Email,Org,IRN,Impact",","),
  _xlpm.complete,ISBLANK(H195:K195),
  _xlpm.missing,_xlfn._xlws.FILTER(_xlpm.key,_xlpm.complete,FALSE()),
  _xlpm.missing_string,"Missing: "&amp;_xlfn.TEXTJOIN(", ",TRUE,_xlpm.missing),
  _xlfn.IFS(
    COUNTA(C195:K195)=0,"Blank",
AND(_xlpm.missing=FALSE,ROWS(_xlpm.missing)=1),"Complete",
    ROWS(_xlpm.missing)&gt;0,_xlpm.missing_string,
    TRUE,"Error"
  )
)</f>
        <v>Blank</v>
      </c>
      <c r="B1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6" spans="1:2" x14ac:dyDescent="0.3">
      <c r="A196" s="2" t="str" cm="1">
        <f t="array" ref="A196">_xlfn.LET(
  _xlpm.key,_xlfn.TEXTSPLIT("Email,Org,IRN,Impact",","),
  _xlpm.complete,ISBLANK(H196:K196),
  _xlpm.missing,_xlfn._xlws.FILTER(_xlpm.key,_xlpm.complete,FALSE()),
  _xlpm.missing_string,"Missing: "&amp;_xlfn.TEXTJOIN(", ",TRUE,_xlpm.missing),
  _xlfn.IFS(
    COUNTA(C196:K196)=0,"Blank",
AND(_xlpm.missing=FALSE,ROWS(_xlpm.missing)=1),"Complete",
    ROWS(_xlpm.missing)&gt;0,_xlpm.missing_string,
    TRUE,"Error"
  )
)</f>
        <v>Blank</v>
      </c>
      <c r="B1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7" spans="1:2" x14ac:dyDescent="0.3">
      <c r="A197" s="2" t="str" cm="1">
        <f t="array" ref="A197">_xlfn.LET(
  _xlpm.key,_xlfn.TEXTSPLIT("Email,Org,IRN,Impact",","),
  _xlpm.complete,ISBLANK(H197:K197),
  _xlpm.missing,_xlfn._xlws.FILTER(_xlpm.key,_xlpm.complete,FALSE()),
  _xlpm.missing_string,"Missing: "&amp;_xlfn.TEXTJOIN(", ",TRUE,_xlpm.missing),
  _xlfn.IFS(
    COUNTA(C197:K197)=0,"Blank",
AND(_xlpm.missing=FALSE,ROWS(_xlpm.missing)=1),"Complete",
    ROWS(_xlpm.missing)&gt;0,_xlpm.missing_string,
    TRUE,"Error"
  )
)</f>
        <v>Blank</v>
      </c>
      <c r="B1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8" spans="1:2" x14ac:dyDescent="0.3">
      <c r="A198" s="2" t="str" cm="1">
        <f t="array" ref="A198">_xlfn.LET(
  _xlpm.key,_xlfn.TEXTSPLIT("Email,Org,IRN,Impact",","),
  _xlpm.complete,ISBLANK(H198:K198),
  _xlpm.missing,_xlfn._xlws.FILTER(_xlpm.key,_xlpm.complete,FALSE()),
  _xlpm.missing_string,"Missing: "&amp;_xlfn.TEXTJOIN(", ",TRUE,_xlpm.missing),
  _xlfn.IFS(
    COUNTA(C198:K198)=0,"Blank",
AND(_xlpm.missing=FALSE,ROWS(_xlpm.missing)=1),"Complete",
    ROWS(_xlpm.missing)&gt;0,_xlpm.missing_string,
    TRUE,"Error"
  )
)</f>
        <v>Blank</v>
      </c>
      <c r="B1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99" spans="1:2" x14ac:dyDescent="0.3">
      <c r="A199" s="2" t="str" cm="1">
        <f t="array" ref="A199">_xlfn.LET(
  _xlpm.key,_xlfn.TEXTSPLIT("Email,Org,IRN,Impact",","),
  _xlpm.complete,ISBLANK(H199:K199),
  _xlpm.missing,_xlfn._xlws.FILTER(_xlpm.key,_xlpm.complete,FALSE()),
  _xlpm.missing_string,"Missing: "&amp;_xlfn.TEXTJOIN(", ",TRUE,_xlpm.missing),
  _xlfn.IFS(
    COUNTA(C199:K199)=0,"Blank",
AND(_xlpm.missing=FALSE,ROWS(_xlpm.missing)=1),"Complete",
    ROWS(_xlpm.missing)&gt;0,_xlpm.missing_string,
    TRUE,"Error"
  )
)</f>
        <v>Blank</v>
      </c>
      <c r="B1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0" spans="1:2" x14ac:dyDescent="0.3">
      <c r="A200" s="2" t="str" cm="1">
        <f t="array" ref="A200">_xlfn.LET(
  _xlpm.key,_xlfn.TEXTSPLIT("Email,Org,IRN,Impact",","),
  _xlpm.complete,ISBLANK(H200:K200),
  _xlpm.missing,_xlfn._xlws.FILTER(_xlpm.key,_xlpm.complete,FALSE()),
  _xlpm.missing_string,"Missing: "&amp;_xlfn.TEXTJOIN(", ",TRUE,_xlpm.missing),
  _xlfn.IFS(
    COUNTA(C200:K200)=0,"Blank",
AND(_xlpm.missing=FALSE,ROWS(_xlpm.missing)=1),"Complete",
    ROWS(_xlpm.missing)&gt;0,_xlpm.missing_string,
    TRUE,"Error"
  )
)</f>
        <v>Blank</v>
      </c>
      <c r="B2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1" spans="1:2" x14ac:dyDescent="0.3">
      <c r="A201" s="2" t="str" cm="1">
        <f t="array" ref="A201">_xlfn.LET(
  _xlpm.key,_xlfn.TEXTSPLIT("Email,Org,IRN,Impact",","),
  _xlpm.complete,ISBLANK(H201:K201),
  _xlpm.missing,_xlfn._xlws.FILTER(_xlpm.key,_xlpm.complete,FALSE()),
  _xlpm.missing_string,"Missing: "&amp;_xlfn.TEXTJOIN(", ",TRUE,_xlpm.missing),
  _xlfn.IFS(
    COUNTA(C201:K201)=0,"Blank",
AND(_xlpm.missing=FALSE,ROWS(_xlpm.missing)=1),"Complete",
    ROWS(_xlpm.missing)&gt;0,_xlpm.missing_string,
    TRUE,"Error"
  )
)</f>
        <v>Blank</v>
      </c>
      <c r="B2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2" spans="1:2" x14ac:dyDescent="0.3">
      <c r="A202" s="2" t="str" cm="1">
        <f t="array" ref="A202">_xlfn.LET(
  _xlpm.key,_xlfn.TEXTSPLIT("Email,Org,IRN,Impact",","),
  _xlpm.complete,ISBLANK(H202:K202),
  _xlpm.missing,_xlfn._xlws.FILTER(_xlpm.key,_xlpm.complete,FALSE()),
  _xlpm.missing_string,"Missing: "&amp;_xlfn.TEXTJOIN(", ",TRUE,_xlpm.missing),
  _xlfn.IFS(
    COUNTA(C202:K202)=0,"Blank",
AND(_xlpm.missing=FALSE,ROWS(_xlpm.missing)=1),"Complete",
    ROWS(_xlpm.missing)&gt;0,_xlpm.missing_string,
    TRUE,"Error"
  )
)</f>
        <v>Blank</v>
      </c>
      <c r="B2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3" spans="1:2" x14ac:dyDescent="0.3">
      <c r="A203" s="2" t="str" cm="1">
        <f t="array" ref="A203">_xlfn.LET(
  _xlpm.key,_xlfn.TEXTSPLIT("Email,Org,IRN,Impact",","),
  _xlpm.complete,ISBLANK(H203:K203),
  _xlpm.missing,_xlfn._xlws.FILTER(_xlpm.key,_xlpm.complete,FALSE()),
  _xlpm.missing_string,"Missing: "&amp;_xlfn.TEXTJOIN(", ",TRUE,_xlpm.missing),
  _xlfn.IFS(
    COUNTA(C203:K203)=0,"Blank",
AND(_xlpm.missing=FALSE,ROWS(_xlpm.missing)=1),"Complete",
    ROWS(_xlpm.missing)&gt;0,_xlpm.missing_string,
    TRUE,"Error"
  )
)</f>
        <v>Blank</v>
      </c>
      <c r="B2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4" spans="1:2" x14ac:dyDescent="0.3">
      <c r="A204" s="2" t="str" cm="1">
        <f t="array" ref="A204">_xlfn.LET(
  _xlpm.key,_xlfn.TEXTSPLIT("Email,Org,IRN,Impact",","),
  _xlpm.complete,ISBLANK(H204:K204),
  _xlpm.missing,_xlfn._xlws.FILTER(_xlpm.key,_xlpm.complete,FALSE()),
  _xlpm.missing_string,"Missing: "&amp;_xlfn.TEXTJOIN(", ",TRUE,_xlpm.missing),
  _xlfn.IFS(
    COUNTA(C204:K204)=0,"Blank",
AND(_xlpm.missing=FALSE,ROWS(_xlpm.missing)=1),"Complete",
    ROWS(_xlpm.missing)&gt;0,_xlpm.missing_string,
    TRUE,"Error"
  )
)</f>
        <v>Blank</v>
      </c>
      <c r="B2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5" spans="1:2" x14ac:dyDescent="0.3">
      <c r="A205" s="2" t="str" cm="1">
        <f t="array" ref="A205">_xlfn.LET(
  _xlpm.key,_xlfn.TEXTSPLIT("Email,Org,IRN,Impact",","),
  _xlpm.complete,ISBLANK(H205:K205),
  _xlpm.missing,_xlfn._xlws.FILTER(_xlpm.key,_xlpm.complete,FALSE()),
  _xlpm.missing_string,"Missing: "&amp;_xlfn.TEXTJOIN(", ",TRUE,_xlpm.missing),
  _xlfn.IFS(
    COUNTA(C205:K205)=0,"Blank",
AND(_xlpm.missing=FALSE,ROWS(_xlpm.missing)=1),"Complete",
    ROWS(_xlpm.missing)&gt;0,_xlpm.missing_string,
    TRUE,"Error"
  )
)</f>
        <v>Blank</v>
      </c>
      <c r="B2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6" spans="1:2" x14ac:dyDescent="0.3">
      <c r="A206" s="2" t="str" cm="1">
        <f t="array" ref="A206">_xlfn.LET(
  _xlpm.key,_xlfn.TEXTSPLIT("Email,Org,IRN,Impact",","),
  _xlpm.complete,ISBLANK(H206:K206),
  _xlpm.missing,_xlfn._xlws.FILTER(_xlpm.key,_xlpm.complete,FALSE()),
  _xlpm.missing_string,"Missing: "&amp;_xlfn.TEXTJOIN(", ",TRUE,_xlpm.missing),
  _xlfn.IFS(
    COUNTA(C206:K206)=0,"Blank",
AND(_xlpm.missing=FALSE,ROWS(_xlpm.missing)=1),"Complete",
    ROWS(_xlpm.missing)&gt;0,_xlpm.missing_string,
    TRUE,"Error"
  )
)</f>
        <v>Blank</v>
      </c>
      <c r="B2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7" spans="1:2" x14ac:dyDescent="0.3">
      <c r="A207" s="2" t="str" cm="1">
        <f t="array" ref="A207">_xlfn.LET(
  _xlpm.key,_xlfn.TEXTSPLIT("Email,Org,IRN,Impact",","),
  _xlpm.complete,ISBLANK(H207:K207),
  _xlpm.missing,_xlfn._xlws.FILTER(_xlpm.key,_xlpm.complete,FALSE()),
  _xlpm.missing_string,"Missing: "&amp;_xlfn.TEXTJOIN(", ",TRUE,_xlpm.missing),
  _xlfn.IFS(
    COUNTA(C207:K207)=0,"Blank",
AND(_xlpm.missing=FALSE,ROWS(_xlpm.missing)=1),"Complete",
    ROWS(_xlpm.missing)&gt;0,_xlpm.missing_string,
    TRUE,"Error"
  )
)</f>
        <v>Blank</v>
      </c>
      <c r="B2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8" spans="1:2" x14ac:dyDescent="0.3">
      <c r="A208" s="2" t="str" cm="1">
        <f t="array" ref="A208">_xlfn.LET(
  _xlpm.key,_xlfn.TEXTSPLIT("Email,Org,IRN,Impact",","),
  _xlpm.complete,ISBLANK(H208:K208),
  _xlpm.missing,_xlfn._xlws.FILTER(_xlpm.key,_xlpm.complete,FALSE()),
  _xlpm.missing_string,"Missing: "&amp;_xlfn.TEXTJOIN(", ",TRUE,_xlpm.missing),
  _xlfn.IFS(
    COUNTA(C208:K208)=0,"Blank",
AND(_xlpm.missing=FALSE,ROWS(_xlpm.missing)=1),"Complete",
    ROWS(_xlpm.missing)&gt;0,_xlpm.missing_string,
    TRUE,"Error"
  )
)</f>
        <v>Blank</v>
      </c>
      <c r="B2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09" spans="1:2" x14ac:dyDescent="0.3">
      <c r="A209" s="2" t="str" cm="1">
        <f t="array" ref="A209">_xlfn.LET(
  _xlpm.key,_xlfn.TEXTSPLIT("Email,Org,IRN,Impact",","),
  _xlpm.complete,ISBLANK(H209:K209),
  _xlpm.missing,_xlfn._xlws.FILTER(_xlpm.key,_xlpm.complete,FALSE()),
  _xlpm.missing_string,"Missing: "&amp;_xlfn.TEXTJOIN(", ",TRUE,_xlpm.missing),
  _xlfn.IFS(
    COUNTA(C209:K209)=0,"Blank",
AND(_xlpm.missing=FALSE,ROWS(_xlpm.missing)=1),"Complete",
    ROWS(_xlpm.missing)&gt;0,_xlpm.missing_string,
    TRUE,"Error"
  )
)</f>
        <v>Blank</v>
      </c>
      <c r="B2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0" spans="1:2" x14ac:dyDescent="0.3">
      <c r="A210" s="2" t="str" cm="1">
        <f t="array" ref="A210">_xlfn.LET(
  _xlpm.key,_xlfn.TEXTSPLIT("Email,Org,IRN,Impact",","),
  _xlpm.complete,ISBLANK(H210:K210),
  _xlpm.missing,_xlfn._xlws.FILTER(_xlpm.key,_xlpm.complete,FALSE()),
  _xlpm.missing_string,"Missing: "&amp;_xlfn.TEXTJOIN(", ",TRUE,_xlpm.missing),
  _xlfn.IFS(
    COUNTA(C210:K210)=0,"Blank",
AND(_xlpm.missing=FALSE,ROWS(_xlpm.missing)=1),"Complete",
    ROWS(_xlpm.missing)&gt;0,_xlpm.missing_string,
    TRUE,"Error"
  )
)</f>
        <v>Blank</v>
      </c>
      <c r="B2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1" spans="1:2" x14ac:dyDescent="0.3">
      <c r="A211" s="2" t="str" cm="1">
        <f t="array" ref="A211">_xlfn.LET(
  _xlpm.key,_xlfn.TEXTSPLIT("Email,Org,IRN,Impact",","),
  _xlpm.complete,ISBLANK(H211:K211),
  _xlpm.missing,_xlfn._xlws.FILTER(_xlpm.key,_xlpm.complete,FALSE()),
  _xlpm.missing_string,"Missing: "&amp;_xlfn.TEXTJOIN(", ",TRUE,_xlpm.missing),
  _xlfn.IFS(
    COUNTA(C211:K211)=0,"Blank",
AND(_xlpm.missing=FALSE,ROWS(_xlpm.missing)=1),"Complete",
    ROWS(_xlpm.missing)&gt;0,_xlpm.missing_string,
    TRUE,"Error"
  )
)</f>
        <v>Blank</v>
      </c>
      <c r="B2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2" spans="1:2" x14ac:dyDescent="0.3">
      <c r="A212" s="2" t="str" cm="1">
        <f t="array" ref="A212">_xlfn.LET(
  _xlpm.key,_xlfn.TEXTSPLIT("Email,Org,IRN,Impact",","),
  _xlpm.complete,ISBLANK(H212:K212),
  _xlpm.missing,_xlfn._xlws.FILTER(_xlpm.key,_xlpm.complete,FALSE()),
  _xlpm.missing_string,"Missing: "&amp;_xlfn.TEXTJOIN(", ",TRUE,_xlpm.missing),
  _xlfn.IFS(
    COUNTA(C212:K212)=0,"Blank",
AND(_xlpm.missing=FALSE,ROWS(_xlpm.missing)=1),"Complete",
    ROWS(_xlpm.missing)&gt;0,_xlpm.missing_string,
    TRUE,"Error"
  )
)</f>
        <v>Blank</v>
      </c>
      <c r="B2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3" spans="1:2" x14ac:dyDescent="0.3">
      <c r="A213" s="2" t="str" cm="1">
        <f t="array" ref="A213">_xlfn.LET(
  _xlpm.key,_xlfn.TEXTSPLIT("Email,Org,IRN,Impact",","),
  _xlpm.complete,ISBLANK(H213:K213),
  _xlpm.missing,_xlfn._xlws.FILTER(_xlpm.key,_xlpm.complete,FALSE()),
  _xlpm.missing_string,"Missing: "&amp;_xlfn.TEXTJOIN(", ",TRUE,_xlpm.missing),
  _xlfn.IFS(
    COUNTA(C213:K213)=0,"Blank",
AND(_xlpm.missing=FALSE,ROWS(_xlpm.missing)=1),"Complete",
    ROWS(_xlpm.missing)&gt;0,_xlpm.missing_string,
    TRUE,"Error"
  )
)</f>
        <v>Blank</v>
      </c>
      <c r="B2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4" spans="1:2" x14ac:dyDescent="0.3">
      <c r="A214" s="2" t="str" cm="1">
        <f t="array" ref="A214">_xlfn.LET(
  _xlpm.key,_xlfn.TEXTSPLIT("Email,Org,IRN,Impact",","),
  _xlpm.complete,ISBLANK(H214:K214),
  _xlpm.missing,_xlfn._xlws.FILTER(_xlpm.key,_xlpm.complete,FALSE()),
  _xlpm.missing_string,"Missing: "&amp;_xlfn.TEXTJOIN(", ",TRUE,_xlpm.missing),
  _xlfn.IFS(
    COUNTA(C214:K214)=0,"Blank",
AND(_xlpm.missing=FALSE,ROWS(_xlpm.missing)=1),"Complete",
    ROWS(_xlpm.missing)&gt;0,_xlpm.missing_string,
    TRUE,"Error"
  )
)</f>
        <v>Blank</v>
      </c>
      <c r="B2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5" spans="1:2" x14ac:dyDescent="0.3">
      <c r="A215" s="2" t="str" cm="1">
        <f t="array" ref="A215">_xlfn.LET(
  _xlpm.key,_xlfn.TEXTSPLIT("Email,Org,IRN,Impact",","),
  _xlpm.complete,ISBLANK(H215:K215),
  _xlpm.missing,_xlfn._xlws.FILTER(_xlpm.key,_xlpm.complete,FALSE()),
  _xlpm.missing_string,"Missing: "&amp;_xlfn.TEXTJOIN(", ",TRUE,_xlpm.missing),
  _xlfn.IFS(
    COUNTA(C215:K215)=0,"Blank",
AND(_xlpm.missing=FALSE,ROWS(_xlpm.missing)=1),"Complete",
    ROWS(_xlpm.missing)&gt;0,_xlpm.missing_string,
    TRUE,"Error"
  )
)</f>
        <v>Blank</v>
      </c>
      <c r="B2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6" spans="1:2" x14ac:dyDescent="0.3">
      <c r="A216" s="2" t="str" cm="1">
        <f t="array" ref="A216">_xlfn.LET(
  _xlpm.key,_xlfn.TEXTSPLIT("Email,Org,IRN,Impact",","),
  _xlpm.complete,ISBLANK(H216:K216),
  _xlpm.missing,_xlfn._xlws.FILTER(_xlpm.key,_xlpm.complete,FALSE()),
  _xlpm.missing_string,"Missing: "&amp;_xlfn.TEXTJOIN(", ",TRUE,_xlpm.missing),
  _xlfn.IFS(
    COUNTA(C216:K216)=0,"Blank",
AND(_xlpm.missing=FALSE,ROWS(_xlpm.missing)=1),"Complete",
    ROWS(_xlpm.missing)&gt;0,_xlpm.missing_string,
    TRUE,"Error"
  )
)</f>
        <v>Blank</v>
      </c>
      <c r="B2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7" spans="1:2" x14ac:dyDescent="0.3">
      <c r="A217" s="2" t="str" cm="1">
        <f t="array" ref="A217">_xlfn.LET(
  _xlpm.key,_xlfn.TEXTSPLIT("Email,Org,IRN,Impact",","),
  _xlpm.complete,ISBLANK(H217:K217),
  _xlpm.missing,_xlfn._xlws.FILTER(_xlpm.key,_xlpm.complete,FALSE()),
  _xlpm.missing_string,"Missing: "&amp;_xlfn.TEXTJOIN(", ",TRUE,_xlpm.missing),
  _xlfn.IFS(
    COUNTA(C217:K217)=0,"Blank",
AND(_xlpm.missing=FALSE,ROWS(_xlpm.missing)=1),"Complete",
    ROWS(_xlpm.missing)&gt;0,_xlpm.missing_string,
    TRUE,"Error"
  )
)</f>
        <v>Blank</v>
      </c>
      <c r="B2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8" spans="1:2" x14ac:dyDescent="0.3">
      <c r="A218" s="2" t="str" cm="1">
        <f t="array" ref="A218">_xlfn.LET(
  _xlpm.key,_xlfn.TEXTSPLIT("Email,Org,IRN,Impact",","),
  _xlpm.complete,ISBLANK(H218:K218),
  _xlpm.missing,_xlfn._xlws.FILTER(_xlpm.key,_xlpm.complete,FALSE()),
  _xlpm.missing_string,"Missing: "&amp;_xlfn.TEXTJOIN(", ",TRUE,_xlpm.missing),
  _xlfn.IFS(
    COUNTA(C218:K218)=0,"Blank",
AND(_xlpm.missing=FALSE,ROWS(_xlpm.missing)=1),"Complete",
    ROWS(_xlpm.missing)&gt;0,_xlpm.missing_string,
    TRUE,"Error"
  )
)</f>
        <v>Blank</v>
      </c>
      <c r="B2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19" spans="1:2" x14ac:dyDescent="0.3">
      <c r="A219" s="2" t="str" cm="1">
        <f t="array" ref="A219">_xlfn.LET(
  _xlpm.key,_xlfn.TEXTSPLIT("Email,Org,IRN,Impact",","),
  _xlpm.complete,ISBLANK(H219:K219),
  _xlpm.missing,_xlfn._xlws.FILTER(_xlpm.key,_xlpm.complete,FALSE()),
  _xlpm.missing_string,"Missing: "&amp;_xlfn.TEXTJOIN(", ",TRUE,_xlpm.missing),
  _xlfn.IFS(
    COUNTA(C219:K219)=0,"Blank",
AND(_xlpm.missing=FALSE,ROWS(_xlpm.missing)=1),"Complete",
    ROWS(_xlpm.missing)&gt;0,_xlpm.missing_string,
    TRUE,"Error"
  )
)</f>
        <v>Blank</v>
      </c>
      <c r="B2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0" spans="1:2" x14ac:dyDescent="0.3">
      <c r="A220" s="2" t="str" cm="1">
        <f t="array" ref="A220">_xlfn.LET(
  _xlpm.key,_xlfn.TEXTSPLIT("Email,Org,IRN,Impact",","),
  _xlpm.complete,ISBLANK(H220:K220),
  _xlpm.missing,_xlfn._xlws.FILTER(_xlpm.key,_xlpm.complete,FALSE()),
  _xlpm.missing_string,"Missing: "&amp;_xlfn.TEXTJOIN(", ",TRUE,_xlpm.missing),
  _xlfn.IFS(
    COUNTA(C220:K220)=0,"Blank",
AND(_xlpm.missing=FALSE,ROWS(_xlpm.missing)=1),"Complete",
    ROWS(_xlpm.missing)&gt;0,_xlpm.missing_string,
    TRUE,"Error"
  )
)</f>
        <v>Blank</v>
      </c>
      <c r="B2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1" spans="1:2" x14ac:dyDescent="0.3">
      <c r="A221" s="2" t="str" cm="1">
        <f t="array" ref="A221">_xlfn.LET(
  _xlpm.key,_xlfn.TEXTSPLIT("Email,Org,IRN,Impact",","),
  _xlpm.complete,ISBLANK(H221:K221),
  _xlpm.missing,_xlfn._xlws.FILTER(_xlpm.key,_xlpm.complete,FALSE()),
  _xlpm.missing_string,"Missing: "&amp;_xlfn.TEXTJOIN(", ",TRUE,_xlpm.missing),
  _xlfn.IFS(
    COUNTA(C221:K221)=0,"Blank",
AND(_xlpm.missing=FALSE,ROWS(_xlpm.missing)=1),"Complete",
    ROWS(_xlpm.missing)&gt;0,_xlpm.missing_string,
    TRUE,"Error"
  )
)</f>
        <v>Blank</v>
      </c>
      <c r="B2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2" spans="1:2" x14ac:dyDescent="0.3">
      <c r="A222" s="2" t="str" cm="1">
        <f t="array" ref="A222">_xlfn.LET(
  _xlpm.key,_xlfn.TEXTSPLIT("Email,Org,IRN,Impact",","),
  _xlpm.complete,ISBLANK(H222:K222),
  _xlpm.missing,_xlfn._xlws.FILTER(_xlpm.key,_xlpm.complete,FALSE()),
  _xlpm.missing_string,"Missing: "&amp;_xlfn.TEXTJOIN(", ",TRUE,_xlpm.missing),
  _xlfn.IFS(
    COUNTA(C222:K222)=0,"Blank",
AND(_xlpm.missing=FALSE,ROWS(_xlpm.missing)=1),"Complete",
    ROWS(_xlpm.missing)&gt;0,_xlpm.missing_string,
    TRUE,"Error"
  )
)</f>
        <v>Blank</v>
      </c>
      <c r="B2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3" spans="1:2" x14ac:dyDescent="0.3">
      <c r="A223" s="2" t="str" cm="1">
        <f t="array" ref="A223">_xlfn.LET(
  _xlpm.key,_xlfn.TEXTSPLIT("Email,Org,IRN,Impact",","),
  _xlpm.complete,ISBLANK(H223:K223),
  _xlpm.missing,_xlfn._xlws.FILTER(_xlpm.key,_xlpm.complete,FALSE()),
  _xlpm.missing_string,"Missing: "&amp;_xlfn.TEXTJOIN(", ",TRUE,_xlpm.missing),
  _xlfn.IFS(
    COUNTA(C223:K223)=0,"Blank",
AND(_xlpm.missing=FALSE,ROWS(_xlpm.missing)=1),"Complete",
    ROWS(_xlpm.missing)&gt;0,_xlpm.missing_string,
    TRUE,"Error"
  )
)</f>
        <v>Blank</v>
      </c>
      <c r="B2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4" spans="1:2" x14ac:dyDescent="0.3">
      <c r="A224" s="2" t="str" cm="1">
        <f t="array" ref="A224">_xlfn.LET(
  _xlpm.key,_xlfn.TEXTSPLIT("Email,Org,IRN,Impact",","),
  _xlpm.complete,ISBLANK(H224:K224),
  _xlpm.missing,_xlfn._xlws.FILTER(_xlpm.key,_xlpm.complete,FALSE()),
  _xlpm.missing_string,"Missing: "&amp;_xlfn.TEXTJOIN(", ",TRUE,_xlpm.missing),
  _xlfn.IFS(
    COUNTA(C224:K224)=0,"Blank",
AND(_xlpm.missing=FALSE,ROWS(_xlpm.missing)=1),"Complete",
    ROWS(_xlpm.missing)&gt;0,_xlpm.missing_string,
    TRUE,"Error"
  )
)</f>
        <v>Blank</v>
      </c>
      <c r="B2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5" spans="1:2" x14ac:dyDescent="0.3">
      <c r="A225" s="2" t="str" cm="1">
        <f t="array" ref="A225">_xlfn.LET(
  _xlpm.key,_xlfn.TEXTSPLIT("Email,Org,IRN,Impact",","),
  _xlpm.complete,ISBLANK(H225:K225),
  _xlpm.missing,_xlfn._xlws.FILTER(_xlpm.key,_xlpm.complete,FALSE()),
  _xlpm.missing_string,"Missing: "&amp;_xlfn.TEXTJOIN(", ",TRUE,_xlpm.missing),
  _xlfn.IFS(
    COUNTA(C225:K225)=0,"Blank",
AND(_xlpm.missing=FALSE,ROWS(_xlpm.missing)=1),"Complete",
    ROWS(_xlpm.missing)&gt;0,_xlpm.missing_string,
    TRUE,"Error"
  )
)</f>
        <v>Blank</v>
      </c>
      <c r="B2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6" spans="1:2" x14ac:dyDescent="0.3">
      <c r="A226" s="2" t="str" cm="1">
        <f t="array" ref="A226">_xlfn.LET(
  _xlpm.key,_xlfn.TEXTSPLIT("Email,Org,IRN,Impact",","),
  _xlpm.complete,ISBLANK(H226:K226),
  _xlpm.missing,_xlfn._xlws.FILTER(_xlpm.key,_xlpm.complete,FALSE()),
  _xlpm.missing_string,"Missing: "&amp;_xlfn.TEXTJOIN(", ",TRUE,_xlpm.missing),
  _xlfn.IFS(
    COUNTA(C226:K226)=0,"Blank",
AND(_xlpm.missing=FALSE,ROWS(_xlpm.missing)=1),"Complete",
    ROWS(_xlpm.missing)&gt;0,_xlpm.missing_string,
    TRUE,"Error"
  )
)</f>
        <v>Blank</v>
      </c>
      <c r="B2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7" spans="1:2" x14ac:dyDescent="0.3">
      <c r="A227" s="2" t="str" cm="1">
        <f t="array" ref="A227">_xlfn.LET(
  _xlpm.key,_xlfn.TEXTSPLIT("Email,Org,IRN,Impact",","),
  _xlpm.complete,ISBLANK(H227:K227),
  _xlpm.missing,_xlfn._xlws.FILTER(_xlpm.key,_xlpm.complete,FALSE()),
  _xlpm.missing_string,"Missing: "&amp;_xlfn.TEXTJOIN(", ",TRUE,_xlpm.missing),
  _xlfn.IFS(
    COUNTA(C227:K227)=0,"Blank",
AND(_xlpm.missing=FALSE,ROWS(_xlpm.missing)=1),"Complete",
    ROWS(_xlpm.missing)&gt;0,_xlpm.missing_string,
    TRUE,"Error"
  )
)</f>
        <v>Blank</v>
      </c>
      <c r="B2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8" spans="1:2" x14ac:dyDescent="0.3">
      <c r="A228" s="2" t="str" cm="1">
        <f t="array" ref="A228">_xlfn.LET(
  _xlpm.key,_xlfn.TEXTSPLIT("Email,Org,IRN,Impact",","),
  _xlpm.complete,ISBLANK(H228:K228),
  _xlpm.missing,_xlfn._xlws.FILTER(_xlpm.key,_xlpm.complete,FALSE()),
  _xlpm.missing_string,"Missing: "&amp;_xlfn.TEXTJOIN(", ",TRUE,_xlpm.missing),
  _xlfn.IFS(
    COUNTA(C228:K228)=0,"Blank",
AND(_xlpm.missing=FALSE,ROWS(_xlpm.missing)=1),"Complete",
    ROWS(_xlpm.missing)&gt;0,_xlpm.missing_string,
    TRUE,"Error"
  )
)</f>
        <v>Blank</v>
      </c>
      <c r="B2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29" spans="1:2" x14ac:dyDescent="0.3">
      <c r="A229" s="2" t="str" cm="1">
        <f t="array" ref="A229">_xlfn.LET(
  _xlpm.key,_xlfn.TEXTSPLIT("Email,Org,IRN,Impact",","),
  _xlpm.complete,ISBLANK(H229:K229),
  _xlpm.missing,_xlfn._xlws.FILTER(_xlpm.key,_xlpm.complete,FALSE()),
  _xlpm.missing_string,"Missing: "&amp;_xlfn.TEXTJOIN(", ",TRUE,_xlpm.missing),
  _xlfn.IFS(
    COUNTA(C229:K229)=0,"Blank",
AND(_xlpm.missing=FALSE,ROWS(_xlpm.missing)=1),"Complete",
    ROWS(_xlpm.missing)&gt;0,_xlpm.missing_string,
    TRUE,"Error"
  )
)</f>
        <v>Blank</v>
      </c>
      <c r="B2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0" spans="1:2" x14ac:dyDescent="0.3">
      <c r="A230" s="2" t="str" cm="1">
        <f t="array" ref="A230">_xlfn.LET(
  _xlpm.key,_xlfn.TEXTSPLIT("Email,Org,IRN,Impact",","),
  _xlpm.complete,ISBLANK(H230:K230),
  _xlpm.missing,_xlfn._xlws.FILTER(_xlpm.key,_xlpm.complete,FALSE()),
  _xlpm.missing_string,"Missing: "&amp;_xlfn.TEXTJOIN(", ",TRUE,_xlpm.missing),
  _xlfn.IFS(
    COUNTA(C230:K230)=0,"Blank",
AND(_xlpm.missing=FALSE,ROWS(_xlpm.missing)=1),"Complete",
    ROWS(_xlpm.missing)&gt;0,_xlpm.missing_string,
    TRUE,"Error"
  )
)</f>
        <v>Blank</v>
      </c>
      <c r="B2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1" spans="1:2" x14ac:dyDescent="0.3">
      <c r="A231" s="2" t="str" cm="1">
        <f t="array" ref="A231">_xlfn.LET(
  _xlpm.key,_xlfn.TEXTSPLIT("Email,Org,IRN,Impact",","),
  _xlpm.complete,ISBLANK(H231:K231),
  _xlpm.missing,_xlfn._xlws.FILTER(_xlpm.key,_xlpm.complete,FALSE()),
  _xlpm.missing_string,"Missing: "&amp;_xlfn.TEXTJOIN(", ",TRUE,_xlpm.missing),
  _xlfn.IFS(
    COUNTA(C231:K231)=0,"Blank",
AND(_xlpm.missing=FALSE,ROWS(_xlpm.missing)=1),"Complete",
    ROWS(_xlpm.missing)&gt;0,_xlpm.missing_string,
    TRUE,"Error"
  )
)</f>
        <v>Blank</v>
      </c>
      <c r="B2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2" spans="1:2" x14ac:dyDescent="0.3">
      <c r="A232" s="2" t="str" cm="1">
        <f t="array" ref="A232">_xlfn.LET(
  _xlpm.key,_xlfn.TEXTSPLIT("Email,Org,IRN,Impact",","),
  _xlpm.complete,ISBLANK(H232:K232),
  _xlpm.missing,_xlfn._xlws.FILTER(_xlpm.key,_xlpm.complete,FALSE()),
  _xlpm.missing_string,"Missing: "&amp;_xlfn.TEXTJOIN(", ",TRUE,_xlpm.missing),
  _xlfn.IFS(
    COUNTA(C232:K232)=0,"Blank",
AND(_xlpm.missing=FALSE,ROWS(_xlpm.missing)=1),"Complete",
    ROWS(_xlpm.missing)&gt;0,_xlpm.missing_string,
    TRUE,"Error"
  )
)</f>
        <v>Blank</v>
      </c>
      <c r="B2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3" spans="1:2" x14ac:dyDescent="0.3">
      <c r="A233" s="2" t="str" cm="1">
        <f t="array" ref="A233">_xlfn.LET(
  _xlpm.key,_xlfn.TEXTSPLIT("Email,Org,IRN,Impact",","),
  _xlpm.complete,ISBLANK(H233:K233),
  _xlpm.missing,_xlfn._xlws.FILTER(_xlpm.key,_xlpm.complete,FALSE()),
  _xlpm.missing_string,"Missing: "&amp;_xlfn.TEXTJOIN(", ",TRUE,_xlpm.missing),
  _xlfn.IFS(
    COUNTA(C233:K233)=0,"Blank",
AND(_xlpm.missing=FALSE,ROWS(_xlpm.missing)=1),"Complete",
    ROWS(_xlpm.missing)&gt;0,_xlpm.missing_string,
    TRUE,"Error"
  )
)</f>
        <v>Blank</v>
      </c>
      <c r="B2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4" spans="1:2" x14ac:dyDescent="0.3">
      <c r="A234" s="2" t="str" cm="1">
        <f t="array" ref="A234">_xlfn.LET(
  _xlpm.key,_xlfn.TEXTSPLIT("Email,Org,IRN,Impact",","),
  _xlpm.complete,ISBLANK(H234:K234),
  _xlpm.missing,_xlfn._xlws.FILTER(_xlpm.key,_xlpm.complete,FALSE()),
  _xlpm.missing_string,"Missing: "&amp;_xlfn.TEXTJOIN(", ",TRUE,_xlpm.missing),
  _xlfn.IFS(
    COUNTA(C234:K234)=0,"Blank",
AND(_xlpm.missing=FALSE,ROWS(_xlpm.missing)=1),"Complete",
    ROWS(_xlpm.missing)&gt;0,_xlpm.missing_string,
    TRUE,"Error"
  )
)</f>
        <v>Blank</v>
      </c>
      <c r="B2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5" spans="1:2" x14ac:dyDescent="0.3">
      <c r="A235" s="2" t="str" cm="1">
        <f t="array" ref="A235">_xlfn.LET(
  _xlpm.key,_xlfn.TEXTSPLIT("Email,Org,IRN,Impact",","),
  _xlpm.complete,ISBLANK(H235:K235),
  _xlpm.missing,_xlfn._xlws.FILTER(_xlpm.key,_xlpm.complete,FALSE()),
  _xlpm.missing_string,"Missing: "&amp;_xlfn.TEXTJOIN(", ",TRUE,_xlpm.missing),
  _xlfn.IFS(
    COUNTA(C235:K235)=0,"Blank",
AND(_xlpm.missing=FALSE,ROWS(_xlpm.missing)=1),"Complete",
    ROWS(_xlpm.missing)&gt;0,_xlpm.missing_string,
    TRUE,"Error"
  )
)</f>
        <v>Blank</v>
      </c>
      <c r="B2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6" spans="1:2" x14ac:dyDescent="0.3">
      <c r="A236" s="2" t="str" cm="1">
        <f t="array" ref="A236">_xlfn.LET(
  _xlpm.key,_xlfn.TEXTSPLIT("Email,Org,IRN,Impact",","),
  _xlpm.complete,ISBLANK(H236:K236),
  _xlpm.missing,_xlfn._xlws.FILTER(_xlpm.key,_xlpm.complete,FALSE()),
  _xlpm.missing_string,"Missing: "&amp;_xlfn.TEXTJOIN(", ",TRUE,_xlpm.missing),
  _xlfn.IFS(
    COUNTA(C236:K236)=0,"Blank",
AND(_xlpm.missing=FALSE,ROWS(_xlpm.missing)=1),"Complete",
    ROWS(_xlpm.missing)&gt;0,_xlpm.missing_string,
    TRUE,"Error"
  )
)</f>
        <v>Blank</v>
      </c>
      <c r="B2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7" spans="1:2" x14ac:dyDescent="0.3">
      <c r="A237" s="2" t="str" cm="1">
        <f t="array" ref="A237">_xlfn.LET(
  _xlpm.key,_xlfn.TEXTSPLIT("Email,Org,IRN,Impact",","),
  _xlpm.complete,ISBLANK(H237:K237),
  _xlpm.missing,_xlfn._xlws.FILTER(_xlpm.key,_xlpm.complete,FALSE()),
  _xlpm.missing_string,"Missing: "&amp;_xlfn.TEXTJOIN(", ",TRUE,_xlpm.missing),
  _xlfn.IFS(
    COUNTA(C237:K237)=0,"Blank",
AND(_xlpm.missing=FALSE,ROWS(_xlpm.missing)=1),"Complete",
    ROWS(_xlpm.missing)&gt;0,_xlpm.missing_string,
    TRUE,"Error"
  )
)</f>
        <v>Blank</v>
      </c>
      <c r="B2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8" spans="1:2" x14ac:dyDescent="0.3">
      <c r="A238" s="2" t="str" cm="1">
        <f t="array" ref="A238">_xlfn.LET(
  _xlpm.key,_xlfn.TEXTSPLIT("Email,Org,IRN,Impact",","),
  _xlpm.complete,ISBLANK(H238:K238),
  _xlpm.missing,_xlfn._xlws.FILTER(_xlpm.key,_xlpm.complete,FALSE()),
  _xlpm.missing_string,"Missing: "&amp;_xlfn.TEXTJOIN(", ",TRUE,_xlpm.missing),
  _xlfn.IFS(
    COUNTA(C238:K238)=0,"Blank",
AND(_xlpm.missing=FALSE,ROWS(_xlpm.missing)=1),"Complete",
    ROWS(_xlpm.missing)&gt;0,_xlpm.missing_string,
    TRUE,"Error"
  )
)</f>
        <v>Blank</v>
      </c>
      <c r="B2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39" spans="1:2" x14ac:dyDescent="0.3">
      <c r="A239" s="2" t="str" cm="1">
        <f t="array" ref="A239">_xlfn.LET(
  _xlpm.key,_xlfn.TEXTSPLIT("Email,Org,IRN,Impact",","),
  _xlpm.complete,ISBLANK(H239:K239),
  _xlpm.missing,_xlfn._xlws.FILTER(_xlpm.key,_xlpm.complete,FALSE()),
  _xlpm.missing_string,"Missing: "&amp;_xlfn.TEXTJOIN(", ",TRUE,_xlpm.missing),
  _xlfn.IFS(
    COUNTA(C239:K239)=0,"Blank",
AND(_xlpm.missing=FALSE,ROWS(_xlpm.missing)=1),"Complete",
    ROWS(_xlpm.missing)&gt;0,_xlpm.missing_string,
    TRUE,"Error"
  )
)</f>
        <v>Blank</v>
      </c>
      <c r="B2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0" spans="1:2" x14ac:dyDescent="0.3">
      <c r="A240" s="2" t="str" cm="1">
        <f t="array" ref="A240">_xlfn.LET(
  _xlpm.key,_xlfn.TEXTSPLIT("Email,Org,IRN,Impact",","),
  _xlpm.complete,ISBLANK(H240:K240),
  _xlpm.missing,_xlfn._xlws.FILTER(_xlpm.key,_xlpm.complete,FALSE()),
  _xlpm.missing_string,"Missing: "&amp;_xlfn.TEXTJOIN(", ",TRUE,_xlpm.missing),
  _xlfn.IFS(
    COUNTA(C240:K240)=0,"Blank",
AND(_xlpm.missing=FALSE,ROWS(_xlpm.missing)=1),"Complete",
    ROWS(_xlpm.missing)&gt;0,_xlpm.missing_string,
    TRUE,"Error"
  )
)</f>
        <v>Blank</v>
      </c>
      <c r="B2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1" spans="1:2" x14ac:dyDescent="0.3">
      <c r="A241" s="2" t="str" cm="1">
        <f t="array" ref="A241">_xlfn.LET(
  _xlpm.key,_xlfn.TEXTSPLIT("Email,Org,IRN,Impact",","),
  _xlpm.complete,ISBLANK(H241:K241),
  _xlpm.missing,_xlfn._xlws.FILTER(_xlpm.key,_xlpm.complete,FALSE()),
  _xlpm.missing_string,"Missing: "&amp;_xlfn.TEXTJOIN(", ",TRUE,_xlpm.missing),
  _xlfn.IFS(
    COUNTA(C241:K241)=0,"Blank",
AND(_xlpm.missing=FALSE,ROWS(_xlpm.missing)=1),"Complete",
    ROWS(_xlpm.missing)&gt;0,_xlpm.missing_string,
    TRUE,"Error"
  )
)</f>
        <v>Blank</v>
      </c>
      <c r="B2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2" spans="1:2" x14ac:dyDescent="0.3">
      <c r="A242" s="2" t="str" cm="1">
        <f t="array" ref="A242">_xlfn.LET(
  _xlpm.key,_xlfn.TEXTSPLIT("Email,Org,IRN,Impact",","),
  _xlpm.complete,ISBLANK(H242:K242),
  _xlpm.missing,_xlfn._xlws.FILTER(_xlpm.key,_xlpm.complete,FALSE()),
  _xlpm.missing_string,"Missing: "&amp;_xlfn.TEXTJOIN(", ",TRUE,_xlpm.missing),
  _xlfn.IFS(
    COUNTA(C242:K242)=0,"Blank",
AND(_xlpm.missing=FALSE,ROWS(_xlpm.missing)=1),"Complete",
    ROWS(_xlpm.missing)&gt;0,_xlpm.missing_string,
    TRUE,"Error"
  )
)</f>
        <v>Blank</v>
      </c>
      <c r="B2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3" spans="1:2" x14ac:dyDescent="0.3">
      <c r="A243" s="2" t="str" cm="1">
        <f t="array" ref="A243">_xlfn.LET(
  _xlpm.key,_xlfn.TEXTSPLIT("Email,Org,IRN,Impact",","),
  _xlpm.complete,ISBLANK(H243:K243),
  _xlpm.missing,_xlfn._xlws.FILTER(_xlpm.key,_xlpm.complete,FALSE()),
  _xlpm.missing_string,"Missing: "&amp;_xlfn.TEXTJOIN(", ",TRUE,_xlpm.missing),
  _xlfn.IFS(
    COUNTA(C243:K243)=0,"Blank",
AND(_xlpm.missing=FALSE,ROWS(_xlpm.missing)=1),"Complete",
    ROWS(_xlpm.missing)&gt;0,_xlpm.missing_string,
    TRUE,"Error"
  )
)</f>
        <v>Blank</v>
      </c>
      <c r="B2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4" spans="1:2" x14ac:dyDescent="0.3">
      <c r="A244" s="2" t="str" cm="1">
        <f t="array" ref="A244">_xlfn.LET(
  _xlpm.key,_xlfn.TEXTSPLIT("Email,Org,IRN,Impact",","),
  _xlpm.complete,ISBLANK(H244:K244),
  _xlpm.missing,_xlfn._xlws.FILTER(_xlpm.key,_xlpm.complete,FALSE()),
  _xlpm.missing_string,"Missing: "&amp;_xlfn.TEXTJOIN(", ",TRUE,_xlpm.missing),
  _xlfn.IFS(
    COUNTA(C244:K244)=0,"Blank",
AND(_xlpm.missing=FALSE,ROWS(_xlpm.missing)=1),"Complete",
    ROWS(_xlpm.missing)&gt;0,_xlpm.missing_string,
    TRUE,"Error"
  )
)</f>
        <v>Blank</v>
      </c>
      <c r="B2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5" spans="1:2" x14ac:dyDescent="0.3">
      <c r="A245" s="2" t="str" cm="1">
        <f t="array" ref="A245">_xlfn.LET(
  _xlpm.key,_xlfn.TEXTSPLIT("Email,Org,IRN,Impact",","),
  _xlpm.complete,ISBLANK(H245:K245),
  _xlpm.missing,_xlfn._xlws.FILTER(_xlpm.key,_xlpm.complete,FALSE()),
  _xlpm.missing_string,"Missing: "&amp;_xlfn.TEXTJOIN(", ",TRUE,_xlpm.missing),
  _xlfn.IFS(
    COUNTA(C245:K245)=0,"Blank",
AND(_xlpm.missing=FALSE,ROWS(_xlpm.missing)=1),"Complete",
    ROWS(_xlpm.missing)&gt;0,_xlpm.missing_string,
    TRUE,"Error"
  )
)</f>
        <v>Blank</v>
      </c>
      <c r="B2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6" spans="1:2" x14ac:dyDescent="0.3">
      <c r="A246" s="2" t="str" cm="1">
        <f t="array" ref="A246">_xlfn.LET(
  _xlpm.key,_xlfn.TEXTSPLIT("Email,Org,IRN,Impact",","),
  _xlpm.complete,ISBLANK(H246:K246),
  _xlpm.missing,_xlfn._xlws.FILTER(_xlpm.key,_xlpm.complete,FALSE()),
  _xlpm.missing_string,"Missing: "&amp;_xlfn.TEXTJOIN(", ",TRUE,_xlpm.missing),
  _xlfn.IFS(
    COUNTA(C246:K246)=0,"Blank",
AND(_xlpm.missing=FALSE,ROWS(_xlpm.missing)=1),"Complete",
    ROWS(_xlpm.missing)&gt;0,_xlpm.missing_string,
    TRUE,"Error"
  )
)</f>
        <v>Blank</v>
      </c>
      <c r="B2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7" spans="1:2" x14ac:dyDescent="0.3">
      <c r="A247" s="2" t="str" cm="1">
        <f t="array" ref="A247">_xlfn.LET(
  _xlpm.key,_xlfn.TEXTSPLIT("Email,Org,IRN,Impact",","),
  _xlpm.complete,ISBLANK(H247:K247),
  _xlpm.missing,_xlfn._xlws.FILTER(_xlpm.key,_xlpm.complete,FALSE()),
  _xlpm.missing_string,"Missing: "&amp;_xlfn.TEXTJOIN(", ",TRUE,_xlpm.missing),
  _xlfn.IFS(
    COUNTA(C247:K247)=0,"Blank",
AND(_xlpm.missing=FALSE,ROWS(_xlpm.missing)=1),"Complete",
    ROWS(_xlpm.missing)&gt;0,_xlpm.missing_string,
    TRUE,"Error"
  )
)</f>
        <v>Blank</v>
      </c>
      <c r="B2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8" spans="1:2" x14ac:dyDescent="0.3">
      <c r="A248" s="2" t="str" cm="1">
        <f t="array" ref="A248">_xlfn.LET(
  _xlpm.key,_xlfn.TEXTSPLIT("Email,Org,IRN,Impact",","),
  _xlpm.complete,ISBLANK(H248:K248),
  _xlpm.missing,_xlfn._xlws.FILTER(_xlpm.key,_xlpm.complete,FALSE()),
  _xlpm.missing_string,"Missing: "&amp;_xlfn.TEXTJOIN(", ",TRUE,_xlpm.missing),
  _xlfn.IFS(
    COUNTA(C248:K248)=0,"Blank",
AND(_xlpm.missing=FALSE,ROWS(_xlpm.missing)=1),"Complete",
    ROWS(_xlpm.missing)&gt;0,_xlpm.missing_string,
    TRUE,"Error"
  )
)</f>
        <v>Blank</v>
      </c>
      <c r="B2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49" spans="1:2" x14ac:dyDescent="0.3">
      <c r="A249" s="2" t="str" cm="1">
        <f t="array" ref="A249">_xlfn.LET(
  _xlpm.key,_xlfn.TEXTSPLIT("Email,Org,IRN,Impact",","),
  _xlpm.complete,ISBLANK(H249:K249),
  _xlpm.missing,_xlfn._xlws.FILTER(_xlpm.key,_xlpm.complete,FALSE()),
  _xlpm.missing_string,"Missing: "&amp;_xlfn.TEXTJOIN(", ",TRUE,_xlpm.missing),
  _xlfn.IFS(
    COUNTA(C249:K249)=0,"Blank",
AND(_xlpm.missing=FALSE,ROWS(_xlpm.missing)=1),"Complete",
    ROWS(_xlpm.missing)&gt;0,_xlpm.missing_string,
    TRUE,"Error"
  )
)</f>
        <v>Blank</v>
      </c>
      <c r="B2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0" spans="1:2" x14ac:dyDescent="0.3">
      <c r="A250" s="2" t="str" cm="1">
        <f t="array" ref="A250">_xlfn.LET(
  _xlpm.key,_xlfn.TEXTSPLIT("Email,Org,IRN,Impact",","),
  _xlpm.complete,ISBLANK(H250:K250),
  _xlpm.missing,_xlfn._xlws.FILTER(_xlpm.key,_xlpm.complete,FALSE()),
  _xlpm.missing_string,"Missing: "&amp;_xlfn.TEXTJOIN(", ",TRUE,_xlpm.missing),
  _xlfn.IFS(
    COUNTA(C250:K250)=0,"Blank",
AND(_xlpm.missing=FALSE,ROWS(_xlpm.missing)=1),"Complete",
    ROWS(_xlpm.missing)&gt;0,_xlpm.missing_string,
    TRUE,"Error"
  )
)</f>
        <v>Blank</v>
      </c>
      <c r="B2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1" spans="1:2" x14ac:dyDescent="0.3">
      <c r="A251" s="2" t="str" cm="1">
        <f t="array" ref="A251">_xlfn.LET(
  _xlpm.key,_xlfn.TEXTSPLIT("Email,Org,IRN,Impact",","),
  _xlpm.complete,ISBLANK(H251:K251),
  _xlpm.missing,_xlfn._xlws.FILTER(_xlpm.key,_xlpm.complete,FALSE()),
  _xlpm.missing_string,"Missing: "&amp;_xlfn.TEXTJOIN(", ",TRUE,_xlpm.missing),
  _xlfn.IFS(
    COUNTA(C251:K251)=0,"Blank",
AND(_xlpm.missing=FALSE,ROWS(_xlpm.missing)=1),"Complete",
    ROWS(_xlpm.missing)&gt;0,_xlpm.missing_string,
    TRUE,"Error"
  )
)</f>
        <v>Blank</v>
      </c>
      <c r="B2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2" spans="1:2" x14ac:dyDescent="0.3">
      <c r="A252" s="2" t="str" cm="1">
        <f t="array" ref="A252">_xlfn.LET(
  _xlpm.key,_xlfn.TEXTSPLIT("Email,Org,IRN,Impact",","),
  _xlpm.complete,ISBLANK(H252:K252),
  _xlpm.missing,_xlfn._xlws.FILTER(_xlpm.key,_xlpm.complete,FALSE()),
  _xlpm.missing_string,"Missing: "&amp;_xlfn.TEXTJOIN(", ",TRUE,_xlpm.missing),
  _xlfn.IFS(
    COUNTA(C252:K252)=0,"Blank",
AND(_xlpm.missing=FALSE,ROWS(_xlpm.missing)=1),"Complete",
    ROWS(_xlpm.missing)&gt;0,_xlpm.missing_string,
    TRUE,"Error"
  )
)</f>
        <v>Blank</v>
      </c>
      <c r="B2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3" spans="1:2" x14ac:dyDescent="0.3">
      <c r="A253" s="2" t="str" cm="1">
        <f t="array" ref="A253">_xlfn.LET(
  _xlpm.key,_xlfn.TEXTSPLIT("Email,Org,IRN,Impact",","),
  _xlpm.complete,ISBLANK(H253:K253),
  _xlpm.missing,_xlfn._xlws.FILTER(_xlpm.key,_xlpm.complete,FALSE()),
  _xlpm.missing_string,"Missing: "&amp;_xlfn.TEXTJOIN(", ",TRUE,_xlpm.missing),
  _xlfn.IFS(
    COUNTA(C253:K253)=0,"Blank",
AND(_xlpm.missing=FALSE,ROWS(_xlpm.missing)=1),"Complete",
    ROWS(_xlpm.missing)&gt;0,_xlpm.missing_string,
    TRUE,"Error"
  )
)</f>
        <v>Blank</v>
      </c>
      <c r="B2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4" spans="1:2" x14ac:dyDescent="0.3">
      <c r="A254" s="2" t="str" cm="1">
        <f t="array" ref="A254">_xlfn.LET(
  _xlpm.key,_xlfn.TEXTSPLIT("Email,Org,IRN,Impact",","),
  _xlpm.complete,ISBLANK(H254:K254),
  _xlpm.missing,_xlfn._xlws.FILTER(_xlpm.key,_xlpm.complete,FALSE()),
  _xlpm.missing_string,"Missing: "&amp;_xlfn.TEXTJOIN(", ",TRUE,_xlpm.missing),
  _xlfn.IFS(
    COUNTA(C254:K254)=0,"Blank",
AND(_xlpm.missing=FALSE,ROWS(_xlpm.missing)=1),"Complete",
    ROWS(_xlpm.missing)&gt;0,_xlpm.missing_string,
    TRUE,"Error"
  )
)</f>
        <v>Blank</v>
      </c>
      <c r="B2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5" spans="1:2" x14ac:dyDescent="0.3">
      <c r="A255" s="2" t="str" cm="1">
        <f t="array" ref="A255">_xlfn.LET(
  _xlpm.key,_xlfn.TEXTSPLIT("Email,Org,IRN,Impact",","),
  _xlpm.complete,ISBLANK(H255:K255),
  _xlpm.missing,_xlfn._xlws.FILTER(_xlpm.key,_xlpm.complete,FALSE()),
  _xlpm.missing_string,"Missing: "&amp;_xlfn.TEXTJOIN(", ",TRUE,_xlpm.missing),
  _xlfn.IFS(
    COUNTA(C255:K255)=0,"Blank",
AND(_xlpm.missing=FALSE,ROWS(_xlpm.missing)=1),"Complete",
    ROWS(_xlpm.missing)&gt;0,_xlpm.missing_string,
    TRUE,"Error"
  )
)</f>
        <v>Blank</v>
      </c>
      <c r="B2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6" spans="1:2" x14ac:dyDescent="0.3">
      <c r="A256" s="2" t="str" cm="1">
        <f t="array" ref="A256">_xlfn.LET(
  _xlpm.key,_xlfn.TEXTSPLIT("Email,Org,IRN,Impact",","),
  _xlpm.complete,ISBLANK(H256:K256),
  _xlpm.missing,_xlfn._xlws.FILTER(_xlpm.key,_xlpm.complete,FALSE()),
  _xlpm.missing_string,"Missing: "&amp;_xlfn.TEXTJOIN(", ",TRUE,_xlpm.missing),
  _xlfn.IFS(
    COUNTA(C256:K256)=0,"Blank",
AND(_xlpm.missing=FALSE,ROWS(_xlpm.missing)=1),"Complete",
    ROWS(_xlpm.missing)&gt;0,_xlpm.missing_string,
    TRUE,"Error"
  )
)</f>
        <v>Blank</v>
      </c>
      <c r="B2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7" spans="1:2" x14ac:dyDescent="0.3">
      <c r="A257" s="2" t="str" cm="1">
        <f t="array" ref="A257">_xlfn.LET(
  _xlpm.key,_xlfn.TEXTSPLIT("Email,Org,IRN,Impact",","),
  _xlpm.complete,ISBLANK(H257:K257),
  _xlpm.missing,_xlfn._xlws.FILTER(_xlpm.key,_xlpm.complete,FALSE()),
  _xlpm.missing_string,"Missing: "&amp;_xlfn.TEXTJOIN(", ",TRUE,_xlpm.missing),
  _xlfn.IFS(
    COUNTA(C257:K257)=0,"Blank",
AND(_xlpm.missing=FALSE,ROWS(_xlpm.missing)=1),"Complete",
    ROWS(_xlpm.missing)&gt;0,_xlpm.missing_string,
    TRUE,"Error"
  )
)</f>
        <v>Blank</v>
      </c>
      <c r="B2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8" spans="1:2" x14ac:dyDescent="0.3">
      <c r="A258" s="2" t="str" cm="1">
        <f t="array" ref="A258">_xlfn.LET(
  _xlpm.key,_xlfn.TEXTSPLIT("Email,Org,IRN,Impact",","),
  _xlpm.complete,ISBLANK(H258:K258),
  _xlpm.missing,_xlfn._xlws.FILTER(_xlpm.key,_xlpm.complete,FALSE()),
  _xlpm.missing_string,"Missing: "&amp;_xlfn.TEXTJOIN(", ",TRUE,_xlpm.missing),
  _xlfn.IFS(
    COUNTA(C258:K258)=0,"Blank",
AND(_xlpm.missing=FALSE,ROWS(_xlpm.missing)=1),"Complete",
    ROWS(_xlpm.missing)&gt;0,_xlpm.missing_string,
    TRUE,"Error"
  )
)</f>
        <v>Blank</v>
      </c>
      <c r="B2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59" spans="1:2" x14ac:dyDescent="0.3">
      <c r="A259" s="2" t="str" cm="1">
        <f t="array" ref="A259">_xlfn.LET(
  _xlpm.key,_xlfn.TEXTSPLIT("Email,Org,IRN,Impact",","),
  _xlpm.complete,ISBLANK(H259:K259),
  _xlpm.missing,_xlfn._xlws.FILTER(_xlpm.key,_xlpm.complete,FALSE()),
  _xlpm.missing_string,"Missing: "&amp;_xlfn.TEXTJOIN(", ",TRUE,_xlpm.missing),
  _xlfn.IFS(
    COUNTA(C259:K259)=0,"Blank",
AND(_xlpm.missing=FALSE,ROWS(_xlpm.missing)=1),"Complete",
    ROWS(_xlpm.missing)&gt;0,_xlpm.missing_string,
    TRUE,"Error"
  )
)</f>
        <v>Blank</v>
      </c>
      <c r="B2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0" spans="1:2" x14ac:dyDescent="0.3">
      <c r="A260" s="2" t="str" cm="1">
        <f t="array" ref="A260">_xlfn.LET(
  _xlpm.key,_xlfn.TEXTSPLIT("Email,Org,IRN,Impact",","),
  _xlpm.complete,ISBLANK(H260:K260),
  _xlpm.missing,_xlfn._xlws.FILTER(_xlpm.key,_xlpm.complete,FALSE()),
  _xlpm.missing_string,"Missing: "&amp;_xlfn.TEXTJOIN(", ",TRUE,_xlpm.missing),
  _xlfn.IFS(
    COUNTA(C260:K260)=0,"Blank",
AND(_xlpm.missing=FALSE,ROWS(_xlpm.missing)=1),"Complete",
    ROWS(_xlpm.missing)&gt;0,_xlpm.missing_string,
    TRUE,"Error"
  )
)</f>
        <v>Blank</v>
      </c>
      <c r="B2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1" spans="1:2" x14ac:dyDescent="0.3">
      <c r="A261" s="2" t="str" cm="1">
        <f t="array" ref="A261">_xlfn.LET(
  _xlpm.key,_xlfn.TEXTSPLIT("Email,Org,IRN,Impact",","),
  _xlpm.complete,ISBLANK(H261:K261),
  _xlpm.missing,_xlfn._xlws.FILTER(_xlpm.key,_xlpm.complete,FALSE()),
  _xlpm.missing_string,"Missing: "&amp;_xlfn.TEXTJOIN(", ",TRUE,_xlpm.missing),
  _xlfn.IFS(
    COUNTA(C261:K261)=0,"Blank",
AND(_xlpm.missing=FALSE,ROWS(_xlpm.missing)=1),"Complete",
    ROWS(_xlpm.missing)&gt;0,_xlpm.missing_string,
    TRUE,"Error"
  )
)</f>
        <v>Blank</v>
      </c>
      <c r="B2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2" spans="1:2" x14ac:dyDescent="0.3">
      <c r="A262" s="2" t="str" cm="1">
        <f t="array" ref="A262">_xlfn.LET(
  _xlpm.key,_xlfn.TEXTSPLIT("Email,Org,IRN,Impact",","),
  _xlpm.complete,ISBLANK(H262:K262),
  _xlpm.missing,_xlfn._xlws.FILTER(_xlpm.key,_xlpm.complete,FALSE()),
  _xlpm.missing_string,"Missing: "&amp;_xlfn.TEXTJOIN(", ",TRUE,_xlpm.missing),
  _xlfn.IFS(
    COUNTA(C262:K262)=0,"Blank",
AND(_xlpm.missing=FALSE,ROWS(_xlpm.missing)=1),"Complete",
    ROWS(_xlpm.missing)&gt;0,_xlpm.missing_string,
    TRUE,"Error"
  )
)</f>
        <v>Blank</v>
      </c>
      <c r="B2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3" spans="1:2" x14ac:dyDescent="0.3">
      <c r="A263" s="2" t="str" cm="1">
        <f t="array" ref="A263">_xlfn.LET(
  _xlpm.key,_xlfn.TEXTSPLIT("Email,Org,IRN,Impact",","),
  _xlpm.complete,ISBLANK(H263:K263),
  _xlpm.missing,_xlfn._xlws.FILTER(_xlpm.key,_xlpm.complete,FALSE()),
  _xlpm.missing_string,"Missing: "&amp;_xlfn.TEXTJOIN(", ",TRUE,_xlpm.missing),
  _xlfn.IFS(
    COUNTA(C263:K263)=0,"Blank",
AND(_xlpm.missing=FALSE,ROWS(_xlpm.missing)=1),"Complete",
    ROWS(_xlpm.missing)&gt;0,_xlpm.missing_string,
    TRUE,"Error"
  )
)</f>
        <v>Blank</v>
      </c>
      <c r="B2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4" spans="1:2" x14ac:dyDescent="0.3">
      <c r="A264" s="2" t="str" cm="1">
        <f t="array" ref="A264">_xlfn.LET(
  _xlpm.key,_xlfn.TEXTSPLIT("Email,Org,IRN,Impact",","),
  _xlpm.complete,ISBLANK(H264:K264),
  _xlpm.missing,_xlfn._xlws.FILTER(_xlpm.key,_xlpm.complete,FALSE()),
  _xlpm.missing_string,"Missing: "&amp;_xlfn.TEXTJOIN(", ",TRUE,_xlpm.missing),
  _xlfn.IFS(
    COUNTA(C264:K264)=0,"Blank",
AND(_xlpm.missing=FALSE,ROWS(_xlpm.missing)=1),"Complete",
    ROWS(_xlpm.missing)&gt;0,_xlpm.missing_string,
    TRUE,"Error"
  )
)</f>
        <v>Blank</v>
      </c>
      <c r="B2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5" spans="1:2" x14ac:dyDescent="0.3">
      <c r="A265" s="2" t="str" cm="1">
        <f t="array" ref="A265">_xlfn.LET(
  _xlpm.key,_xlfn.TEXTSPLIT("Email,Org,IRN,Impact",","),
  _xlpm.complete,ISBLANK(H265:K265),
  _xlpm.missing,_xlfn._xlws.FILTER(_xlpm.key,_xlpm.complete,FALSE()),
  _xlpm.missing_string,"Missing: "&amp;_xlfn.TEXTJOIN(", ",TRUE,_xlpm.missing),
  _xlfn.IFS(
    COUNTA(C265:K265)=0,"Blank",
AND(_xlpm.missing=FALSE,ROWS(_xlpm.missing)=1),"Complete",
    ROWS(_xlpm.missing)&gt;0,_xlpm.missing_string,
    TRUE,"Error"
  )
)</f>
        <v>Blank</v>
      </c>
      <c r="B2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6" spans="1:2" x14ac:dyDescent="0.3">
      <c r="A266" s="2" t="str" cm="1">
        <f t="array" ref="A266">_xlfn.LET(
  _xlpm.key,_xlfn.TEXTSPLIT("Email,Org,IRN,Impact",","),
  _xlpm.complete,ISBLANK(H266:K266),
  _xlpm.missing,_xlfn._xlws.FILTER(_xlpm.key,_xlpm.complete,FALSE()),
  _xlpm.missing_string,"Missing: "&amp;_xlfn.TEXTJOIN(", ",TRUE,_xlpm.missing),
  _xlfn.IFS(
    COUNTA(C266:K266)=0,"Blank",
AND(_xlpm.missing=FALSE,ROWS(_xlpm.missing)=1),"Complete",
    ROWS(_xlpm.missing)&gt;0,_xlpm.missing_string,
    TRUE,"Error"
  )
)</f>
        <v>Blank</v>
      </c>
      <c r="B2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7" spans="1:2" x14ac:dyDescent="0.3">
      <c r="A267" s="2" t="str" cm="1">
        <f t="array" ref="A267">_xlfn.LET(
  _xlpm.key,_xlfn.TEXTSPLIT("Email,Org,IRN,Impact",","),
  _xlpm.complete,ISBLANK(H267:K267),
  _xlpm.missing,_xlfn._xlws.FILTER(_xlpm.key,_xlpm.complete,FALSE()),
  _xlpm.missing_string,"Missing: "&amp;_xlfn.TEXTJOIN(", ",TRUE,_xlpm.missing),
  _xlfn.IFS(
    COUNTA(C267:K267)=0,"Blank",
AND(_xlpm.missing=FALSE,ROWS(_xlpm.missing)=1),"Complete",
    ROWS(_xlpm.missing)&gt;0,_xlpm.missing_string,
    TRUE,"Error"
  )
)</f>
        <v>Blank</v>
      </c>
      <c r="B2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8" spans="1:2" x14ac:dyDescent="0.3">
      <c r="A268" s="2" t="str" cm="1">
        <f t="array" ref="A268">_xlfn.LET(
  _xlpm.key,_xlfn.TEXTSPLIT("Email,Org,IRN,Impact",","),
  _xlpm.complete,ISBLANK(H268:K268),
  _xlpm.missing,_xlfn._xlws.FILTER(_xlpm.key,_xlpm.complete,FALSE()),
  _xlpm.missing_string,"Missing: "&amp;_xlfn.TEXTJOIN(", ",TRUE,_xlpm.missing),
  _xlfn.IFS(
    COUNTA(C268:K268)=0,"Blank",
AND(_xlpm.missing=FALSE,ROWS(_xlpm.missing)=1),"Complete",
    ROWS(_xlpm.missing)&gt;0,_xlpm.missing_string,
    TRUE,"Error"
  )
)</f>
        <v>Blank</v>
      </c>
      <c r="B2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69" spans="1:2" x14ac:dyDescent="0.3">
      <c r="A269" s="2" t="str" cm="1">
        <f t="array" ref="A269">_xlfn.LET(
  _xlpm.key,_xlfn.TEXTSPLIT("Email,Org,IRN,Impact",","),
  _xlpm.complete,ISBLANK(H269:K269),
  _xlpm.missing,_xlfn._xlws.FILTER(_xlpm.key,_xlpm.complete,FALSE()),
  _xlpm.missing_string,"Missing: "&amp;_xlfn.TEXTJOIN(", ",TRUE,_xlpm.missing),
  _xlfn.IFS(
    COUNTA(C269:K269)=0,"Blank",
AND(_xlpm.missing=FALSE,ROWS(_xlpm.missing)=1),"Complete",
    ROWS(_xlpm.missing)&gt;0,_xlpm.missing_string,
    TRUE,"Error"
  )
)</f>
        <v>Blank</v>
      </c>
      <c r="B2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0" spans="1:2" x14ac:dyDescent="0.3">
      <c r="A270" s="2" t="str" cm="1">
        <f t="array" ref="A270">_xlfn.LET(
  _xlpm.key,_xlfn.TEXTSPLIT("Email,Org,IRN,Impact",","),
  _xlpm.complete,ISBLANK(H270:K270),
  _xlpm.missing,_xlfn._xlws.FILTER(_xlpm.key,_xlpm.complete,FALSE()),
  _xlpm.missing_string,"Missing: "&amp;_xlfn.TEXTJOIN(", ",TRUE,_xlpm.missing),
  _xlfn.IFS(
    COUNTA(C270:K270)=0,"Blank",
AND(_xlpm.missing=FALSE,ROWS(_xlpm.missing)=1),"Complete",
    ROWS(_xlpm.missing)&gt;0,_xlpm.missing_string,
    TRUE,"Error"
  )
)</f>
        <v>Blank</v>
      </c>
      <c r="B2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1" spans="1:2" x14ac:dyDescent="0.3">
      <c r="A271" s="2" t="str" cm="1">
        <f t="array" ref="A271">_xlfn.LET(
  _xlpm.key,_xlfn.TEXTSPLIT("Email,Org,IRN,Impact",","),
  _xlpm.complete,ISBLANK(H271:K271),
  _xlpm.missing,_xlfn._xlws.FILTER(_xlpm.key,_xlpm.complete,FALSE()),
  _xlpm.missing_string,"Missing: "&amp;_xlfn.TEXTJOIN(", ",TRUE,_xlpm.missing),
  _xlfn.IFS(
    COUNTA(C271:K271)=0,"Blank",
AND(_xlpm.missing=FALSE,ROWS(_xlpm.missing)=1),"Complete",
    ROWS(_xlpm.missing)&gt;0,_xlpm.missing_string,
    TRUE,"Error"
  )
)</f>
        <v>Blank</v>
      </c>
      <c r="B2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2" spans="1:2" x14ac:dyDescent="0.3">
      <c r="A272" s="2" t="str" cm="1">
        <f t="array" ref="A272">_xlfn.LET(
  _xlpm.key,_xlfn.TEXTSPLIT("Email,Org,IRN,Impact",","),
  _xlpm.complete,ISBLANK(H272:K272),
  _xlpm.missing,_xlfn._xlws.FILTER(_xlpm.key,_xlpm.complete,FALSE()),
  _xlpm.missing_string,"Missing: "&amp;_xlfn.TEXTJOIN(", ",TRUE,_xlpm.missing),
  _xlfn.IFS(
    COUNTA(C272:K272)=0,"Blank",
AND(_xlpm.missing=FALSE,ROWS(_xlpm.missing)=1),"Complete",
    ROWS(_xlpm.missing)&gt;0,_xlpm.missing_string,
    TRUE,"Error"
  )
)</f>
        <v>Blank</v>
      </c>
      <c r="B2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3" spans="1:2" x14ac:dyDescent="0.3">
      <c r="A273" s="2" t="str" cm="1">
        <f t="array" ref="A273">_xlfn.LET(
  _xlpm.key,_xlfn.TEXTSPLIT("Email,Org,IRN,Impact",","),
  _xlpm.complete,ISBLANK(H273:K273),
  _xlpm.missing,_xlfn._xlws.FILTER(_xlpm.key,_xlpm.complete,FALSE()),
  _xlpm.missing_string,"Missing: "&amp;_xlfn.TEXTJOIN(", ",TRUE,_xlpm.missing),
  _xlfn.IFS(
    COUNTA(C273:K273)=0,"Blank",
AND(_xlpm.missing=FALSE,ROWS(_xlpm.missing)=1),"Complete",
    ROWS(_xlpm.missing)&gt;0,_xlpm.missing_string,
    TRUE,"Error"
  )
)</f>
        <v>Blank</v>
      </c>
      <c r="B2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4" spans="1:2" x14ac:dyDescent="0.3">
      <c r="A274" s="2" t="str" cm="1">
        <f t="array" ref="A274">_xlfn.LET(
  _xlpm.key,_xlfn.TEXTSPLIT("Email,Org,IRN,Impact",","),
  _xlpm.complete,ISBLANK(H274:K274),
  _xlpm.missing,_xlfn._xlws.FILTER(_xlpm.key,_xlpm.complete,FALSE()),
  _xlpm.missing_string,"Missing: "&amp;_xlfn.TEXTJOIN(", ",TRUE,_xlpm.missing),
  _xlfn.IFS(
    COUNTA(C274:K274)=0,"Blank",
AND(_xlpm.missing=FALSE,ROWS(_xlpm.missing)=1),"Complete",
    ROWS(_xlpm.missing)&gt;0,_xlpm.missing_string,
    TRUE,"Error"
  )
)</f>
        <v>Blank</v>
      </c>
      <c r="B2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5" spans="1:2" x14ac:dyDescent="0.3">
      <c r="A275" s="2" t="str" cm="1">
        <f t="array" ref="A275">_xlfn.LET(
  _xlpm.key,_xlfn.TEXTSPLIT("Email,Org,IRN,Impact",","),
  _xlpm.complete,ISBLANK(H275:K275),
  _xlpm.missing,_xlfn._xlws.FILTER(_xlpm.key,_xlpm.complete,FALSE()),
  _xlpm.missing_string,"Missing: "&amp;_xlfn.TEXTJOIN(", ",TRUE,_xlpm.missing),
  _xlfn.IFS(
    COUNTA(C275:K275)=0,"Blank",
AND(_xlpm.missing=FALSE,ROWS(_xlpm.missing)=1),"Complete",
    ROWS(_xlpm.missing)&gt;0,_xlpm.missing_string,
    TRUE,"Error"
  )
)</f>
        <v>Blank</v>
      </c>
      <c r="B2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6" spans="1:2" x14ac:dyDescent="0.3">
      <c r="A276" s="2" t="str" cm="1">
        <f t="array" ref="A276">_xlfn.LET(
  _xlpm.key,_xlfn.TEXTSPLIT("Email,Org,IRN,Impact",","),
  _xlpm.complete,ISBLANK(H276:K276),
  _xlpm.missing,_xlfn._xlws.FILTER(_xlpm.key,_xlpm.complete,FALSE()),
  _xlpm.missing_string,"Missing: "&amp;_xlfn.TEXTJOIN(", ",TRUE,_xlpm.missing),
  _xlfn.IFS(
    COUNTA(C276:K276)=0,"Blank",
AND(_xlpm.missing=FALSE,ROWS(_xlpm.missing)=1),"Complete",
    ROWS(_xlpm.missing)&gt;0,_xlpm.missing_string,
    TRUE,"Error"
  )
)</f>
        <v>Blank</v>
      </c>
      <c r="B2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7" spans="1:2" x14ac:dyDescent="0.3">
      <c r="A277" s="2" t="str" cm="1">
        <f t="array" ref="A277">_xlfn.LET(
  _xlpm.key,_xlfn.TEXTSPLIT("Email,Org,IRN,Impact",","),
  _xlpm.complete,ISBLANK(H277:K277),
  _xlpm.missing,_xlfn._xlws.FILTER(_xlpm.key,_xlpm.complete,FALSE()),
  _xlpm.missing_string,"Missing: "&amp;_xlfn.TEXTJOIN(", ",TRUE,_xlpm.missing),
  _xlfn.IFS(
    COUNTA(C277:K277)=0,"Blank",
AND(_xlpm.missing=FALSE,ROWS(_xlpm.missing)=1),"Complete",
    ROWS(_xlpm.missing)&gt;0,_xlpm.missing_string,
    TRUE,"Error"
  )
)</f>
        <v>Blank</v>
      </c>
      <c r="B2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8" spans="1:2" x14ac:dyDescent="0.3">
      <c r="A278" s="2" t="str" cm="1">
        <f t="array" ref="A278">_xlfn.LET(
  _xlpm.key,_xlfn.TEXTSPLIT("Email,Org,IRN,Impact",","),
  _xlpm.complete,ISBLANK(H278:K278),
  _xlpm.missing,_xlfn._xlws.FILTER(_xlpm.key,_xlpm.complete,FALSE()),
  _xlpm.missing_string,"Missing: "&amp;_xlfn.TEXTJOIN(", ",TRUE,_xlpm.missing),
  _xlfn.IFS(
    COUNTA(C278:K278)=0,"Blank",
AND(_xlpm.missing=FALSE,ROWS(_xlpm.missing)=1),"Complete",
    ROWS(_xlpm.missing)&gt;0,_xlpm.missing_string,
    TRUE,"Error"
  )
)</f>
        <v>Blank</v>
      </c>
      <c r="B2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79" spans="1:2" x14ac:dyDescent="0.3">
      <c r="A279" s="2" t="str" cm="1">
        <f t="array" ref="A279">_xlfn.LET(
  _xlpm.key,_xlfn.TEXTSPLIT("Email,Org,IRN,Impact",","),
  _xlpm.complete,ISBLANK(H279:K279),
  _xlpm.missing,_xlfn._xlws.FILTER(_xlpm.key,_xlpm.complete,FALSE()),
  _xlpm.missing_string,"Missing: "&amp;_xlfn.TEXTJOIN(", ",TRUE,_xlpm.missing),
  _xlfn.IFS(
    COUNTA(C279:K279)=0,"Blank",
AND(_xlpm.missing=FALSE,ROWS(_xlpm.missing)=1),"Complete",
    ROWS(_xlpm.missing)&gt;0,_xlpm.missing_string,
    TRUE,"Error"
  )
)</f>
        <v>Blank</v>
      </c>
      <c r="B2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0" spans="1:2" x14ac:dyDescent="0.3">
      <c r="A280" s="2" t="str" cm="1">
        <f t="array" ref="A280">_xlfn.LET(
  _xlpm.key,_xlfn.TEXTSPLIT("Email,Org,IRN,Impact",","),
  _xlpm.complete,ISBLANK(H280:K280),
  _xlpm.missing,_xlfn._xlws.FILTER(_xlpm.key,_xlpm.complete,FALSE()),
  _xlpm.missing_string,"Missing: "&amp;_xlfn.TEXTJOIN(", ",TRUE,_xlpm.missing),
  _xlfn.IFS(
    COUNTA(C280:K280)=0,"Blank",
AND(_xlpm.missing=FALSE,ROWS(_xlpm.missing)=1),"Complete",
    ROWS(_xlpm.missing)&gt;0,_xlpm.missing_string,
    TRUE,"Error"
  )
)</f>
        <v>Blank</v>
      </c>
      <c r="B2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1" spans="1:2" x14ac:dyDescent="0.3">
      <c r="A281" s="2" t="str" cm="1">
        <f t="array" ref="A281">_xlfn.LET(
  _xlpm.key,_xlfn.TEXTSPLIT("Email,Org,IRN,Impact",","),
  _xlpm.complete,ISBLANK(H281:K281),
  _xlpm.missing,_xlfn._xlws.FILTER(_xlpm.key,_xlpm.complete,FALSE()),
  _xlpm.missing_string,"Missing: "&amp;_xlfn.TEXTJOIN(", ",TRUE,_xlpm.missing),
  _xlfn.IFS(
    COUNTA(C281:K281)=0,"Blank",
AND(_xlpm.missing=FALSE,ROWS(_xlpm.missing)=1),"Complete",
    ROWS(_xlpm.missing)&gt;0,_xlpm.missing_string,
    TRUE,"Error"
  )
)</f>
        <v>Blank</v>
      </c>
      <c r="B2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2" spans="1:2" x14ac:dyDescent="0.3">
      <c r="A282" s="2" t="str" cm="1">
        <f t="array" ref="A282">_xlfn.LET(
  _xlpm.key,_xlfn.TEXTSPLIT("Email,Org,IRN,Impact",","),
  _xlpm.complete,ISBLANK(H282:K282),
  _xlpm.missing,_xlfn._xlws.FILTER(_xlpm.key,_xlpm.complete,FALSE()),
  _xlpm.missing_string,"Missing: "&amp;_xlfn.TEXTJOIN(", ",TRUE,_xlpm.missing),
  _xlfn.IFS(
    COUNTA(C282:K282)=0,"Blank",
AND(_xlpm.missing=FALSE,ROWS(_xlpm.missing)=1),"Complete",
    ROWS(_xlpm.missing)&gt;0,_xlpm.missing_string,
    TRUE,"Error"
  )
)</f>
        <v>Blank</v>
      </c>
      <c r="B2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3" spans="1:2" x14ac:dyDescent="0.3">
      <c r="A283" s="2" t="str" cm="1">
        <f t="array" ref="A283">_xlfn.LET(
  _xlpm.key,_xlfn.TEXTSPLIT("Email,Org,IRN,Impact",","),
  _xlpm.complete,ISBLANK(H283:K283),
  _xlpm.missing,_xlfn._xlws.FILTER(_xlpm.key,_xlpm.complete,FALSE()),
  _xlpm.missing_string,"Missing: "&amp;_xlfn.TEXTJOIN(", ",TRUE,_xlpm.missing),
  _xlfn.IFS(
    COUNTA(C283:K283)=0,"Blank",
AND(_xlpm.missing=FALSE,ROWS(_xlpm.missing)=1),"Complete",
    ROWS(_xlpm.missing)&gt;0,_xlpm.missing_string,
    TRUE,"Error"
  )
)</f>
        <v>Blank</v>
      </c>
      <c r="B2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4" spans="1:2" x14ac:dyDescent="0.3">
      <c r="A284" s="2" t="str" cm="1">
        <f t="array" ref="A284">_xlfn.LET(
  _xlpm.key,_xlfn.TEXTSPLIT("Email,Org,IRN,Impact",","),
  _xlpm.complete,ISBLANK(H284:K284),
  _xlpm.missing,_xlfn._xlws.FILTER(_xlpm.key,_xlpm.complete,FALSE()),
  _xlpm.missing_string,"Missing: "&amp;_xlfn.TEXTJOIN(", ",TRUE,_xlpm.missing),
  _xlfn.IFS(
    COUNTA(C284:K284)=0,"Blank",
AND(_xlpm.missing=FALSE,ROWS(_xlpm.missing)=1),"Complete",
    ROWS(_xlpm.missing)&gt;0,_xlpm.missing_string,
    TRUE,"Error"
  )
)</f>
        <v>Blank</v>
      </c>
      <c r="B2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5" spans="1:2" x14ac:dyDescent="0.3">
      <c r="A285" s="2" t="str" cm="1">
        <f t="array" ref="A285">_xlfn.LET(
  _xlpm.key,_xlfn.TEXTSPLIT("Email,Org,IRN,Impact",","),
  _xlpm.complete,ISBLANK(H285:K285),
  _xlpm.missing,_xlfn._xlws.FILTER(_xlpm.key,_xlpm.complete,FALSE()),
  _xlpm.missing_string,"Missing: "&amp;_xlfn.TEXTJOIN(", ",TRUE,_xlpm.missing),
  _xlfn.IFS(
    COUNTA(C285:K285)=0,"Blank",
AND(_xlpm.missing=FALSE,ROWS(_xlpm.missing)=1),"Complete",
    ROWS(_xlpm.missing)&gt;0,_xlpm.missing_string,
    TRUE,"Error"
  )
)</f>
        <v>Blank</v>
      </c>
      <c r="B2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6" spans="1:2" x14ac:dyDescent="0.3">
      <c r="A286" s="2" t="str" cm="1">
        <f t="array" ref="A286">_xlfn.LET(
  _xlpm.key,_xlfn.TEXTSPLIT("Email,Org,IRN,Impact",","),
  _xlpm.complete,ISBLANK(H286:K286),
  _xlpm.missing,_xlfn._xlws.FILTER(_xlpm.key,_xlpm.complete,FALSE()),
  _xlpm.missing_string,"Missing: "&amp;_xlfn.TEXTJOIN(", ",TRUE,_xlpm.missing),
  _xlfn.IFS(
    COUNTA(C286:K286)=0,"Blank",
AND(_xlpm.missing=FALSE,ROWS(_xlpm.missing)=1),"Complete",
    ROWS(_xlpm.missing)&gt;0,_xlpm.missing_string,
    TRUE,"Error"
  )
)</f>
        <v>Blank</v>
      </c>
      <c r="B2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7" spans="1:2" x14ac:dyDescent="0.3">
      <c r="A287" s="2" t="str" cm="1">
        <f t="array" ref="A287">_xlfn.LET(
  _xlpm.key,_xlfn.TEXTSPLIT("Email,Org,IRN,Impact",","),
  _xlpm.complete,ISBLANK(H287:K287),
  _xlpm.missing,_xlfn._xlws.FILTER(_xlpm.key,_xlpm.complete,FALSE()),
  _xlpm.missing_string,"Missing: "&amp;_xlfn.TEXTJOIN(", ",TRUE,_xlpm.missing),
  _xlfn.IFS(
    COUNTA(C287:K287)=0,"Blank",
AND(_xlpm.missing=FALSE,ROWS(_xlpm.missing)=1),"Complete",
    ROWS(_xlpm.missing)&gt;0,_xlpm.missing_string,
    TRUE,"Error"
  )
)</f>
        <v>Blank</v>
      </c>
      <c r="B2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8" spans="1:2" x14ac:dyDescent="0.3">
      <c r="A288" s="2" t="str" cm="1">
        <f t="array" ref="A288">_xlfn.LET(
  _xlpm.key,_xlfn.TEXTSPLIT("Email,Org,IRN,Impact",","),
  _xlpm.complete,ISBLANK(H288:K288),
  _xlpm.missing,_xlfn._xlws.FILTER(_xlpm.key,_xlpm.complete,FALSE()),
  _xlpm.missing_string,"Missing: "&amp;_xlfn.TEXTJOIN(", ",TRUE,_xlpm.missing),
  _xlfn.IFS(
    COUNTA(C288:K288)=0,"Blank",
AND(_xlpm.missing=FALSE,ROWS(_xlpm.missing)=1),"Complete",
    ROWS(_xlpm.missing)&gt;0,_xlpm.missing_string,
    TRUE,"Error"
  )
)</f>
        <v>Blank</v>
      </c>
      <c r="B2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89" spans="1:2" x14ac:dyDescent="0.3">
      <c r="A289" s="2" t="str" cm="1">
        <f t="array" ref="A289">_xlfn.LET(
  _xlpm.key,_xlfn.TEXTSPLIT("Email,Org,IRN,Impact",","),
  _xlpm.complete,ISBLANK(H289:K289),
  _xlpm.missing,_xlfn._xlws.FILTER(_xlpm.key,_xlpm.complete,FALSE()),
  _xlpm.missing_string,"Missing: "&amp;_xlfn.TEXTJOIN(", ",TRUE,_xlpm.missing),
  _xlfn.IFS(
    COUNTA(C289:K289)=0,"Blank",
AND(_xlpm.missing=FALSE,ROWS(_xlpm.missing)=1),"Complete",
    ROWS(_xlpm.missing)&gt;0,_xlpm.missing_string,
    TRUE,"Error"
  )
)</f>
        <v>Blank</v>
      </c>
      <c r="B2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0" spans="1:2" x14ac:dyDescent="0.3">
      <c r="A290" s="2" t="str" cm="1">
        <f t="array" ref="A290">_xlfn.LET(
  _xlpm.key,_xlfn.TEXTSPLIT("Email,Org,IRN,Impact",","),
  _xlpm.complete,ISBLANK(H290:K290),
  _xlpm.missing,_xlfn._xlws.FILTER(_xlpm.key,_xlpm.complete,FALSE()),
  _xlpm.missing_string,"Missing: "&amp;_xlfn.TEXTJOIN(", ",TRUE,_xlpm.missing),
  _xlfn.IFS(
    COUNTA(C290:K290)=0,"Blank",
AND(_xlpm.missing=FALSE,ROWS(_xlpm.missing)=1),"Complete",
    ROWS(_xlpm.missing)&gt;0,_xlpm.missing_string,
    TRUE,"Error"
  )
)</f>
        <v>Blank</v>
      </c>
      <c r="B2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1" spans="1:2" x14ac:dyDescent="0.3">
      <c r="A291" s="2" t="str" cm="1">
        <f t="array" ref="A291">_xlfn.LET(
  _xlpm.key,_xlfn.TEXTSPLIT("Email,Org,IRN,Impact",","),
  _xlpm.complete,ISBLANK(H291:K291),
  _xlpm.missing,_xlfn._xlws.FILTER(_xlpm.key,_xlpm.complete,FALSE()),
  _xlpm.missing_string,"Missing: "&amp;_xlfn.TEXTJOIN(", ",TRUE,_xlpm.missing),
  _xlfn.IFS(
    COUNTA(C291:K291)=0,"Blank",
AND(_xlpm.missing=FALSE,ROWS(_xlpm.missing)=1),"Complete",
    ROWS(_xlpm.missing)&gt;0,_xlpm.missing_string,
    TRUE,"Error"
  )
)</f>
        <v>Blank</v>
      </c>
      <c r="B2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2" spans="1:2" x14ac:dyDescent="0.3">
      <c r="A292" s="2" t="str" cm="1">
        <f t="array" ref="A292">_xlfn.LET(
  _xlpm.key,_xlfn.TEXTSPLIT("Email,Org,IRN,Impact",","),
  _xlpm.complete,ISBLANK(H292:K292),
  _xlpm.missing,_xlfn._xlws.FILTER(_xlpm.key,_xlpm.complete,FALSE()),
  _xlpm.missing_string,"Missing: "&amp;_xlfn.TEXTJOIN(", ",TRUE,_xlpm.missing),
  _xlfn.IFS(
    COUNTA(C292:K292)=0,"Blank",
AND(_xlpm.missing=FALSE,ROWS(_xlpm.missing)=1),"Complete",
    ROWS(_xlpm.missing)&gt;0,_xlpm.missing_string,
    TRUE,"Error"
  )
)</f>
        <v>Blank</v>
      </c>
      <c r="B2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3" spans="1:2" x14ac:dyDescent="0.3">
      <c r="A293" s="2" t="str" cm="1">
        <f t="array" ref="A293">_xlfn.LET(
  _xlpm.key,_xlfn.TEXTSPLIT("Email,Org,IRN,Impact",","),
  _xlpm.complete,ISBLANK(H293:K293),
  _xlpm.missing,_xlfn._xlws.FILTER(_xlpm.key,_xlpm.complete,FALSE()),
  _xlpm.missing_string,"Missing: "&amp;_xlfn.TEXTJOIN(", ",TRUE,_xlpm.missing),
  _xlfn.IFS(
    COUNTA(C293:K293)=0,"Blank",
AND(_xlpm.missing=FALSE,ROWS(_xlpm.missing)=1),"Complete",
    ROWS(_xlpm.missing)&gt;0,_xlpm.missing_string,
    TRUE,"Error"
  )
)</f>
        <v>Blank</v>
      </c>
      <c r="B2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4" spans="1:2" x14ac:dyDescent="0.3">
      <c r="A294" s="2" t="str" cm="1">
        <f t="array" ref="A294">_xlfn.LET(
  _xlpm.key,_xlfn.TEXTSPLIT("Email,Org,IRN,Impact",","),
  _xlpm.complete,ISBLANK(H294:K294),
  _xlpm.missing,_xlfn._xlws.FILTER(_xlpm.key,_xlpm.complete,FALSE()),
  _xlpm.missing_string,"Missing: "&amp;_xlfn.TEXTJOIN(", ",TRUE,_xlpm.missing),
  _xlfn.IFS(
    COUNTA(C294:K294)=0,"Blank",
AND(_xlpm.missing=FALSE,ROWS(_xlpm.missing)=1),"Complete",
    ROWS(_xlpm.missing)&gt;0,_xlpm.missing_string,
    TRUE,"Error"
  )
)</f>
        <v>Blank</v>
      </c>
      <c r="B2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5" spans="1:2" x14ac:dyDescent="0.3">
      <c r="A295" s="2" t="str" cm="1">
        <f t="array" ref="A295">_xlfn.LET(
  _xlpm.key,_xlfn.TEXTSPLIT("Email,Org,IRN,Impact",","),
  _xlpm.complete,ISBLANK(H295:K295),
  _xlpm.missing,_xlfn._xlws.FILTER(_xlpm.key,_xlpm.complete,FALSE()),
  _xlpm.missing_string,"Missing: "&amp;_xlfn.TEXTJOIN(", ",TRUE,_xlpm.missing),
  _xlfn.IFS(
    COUNTA(C295:K295)=0,"Blank",
AND(_xlpm.missing=FALSE,ROWS(_xlpm.missing)=1),"Complete",
    ROWS(_xlpm.missing)&gt;0,_xlpm.missing_string,
    TRUE,"Error"
  )
)</f>
        <v>Blank</v>
      </c>
      <c r="B2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6" spans="1:2" x14ac:dyDescent="0.3">
      <c r="A296" s="2" t="str" cm="1">
        <f t="array" ref="A296">_xlfn.LET(
  _xlpm.key,_xlfn.TEXTSPLIT("Email,Org,IRN,Impact",","),
  _xlpm.complete,ISBLANK(H296:K296),
  _xlpm.missing,_xlfn._xlws.FILTER(_xlpm.key,_xlpm.complete,FALSE()),
  _xlpm.missing_string,"Missing: "&amp;_xlfn.TEXTJOIN(", ",TRUE,_xlpm.missing),
  _xlfn.IFS(
    COUNTA(C296:K296)=0,"Blank",
AND(_xlpm.missing=FALSE,ROWS(_xlpm.missing)=1),"Complete",
    ROWS(_xlpm.missing)&gt;0,_xlpm.missing_string,
    TRUE,"Error"
  )
)</f>
        <v>Blank</v>
      </c>
      <c r="B2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7" spans="1:2" x14ac:dyDescent="0.3">
      <c r="A297" s="2" t="str" cm="1">
        <f t="array" ref="A297">_xlfn.LET(
  _xlpm.key,_xlfn.TEXTSPLIT("Email,Org,IRN,Impact",","),
  _xlpm.complete,ISBLANK(H297:K297),
  _xlpm.missing,_xlfn._xlws.FILTER(_xlpm.key,_xlpm.complete,FALSE()),
  _xlpm.missing_string,"Missing: "&amp;_xlfn.TEXTJOIN(", ",TRUE,_xlpm.missing),
  _xlfn.IFS(
    COUNTA(C297:K297)=0,"Blank",
AND(_xlpm.missing=FALSE,ROWS(_xlpm.missing)=1),"Complete",
    ROWS(_xlpm.missing)&gt;0,_xlpm.missing_string,
    TRUE,"Error"
  )
)</f>
        <v>Blank</v>
      </c>
      <c r="B2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8" spans="1:2" x14ac:dyDescent="0.3">
      <c r="A298" s="2" t="str" cm="1">
        <f t="array" ref="A298">_xlfn.LET(
  _xlpm.key,_xlfn.TEXTSPLIT("Email,Org,IRN,Impact",","),
  _xlpm.complete,ISBLANK(H298:K298),
  _xlpm.missing,_xlfn._xlws.FILTER(_xlpm.key,_xlpm.complete,FALSE()),
  _xlpm.missing_string,"Missing: "&amp;_xlfn.TEXTJOIN(", ",TRUE,_xlpm.missing),
  _xlfn.IFS(
    COUNTA(C298:K298)=0,"Blank",
AND(_xlpm.missing=FALSE,ROWS(_xlpm.missing)=1),"Complete",
    ROWS(_xlpm.missing)&gt;0,_xlpm.missing_string,
    TRUE,"Error"
  )
)</f>
        <v>Blank</v>
      </c>
      <c r="B2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299" spans="1:2" x14ac:dyDescent="0.3">
      <c r="A299" s="2" t="str" cm="1">
        <f t="array" ref="A299">_xlfn.LET(
  _xlpm.key,_xlfn.TEXTSPLIT("Email,Org,IRN,Impact",","),
  _xlpm.complete,ISBLANK(H299:K299),
  _xlpm.missing,_xlfn._xlws.FILTER(_xlpm.key,_xlpm.complete,FALSE()),
  _xlpm.missing_string,"Missing: "&amp;_xlfn.TEXTJOIN(", ",TRUE,_xlpm.missing),
  _xlfn.IFS(
    COUNTA(C299:K299)=0,"Blank",
AND(_xlpm.missing=FALSE,ROWS(_xlpm.missing)=1),"Complete",
    ROWS(_xlpm.missing)&gt;0,_xlpm.missing_string,
    TRUE,"Error"
  )
)</f>
        <v>Blank</v>
      </c>
      <c r="B2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0" spans="1:2" x14ac:dyDescent="0.3">
      <c r="A300" s="2" t="str" cm="1">
        <f t="array" ref="A300">_xlfn.LET(
  _xlpm.key,_xlfn.TEXTSPLIT("Email,Org,IRN,Impact",","),
  _xlpm.complete,ISBLANK(H300:K300),
  _xlpm.missing,_xlfn._xlws.FILTER(_xlpm.key,_xlpm.complete,FALSE()),
  _xlpm.missing_string,"Missing: "&amp;_xlfn.TEXTJOIN(", ",TRUE,_xlpm.missing),
  _xlfn.IFS(
    COUNTA(C300:K300)=0,"Blank",
AND(_xlpm.missing=FALSE,ROWS(_xlpm.missing)=1),"Complete",
    ROWS(_xlpm.missing)&gt;0,_xlpm.missing_string,
    TRUE,"Error"
  )
)</f>
        <v>Blank</v>
      </c>
      <c r="B3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1" spans="1:2" x14ac:dyDescent="0.3">
      <c r="A301" s="2" t="str" cm="1">
        <f t="array" ref="A301">_xlfn.LET(
  _xlpm.key,_xlfn.TEXTSPLIT("Email,Org,IRN,Impact",","),
  _xlpm.complete,ISBLANK(H301:K301),
  _xlpm.missing,_xlfn._xlws.FILTER(_xlpm.key,_xlpm.complete,FALSE()),
  _xlpm.missing_string,"Missing: "&amp;_xlfn.TEXTJOIN(", ",TRUE,_xlpm.missing),
  _xlfn.IFS(
    COUNTA(C301:K301)=0,"Blank",
AND(_xlpm.missing=FALSE,ROWS(_xlpm.missing)=1),"Complete",
    ROWS(_xlpm.missing)&gt;0,_xlpm.missing_string,
    TRUE,"Error"
  )
)</f>
        <v>Blank</v>
      </c>
      <c r="B3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2" spans="1:2" x14ac:dyDescent="0.3">
      <c r="A302" s="2" t="str" cm="1">
        <f t="array" ref="A302">_xlfn.LET(
  _xlpm.key,_xlfn.TEXTSPLIT("Email,Org,IRN,Impact",","),
  _xlpm.complete,ISBLANK(H302:K302),
  _xlpm.missing,_xlfn._xlws.FILTER(_xlpm.key,_xlpm.complete,FALSE()),
  _xlpm.missing_string,"Missing: "&amp;_xlfn.TEXTJOIN(", ",TRUE,_xlpm.missing),
  _xlfn.IFS(
    COUNTA(C302:K302)=0,"Blank",
AND(_xlpm.missing=FALSE,ROWS(_xlpm.missing)=1),"Complete",
    ROWS(_xlpm.missing)&gt;0,_xlpm.missing_string,
    TRUE,"Error"
  )
)</f>
        <v>Blank</v>
      </c>
      <c r="B3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3" spans="1:2" x14ac:dyDescent="0.3">
      <c r="A303" s="2" t="str" cm="1">
        <f t="array" ref="A303">_xlfn.LET(
  _xlpm.key,_xlfn.TEXTSPLIT("Email,Org,IRN,Impact",","),
  _xlpm.complete,ISBLANK(H303:K303),
  _xlpm.missing,_xlfn._xlws.FILTER(_xlpm.key,_xlpm.complete,FALSE()),
  _xlpm.missing_string,"Missing: "&amp;_xlfn.TEXTJOIN(", ",TRUE,_xlpm.missing),
  _xlfn.IFS(
    COUNTA(C303:K303)=0,"Blank",
AND(_xlpm.missing=FALSE,ROWS(_xlpm.missing)=1),"Complete",
    ROWS(_xlpm.missing)&gt;0,_xlpm.missing_string,
    TRUE,"Error"
  )
)</f>
        <v>Blank</v>
      </c>
      <c r="B3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4" spans="1:2" x14ac:dyDescent="0.3">
      <c r="A304" s="2" t="str" cm="1">
        <f t="array" ref="A304">_xlfn.LET(
  _xlpm.key,_xlfn.TEXTSPLIT("Email,Org,IRN,Impact",","),
  _xlpm.complete,ISBLANK(H304:K304),
  _xlpm.missing,_xlfn._xlws.FILTER(_xlpm.key,_xlpm.complete,FALSE()),
  _xlpm.missing_string,"Missing: "&amp;_xlfn.TEXTJOIN(", ",TRUE,_xlpm.missing),
  _xlfn.IFS(
    COUNTA(C304:K304)=0,"Blank",
AND(_xlpm.missing=FALSE,ROWS(_xlpm.missing)=1),"Complete",
    ROWS(_xlpm.missing)&gt;0,_xlpm.missing_string,
    TRUE,"Error"
  )
)</f>
        <v>Blank</v>
      </c>
      <c r="B3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5" spans="1:2" x14ac:dyDescent="0.3">
      <c r="A305" s="2" t="str" cm="1">
        <f t="array" ref="A305">_xlfn.LET(
  _xlpm.key,_xlfn.TEXTSPLIT("Email,Org,IRN,Impact",","),
  _xlpm.complete,ISBLANK(H305:K305),
  _xlpm.missing,_xlfn._xlws.FILTER(_xlpm.key,_xlpm.complete,FALSE()),
  _xlpm.missing_string,"Missing: "&amp;_xlfn.TEXTJOIN(", ",TRUE,_xlpm.missing),
  _xlfn.IFS(
    COUNTA(C305:K305)=0,"Blank",
AND(_xlpm.missing=FALSE,ROWS(_xlpm.missing)=1),"Complete",
    ROWS(_xlpm.missing)&gt;0,_xlpm.missing_string,
    TRUE,"Error"
  )
)</f>
        <v>Blank</v>
      </c>
      <c r="B3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6" spans="1:2" x14ac:dyDescent="0.3">
      <c r="A306" s="2" t="str" cm="1">
        <f t="array" ref="A306">_xlfn.LET(
  _xlpm.key,_xlfn.TEXTSPLIT("Email,Org,IRN,Impact",","),
  _xlpm.complete,ISBLANK(H306:K306),
  _xlpm.missing,_xlfn._xlws.FILTER(_xlpm.key,_xlpm.complete,FALSE()),
  _xlpm.missing_string,"Missing: "&amp;_xlfn.TEXTJOIN(", ",TRUE,_xlpm.missing),
  _xlfn.IFS(
    COUNTA(C306:K306)=0,"Blank",
AND(_xlpm.missing=FALSE,ROWS(_xlpm.missing)=1),"Complete",
    ROWS(_xlpm.missing)&gt;0,_xlpm.missing_string,
    TRUE,"Error"
  )
)</f>
        <v>Blank</v>
      </c>
      <c r="B3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7" spans="1:2" x14ac:dyDescent="0.3">
      <c r="A307" s="2" t="str" cm="1">
        <f t="array" ref="A307">_xlfn.LET(
  _xlpm.key,_xlfn.TEXTSPLIT("Email,Org,IRN,Impact",","),
  _xlpm.complete,ISBLANK(H307:K307),
  _xlpm.missing,_xlfn._xlws.FILTER(_xlpm.key,_xlpm.complete,FALSE()),
  _xlpm.missing_string,"Missing: "&amp;_xlfn.TEXTJOIN(", ",TRUE,_xlpm.missing),
  _xlfn.IFS(
    COUNTA(C307:K307)=0,"Blank",
AND(_xlpm.missing=FALSE,ROWS(_xlpm.missing)=1),"Complete",
    ROWS(_xlpm.missing)&gt;0,_xlpm.missing_string,
    TRUE,"Error"
  )
)</f>
        <v>Blank</v>
      </c>
      <c r="B3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8" spans="1:2" x14ac:dyDescent="0.3">
      <c r="A308" s="2" t="str" cm="1">
        <f t="array" ref="A308">_xlfn.LET(
  _xlpm.key,_xlfn.TEXTSPLIT("Email,Org,IRN,Impact",","),
  _xlpm.complete,ISBLANK(H308:K308),
  _xlpm.missing,_xlfn._xlws.FILTER(_xlpm.key,_xlpm.complete,FALSE()),
  _xlpm.missing_string,"Missing: "&amp;_xlfn.TEXTJOIN(", ",TRUE,_xlpm.missing),
  _xlfn.IFS(
    COUNTA(C308:K308)=0,"Blank",
AND(_xlpm.missing=FALSE,ROWS(_xlpm.missing)=1),"Complete",
    ROWS(_xlpm.missing)&gt;0,_xlpm.missing_string,
    TRUE,"Error"
  )
)</f>
        <v>Blank</v>
      </c>
      <c r="B3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09" spans="1:2" x14ac:dyDescent="0.3">
      <c r="A309" s="2" t="str" cm="1">
        <f t="array" ref="A309">_xlfn.LET(
  _xlpm.key,_xlfn.TEXTSPLIT("Email,Org,IRN,Impact",","),
  _xlpm.complete,ISBLANK(H309:K309),
  _xlpm.missing,_xlfn._xlws.FILTER(_xlpm.key,_xlpm.complete,FALSE()),
  _xlpm.missing_string,"Missing: "&amp;_xlfn.TEXTJOIN(", ",TRUE,_xlpm.missing),
  _xlfn.IFS(
    COUNTA(C309:K309)=0,"Blank",
AND(_xlpm.missing=FALSE,ROWS(_xlpm.missing)=1),"Complete",
    ROWS(_xlpm.missing)&gt;0,_xlpm.missing_string,
    TRUE,"Error"
  )
)</f>
        <v>Blank</v>
      </c>
      <c r="B3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0" spans="1:2" x14ac:dyDescent="0.3">
      <c r="A310" s="2" t="str" cm="1">
        <f t="array" ref="A310">_xlfn.LET(
  _xlpm.key,_xlfn.TEXTSPLIT("Email,Org,IRN,Impact",","),
  _xlpm.complete,ISBLANK(H310:K310),
  _xlpm.missing,_xlfn._xlws.FILTER(_xlpm.key,_xlpm.complete,FALSE()),
  _xlpm.missing_string,"Missing: "&amp;_xlfn.TEXTJOIN(", ",TRUE,_xlpm.missing),
  _xlfn.IFS(
    COUNTA(C310:K310)=0,"Blank",
AND(_xlpm.missing=FALSE,ROWS(_xlpm.missing)=1),"Complete",
    ROWS(_xlpm.missing)&gt;0,_xlpm.missing_string,
    TRUE,"Error"
  )
)</f>
        <v>Blank</v>
      </c>
      <c r="B3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1" spans="1:2" x14ac:dyDescent="0.3">
      <c r="A311" s="2" t="str" cm="1">
        <f t="array" ref="A311">_xlfn.LET(
  _xlpm.key,_xlfn.TEXTSPLIT("Email,Org,IRN,Impact",","),
  _xlpm.complete,ISBLANK(H311:K311),
  _xlpm.missing,_xlfn._xlws.FILTER(_xlpm.key,_xlpm.complete,FALSE()),
  _xlpm.missing_string,"Missing: "&amp;_xlfn.TEXTJOIN(", ",TRUE,_xlpm.missing),
  _xlfn.IFS(
    COUNTA(C311:K311)=0,"Blank",
AND(_xlpm.missing=FALSE,ROWS(_xlpm.missing)=1),"Complete",
    ROWS(_xlpm.missing)&gt;0,_xlpm.missing_string,
    TRUE,"Error"
  )
)</f>
        <v>Blank</v>
      </c>
      <c r="B3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2" spans="1:2" x14ac:dyDescent="0.3">
      <c r="A312" s="2" t="str" cm="1">
        <f t="array" ref="A312">_xlfn.LET(
  _xlpm.key,_xlfn.TEXTSPLIT("Email,Org,IRN,Impact",","),
  _xlpm.complete,ISBLANK(H312:K312),
  _xlpm.missing,_xlfn._xlws.FILTER(_xlpm.key,_xlpm.complete,FALSE()),
  _xlpm.missing_string,"Missing: "&amp;_xlfn.TEXTJOIN(", ",TRUE,_xlpm.missing),
  _xlfn.IFS(
    COUNTA(C312:K312)=0,"Blank",
AND(_xlpm.missing=FALSE,ROWS(_xlpm.missing)=1),"Complete",
    ROWS(_xlpm.missing)&gt;0,_xlpm.missing_string,
    TRUE,"Error"
  )
)</f>
        <v>Blank</v>
      </c>
      <c r="B3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3" spans="1:2" x14ac:dyDescent="0.3">
      <c r="A313" s="2" t="str" cm="1">
        <f t="array" ref="A313">_xlfn.LET(
  _xlpm.key,_xlfn.TEXTSPLIT("Email,Org,IRN,Impact",","),
  _xlpm.complete,ISBLANK(H313:K313),
  _xlpm.missing,_xlfn._xlws.FILTER(_xlpm.key,_xlpm.complete,FALSE()),
  _xlpm.missing_string,"Missing: "&amp;_xlfn.TEXTJOIN(", ",TRUE,_xlpm.missing),
  _xlfn.IFS(
    COUNTA(C313:K313)=0,"Blank",
AND(_xlpm.missing=FALSE,ROWS(_xlpm.missing)=1),"Complete",
    ROWS(_xlpm.missing)&gt;0,_xlpm.missing_string,
    TRUE,"Error"
  )
)</f>
        <v>Blank</v>
      </c>
      <c r="B3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4" spans="1:2" x14ac:dyDescent="0.3">
      <c r="A314" s="2" t="str" cm="1">
        <f t="array" ref="A314">_xlfn.LET(
  _xlpm.key,_xlfn.TEXTSPLIT("Email,Org,IRN,Impact",","),
  _xlpm.complete,ISBLANK(H314:K314),
  _xlpm.missing,_xlfn._xlws.FILTER(_xlpm.key,_xlpm.complete,FALSE()),
  _xlpm.missing_string,"Missing: "&amp;_xlfn.TEXTJOIN(", ",TRUE,_xlpm.missing),
  _xlfn.IFS(
    COUNTA(C314:K314)=0,"Blank",
AND(_xlpm.missing=FALSE,ROWS(_xlpm.missing)=1),"Complete",
    ROWS(_xlpm.missing)&gt;0,_xlpm.missing_string,
    TRUE,"Error"
  )
)</f>
        <v>Blank</v>
      </c>
      <c r="B3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5" spans="1:2" x14ac:dyDescent="0.3">
      <c r="A315" s="2" t="str" cm="1">
        <f t="array" ref="A315">_xlfn.LET(
  _xlpm.key,_xlfn.TEXTSPLIT("Email,Org,IRN,Impact",","),
  _xlpm.complete,ISBLANK(H315:K315),
  _xlpm.missing,_xlfn._xlws.FILTER(_xlpm.key,_xlpm.complete,FALSE()),
  _xlpm.missing_string,"Missing: "&amp;_xlfn.TEXTJOIN(", ",TRUE,_xlpm.missing),
  _xlfn.IFS(
    COUNTA(C315:K315)=0,"Blank",
AND(_xlpm.missing=FALSE,ROWS(_xlpm.missing)=1),"Complete",
    ROWS(_xlpm.missing)&gt;0,_xlpm.missing_string,
    TRUE,"Error"
  )
)</f>
        <v>Blank</v>
      </c>
      <c r="B3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6" spans="1:2" x14ac:dyDescent="0.3">
      <c r="A316" s="2" t="str" cm="1">
        <f t="array" ref="A316">_xlfn.LET(
  _xlpm.key,_xlfn.TEXTSPLIT("Email,Org,IRN,Impact",","),
  _xlpm.complete,ISBLANK(H316:K316),
  _xlpm.missing,_xlfn._xlws.FILTER(_xlpm.key,_xlpm.complete,FALSE()),
  _xlpm.missing_string,"Missing: "&amp;_xlfn.TEXTJOIN(", ",TRUE,_xlpm.missing),
  _xlfn.IFS(
    COUNTA(C316:K316)=0,"Blank",
AND(_xlpm.missing=FALSE,ROWS(_xlpm.missing)=1),"Complete",
    ROWS(_xlpm.missing)&gt;0,_xlpm.missing_string,
    TRUE,"Error"
  )
)</f>
        <v>Blank</v>
      </c>
      <c r="B3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7" spans="1:2" x14ac:dyDescent="0.3">
      <c r="A317" s="2" t="str" cm="1">
        <f t="array" ref="A317">_xlfn.LET(
  _xlpm.key,_xlfn.TEXTSPLIT("Email,Org,IRN,Impact",","),
  _xlpm.complete,ISBLANK(H317:K317),
  _xlpm.missing,_xlfn._xlws.FILTER(_xlpm.key,_xlpm.complete,FALSE()),
  _xlpm.missing_string,"Missing: "&amp;_xlfn.TEXTJOIN(", ",TRUE,_xlpm.missing),
  _xlfn.IFS(
    COUNTA(C317:K317)=0,"Blank",
AND(_xlpm.missing=FALSE,ROWS(_xlpm.missing)=1),"Complete",
    ROWS(_xlpm.missing)&gt;0,_xlpm.missing_string,
    TRUE,"Error"
  )
)</f>
        <v>Blank</v>
      </c>
      <c r="B3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8" spans="1:2" x14ac:dyDescent="0.3">
      <c r="A318" s="2" t="str" cm="1">
        <f t="array" ref="A318">_xlfn.LET(
  _xlpm.key,_xlfn.TEXTSPLIT("Email,Org,IRN,Impact",","),
  _xlpm.complete,ISBLANK(H318:K318),
  _xlpm.missing,_xlfn._xlws.FILTER(_xlpm.key,_xlpm.complete,FALSE()),
  _xlpm.missing_string,"Missing: "&amp;_xlfn.TEXTJOIN(", ",TRUE,_xlpm.missing),
  _xlfn.IFS(
    COUNTA(C318:K318)=0,"Blank",
AND(_xlpm.missing=FALSE,ROWS(_xlpm.missing)=1),"Complete",
    ROWS(_xlpm.missing)&gt;0,_xlpm.missing_string,
    TRUE,"Error"
  )
)</f>
        <v>Blank</v>
      </c>
      <c r="B3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19" spans="1:2" x14ac:dyDescent="0.3">
      <c r="A319" s="2" t="str" cm="1">
        <f t="array" ref="A319">_xlfn.LET(
  _xlpm.key,_xlfn.TEXTSPLIT("Email,Org,IRN,Impact",","),
  _xlpm.complete,ISBLANK(H319:K319),
  _xlpm.missing,_xlfn._xlws.FILTER(_xlpm.key,_xlpm.complete,FALSE()),
  _xlpm.missing_string,"Missing: "&amp;_xlfn.TEXTJOIN(", ",TRUE,_xlpm.missing),
  _xlfn.IFS(
    COUNTA(C319:K319)=0,"Blank",
AND(_xlpm.missing=FALSE,ROWS(_xlpm.missing)=1),"Complete",
    ROWS(_xlpm.missing)&gt;0,_xlpm.missing_string,
    TRUE,"Error"
  )
)</f>
        <v>Blank</v>
      </c>
      <c r="B3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0" spans="1:2" x14ac:dyDescent="0.3">
      <c r="A320" s="2" t="str" cm="1">
        <f t="array" ref="A320">_xlfn.LET(
  _xlpm.key,_xlfn.TEXTSPLIT("Email,Org,IRN,Impact",","),
  _xlpm.complete,ISBLANK(H320:K320),
  _xlpm.missing,_xlfn._xlws.FILTER(_xlpm.key,_xlpm.complete,FALSE()),
  _xlpm.missing_string,"Missing: "&amp;_xlfn.TEXTJOIN(", ",TRUE,_xlpm.missing),
  _xlfn.IFS(
    COUNTA(C320:K320)=0,"Blank",
AND(_xlpm.missing=FALSE,ROWS(_xlpm.missing)=1),"Complete",
    ROWS(_xlpm.missing)&gt;0,_xlpm.missing_string,
    TRUE,"Error"
  )
)</f>
        <v>Blank</v>
      </c>
      <c r="B3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1" spans="1:2" x14ac:dyDescent="0.3">
      <c r="A321" s="2" t="str" cm="1">
        <f t="array" ref="A321">_xlfn.LET(
  _xlpm.key,_xlfn.TEXTSPLIT("Email,Org,IRN,Impact",","),
  _xlpm.complete,ISBLANK(H321:K321),
  _xlpm.missing,_xlfn._xlws.FILTER(_xlpm.key,_xlpm.complete,FALSE()),
  _xlpm.missing_string,"Missing: "&amp;_xlfn.TEXTJOIN(", ",TRUE,_xlpm.missing),
  _xlfn.IFS(
    COUNTA(C321:K321)=0,"Blank",
AND(_xlpm.missing=FALSE,ROWS(_xlpm.missing)=1),"Complete",
    ROWS(_xlpm.missing)&gt;0,_xlpm.missing_string,
    TRUE,"Error"
  )
)</f>
        <v>Blank</v>
      </c>
      <c r="B3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2" spans="1:2" x14ac:dyDescent="0.3">
      <c r="A322" s="2" t="str" cm="1">
        <f t="array" ref="A322">_xlfn.LET(
  _xlpm.key,_xlfn.TEXTSPLIT("Email,Org,IRN,Impact",","),
  _xlpm.complete,ISBLANK(H322:K322),
  _xlpm.missing,_xlfn._xlws.FILTER(_xlpm.key,_xlpm.complete,FALSE()),
  _xlpm.missing_string,"Missing: "&amp;_xlfn.TEXTJOIN(", ",TRUE,_xlpm.missing),
  _xlfn.IFS(
    COUNTA(C322:K322)=0,"Blank",
AND(_xlpm.missing=FALSE,ROWS(_xlpm.missing)=1),"Complete",
    ROWS(_xlpm.missing)&gt;0,_xlpm.missing_string,
    TRUE,"Error"
  )
)</f>
        <v>Blank</v>
      </c>
      <c r="B3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3" spans="1:2" x14ac:dyDescent="0.3">
      <c r="A323" s="2" t="str" cm="1">
        <f t="array" ref="A323">_xlfn.LET(
  _xlpm.key,_xlfn.TEXTSPLIT("Email,Org,IRN,Impact",","),
  _xlpm.complete,ISBLANK(H323:K323),
  _xlpm.missing,_xlfn._xlws.FILTER(_xlpm.key,_xlpm.complete,FALSE()),
  _xlpm.missing_string,"Missing: "&amp;_xlfn.TEXTJOIN(", ",TRUE,_xlpm.missing),
  _xlfn.IFS(
    COUNTA(C323:K323)=0,"Blank",
AND(_xlpm.missing=FALSE,ROWS(_xlpm.missing)=1),"Complete",
    ROWS(_xlpm.missing)&gt;0,_xlpm.missing_string,
    TRUE,"Error"
  )
)</f>
        <v>Blank</v>
      </c>
      <c r="B3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4" spans="1:2" x14ac:dyDescent="0.3">
      <c r="A324" s="2" t="str" cm="1">
        <f t="array" ref="A324">_xlfn.LET(
  _xlpm.key,_xlfn.TEXTSPLIT("Email,Org,IRN,Impact",","),
  _xlpm.complete,ISBLANK(H324:K324),
  _xlpm.missing,_xlfn._xlws.FILTER(_xlpm.key,_xlpm.complete,FALSE()),
  _xlpm.missing_string,"Missing: "&amp;_xlfn.TEXTJOIN(", ",TRUE,_xlpm.missing),
  _xlfn.IFS(
    COUNTA(C324:K324)=0,"Blank",
AND(_xlpm.missing=FALSE,ROWS(_xlpm.missing)=1),"Complete",
    ROWS(_xlpm.missing)&gt;0,_xlpm.missing_string,
    TRUE,"Error"
  )
)</f>
        <v>Blank</v>
      </c>
      <c r="B3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5" spans="1:2" x14ac:dyDescent="0.3">
      <c r="A325" s="2" t="str" cm="1">
        <f t="array" ref="A325">_xlfn.LET(
  _xlpm.key,_xlfn.TEXTSPLIT("Email,Org,IRN,Impact",","),
  _xlpm.complete,ISBLANK(H325:K325),
  _xlpm.missing,_xlfn._xlws.FILTER(_xlpm.key,_xlpm.complete,FALSE()),
  _xlpm.missing_string,"Missing: "&amp;_xlfn.TEXTJOIN(", ",TRUE,_xlpm.missing),
  _xlfn.IFS(
    COUNTA(C325:K325)=0,"Blank",
AND(_xlpm.missing=FALSE,ROWS(_xlpm.missing)=1),"Complete",
    ROWS(_xlpm.missing)&gt;0,_xlpm.missing_string,
    TRUE,"Error"
  )
)</f>
        <v>Blank</v>
      </c>
      <c r="B3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6" spans="1:2" x14ac:dyDescent="0.3">
      <c r="A326" s="2" t="str" cm="1">
        <f t="array" ref="A326">_xlfn.LET(
  _xlpm.key,_xlfn.TEXTSPLIT("Email,Org,IRN,Impact",","),
  _xlpm.complete,ISBLANK(H326:K326),
  _xlpm.missing,_xlfn._xlws.FILTER(_xlpm.key,_xlpm.complete,FALSE()),
  _xlpm.missing_string,"Missing: "&amp;_xlfn.TEXTJOIN(", ",TRUE,_xlpm.missing),
  _xlfn.IFS(
    COUNTA(C326:K326)=0,"Blank",
AND(_xlpm.missing=FALSE,ROWS(_xlpm.missing)=1),"Complete",
    ROWS(_xlpm.missing)&gt;0,_xlpm.missing_string,
    TRUE,"Error"
  )
)</f>
        <v>Blank</v>
      </c>
      <c r="B3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7" spans="1:2" x14ac:dyDescent="0.3">
      <c r="A327" s="2" t="str" cm="1">
        <f t="array" ref="A327">_xlfn.LET(
  _xlpm.key,_xlfn.TEXTSPLIT("Email,Org,IRN,Impact",","),
  _xlpm.complete,ISBLANK(H327:K327),
  _xlpm.missing,_xlfn._xlws.FILTER(_xlpm.key,_xlpm.complete,FALSE()),
  _xlpm.missing_string,"Missing: "&amp;_xlfn.TEXTJOIN(", ",TRUE,_xlpm.missing),
  _xlfn.IFS(
    COUNTA(C327:K327)=0,"Blank",
AND(_xlpm.missing=FALSE,ROWS(_xlpm.missing)=1),"Complete",
    ROWS(_xlpm.missing)&gt;0,_xlpm.missing_string,
    TRUE,"Error"
  )
)</f>
        <v>Blank</v>
      </c>
      <c r="B3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8" spans="1:2" x14ac:dyDescent="0.3">
      <c r="A328" s="2" t="str" cm="1">
        <f t="array" ref="A328">_xlfn.LET(
  _xlpm.key,_xlfn.TEXTSPLIT("Email,Org,IRN,Impact",","),
  _xlpm.complete,ISBLANK(H328:K328),
  _xlpm.missing,_xlfn._xlws.FILTER(_xlpm.key,_xlpm.complete,FALSE()),
  _xlpm.missing_string,"Missing: "&amp;_xlfn.TEXTJOIN(", ",TRUE,_xlpm.missing),
  _xlfn.IFS(
    COUNTA(C328:K328)=0,"Blank",
AND(_xlpm.missing=FALSE,ROWS(_xlpm.missing)=1),"Complete",
    ROWS(_xlpm.missing)&gt;0,_xlpm.missing_string,
    TRUE,"Error"
  )
)</f>
        <v>Blank</v>
      </c>
      <c r="B3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29" spans="1:2" x14ac:dyDescent="0.3">
      <c r="A329" s="2" t="str" cm="1">
        <f t="array" ref="A329">_xlfn.LET(
  _xlpm.key,_xlfn.TEXTSPLIT("Email,Org,IRN,Impact",","),
  _xlpm.complete,ISBLANK(H329:K329),
  _xlpm.missing,_xlfn._xlws.FILTER(_xlpm.key,_xlpm.complete,FALSE()),
  _xlpm.missing_string,"Missing: "&amp;_xlfn.TEXTJOIN(", ",TRUE,_xlpm.missing),
  _xlfn.IFS(
    COUNTA(C329:K329)=0,"Blank",
AND(_xlpm.missing=FALSE,ROWS(_xlpm.missing)=1),"Complete",
    ROWS(_xlpm.missing)&gt;0,_xlpm.missing_string,
    TRUE,"Error"
  )
)</f>
        <v>Blank</v>
      </c>
      <c r="B3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0" spans="1:2" x14ac:dyDescent="0.3">
      <c r="A330" s="2" t="str" cm="1">
        <f t="array" ref="A330">_xlfn.LET(
  _xlpm.key,_xlfn.TEXTSPLIT("Email,Org,IRN,Impact",","),
  _xlpm.complete,ISBLANK(H330:K330),
  _xlpm.missing,_xlfn._xlws.FILTER(_xlpm.key,_xlpm.complete,FALSE()),
  _xlpm.missing_string,"Missing: "&amp;_xlfn.TEXTJOIN(", ",TRUE,_xlpm.missing),
  _xlfn.IFS(
    COUNTA(C330:K330)=0,"Blank",
AND(_xlpm.missing=FALSE,ROWS(_xlpm.missing)=1),"Complete",
    ROWS(_xlpm.missing)&gt;0,_xlpm.missing_string,
    TRUE,"Error"
  )
)</f>
        <v>Blank</v>
      </c>
      <c r="B3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1" spans="1:2" x14ac:dyDescent="0.3">
      <c r="A331" s="2" t="str" cm="1">
        <f t="array" ref="A331">_xlfn.LET(
  _xlpm.key,_xlfn.TEXTSPLIT("Email,Org,IRN,Impact",","),
  _xlpm.complete,ISBLANK(H331:K331),
  _xlpm.missing,_xlfn._xlws.FILTER(_xlpm.key,_xlpm.complete,FALSE()),
  _xlpm.missing_string,"Missing: "&amp;_xlfn.TEXTJOIN(", ",TRUE,_xlpm.missing),
  _xlfn.IFS(
    COUNTA(C331:K331)=0,"Blank",
AND(_xlpm.missing=FALSE,ROWS(_xlpm.missing)=1),"Complete",
    ROWS(_xlpm.missing)&gt;0,_xlpm.missing_string,
    TRUE,"Error"
  )
)</f>
        <v>Blank</v>
      </c>
      <c r="B3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2" spans="1:2" x14ac:dyDescent="0.3">
      <c r="A332" s="2" t="str" cm="1">
        <f t="array" ref="A332">_xlfn.LET(
  _xlpm.key,_xlfn.TEXTSPLIT("Email,Org,IRN,Impact",","),
  _xlpm.complete,ISBLANK(H332:K332),
  _xlpm.missing,_xlfn._xlws.FILTER(_xlpm.key,_xlpm.complete,FALSE()),
  _xlpm.missing_string,"Missing: "&amp;_xlfn.TEXTJOIN(", ",TRUE,_xlpm.missing),
  _xlfn.IFS(
    COUNTA(C332:K332)=0,"Blank",
AND(_xlpm.missing=FALSE,ROWS(_xlpm.missing)=1),"Complete",
    ROWS(_xlpm.missing)&gt;0,_xlpm.missing_string,
    TRUE,"Error"
  )
)</f>
        <v>Blank</v>
      </c>
      <c r="B3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3" spans="1:2" x14ac:dyDescent="0.3">
      <c r="A333" s="2" t="str" cm="1">
        <f t="array" ref="A333">_xlfn.LET(
  _xlpm.key,_xlfn.TEXTSPLIT("Email,Org,IRN,Impact",","),
  _xlpm.complete,ISBLANK(H333:K333),
  _xlpm.missing,_xlfn._xlws.FILTER(_xlpm.key,_xlpm.complete,FALSE()),
  _xlpm.missing_string,"Missing: "&amp;_xlfn.TEXTJOIN(", ",TRUE,_xlpm.missing),
  _xlfn.IFS(
    COUNTA(C333:K333)=0,"Blank",
AND(_xlpm.missing=FALSE,ROWS(_xlpm.missing)=1),"Complete",
    ROWS(_xlpm.missing)&gt;0,_xlpm.missing_string,
    TRUE,"Error"
  )
)</f>
        <v>Blank</v>
      </c>
      <c r="B3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4" spans="1:2" x14ac:dyDescent="0.3">
      <c r="A334" s="2" t="str" cm="1">
        <f t="array" ref="A334">_xlfn.LET(
  _xlpm.key,_xlfn.TEXTSPLIT("Email,Org,IRN,Impact",","),
  _xlpm.complete,ISBLANK(H334:K334),
  _xlpm.missing,_xlfn._xlws.FILTER(_xlpm.key,_xlpm.complete,FALSE()),
  _xlpm.missing_string,"Missing: "&amp;_xlfn.TEXTJOIN(", ",TRUE,_xlpm.missing),
  _xlfn.IFS(
    COUNTA(C334:K334)=0,"Blank",
AND(_xlpm.missing=FALSE,ROWS(_xlpm.missing)=1),"Complete",
    ROWS(_xlpm.missing)&gt;0,_xlpm.missing_string,
    TRUE,"Error"
  )
)</f>
        <v>Blank</v>
      </c>
      <c r="B3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5" spans="1:2" x14ac:dyDescent="0.3">
      <c r="A335" s="2" t="str" cm="1">
        <f t="array" ref="A335">_xlfn.LET(
  _xlpm.key,_xlfn.TEXTSPLIT("Email,Org,IRN,Impact",","),
  _xlpm.complete,ISBLANK(H335:K335),
  _xlpm.missing,_xlfn._xlws.FILTER(_xlpm.key,_xlpm.complete,FALSE()),
  _xlpm.missing_string,"Missing: "&amp;_xlfn.TEXTJOIN(", ",TRUE,_xlpm.missing),
  _xlfn.IFS(
    COUNTA(C335:K335)=0,"Blank",
AND(_xlpm.missing=FALSE,ROWS(_xlpm.missing)=1),"Complete",
    ROWS(_xlpm.missing)&gt;0,_xlpm.missing_string,
    TRUE,"Error"
  )
)</f>
        <v>Blank</v>
      </c>
      <c r="B3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6" spans="1:2" x14ac:dyDescent="0.3">
      <c r="A336" s="2" t="str" cm="1">
        <f t="array" ref="A336">_xlfn.LET(
  _xlpm.key,_xlfn.TEXTSPLIT("Email,Org,IRN,Impact",","),
  _xlpm.complete,ISBLANK(H336:K336),
  _xlpm.missing,_xlfn._xlws.FILTER(_xlpm.key,_xlpm.complete,FALSE()),
  _xlpm.missing_string,"Missing: "&amp;_xlfn.TEXTJOIN(", ",TRUE,_xlpm.missing),
  _xlfn.IFS(
    COUNTA(C336:K336)=0,"Blank",
AND(_xlpm.missing=FALSE,ROWS(_xlpm.missing)=1),"Complete",
    ROWS(_xlpm.missing)&gt;0,_xlpm.missing_string,
    TRUE,"Error"
  )
)</f>
        <v>Blank</v>
      </c>
      <c r="B3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7" spans="1:2" x14ac:dyDescent="0.3">
      <c r="A337" s="2" t="str" cm="1">
        <f t="array" ref="A337">_xlfn.LET(
  _xlpm.key,_xlfn.TEXTSPLIT("Email,Org,IRN,Impact",","),
  _xlpm.complete,ISBLANK(H337:K337),
  _xlpm.missing,_xlfn._xlws.FILTER(_xlpm.key,_xlpm.complete,FALSE()),
  _xlpm.missing_string,"Missing: "&amp;_xlfn.TEXTJOIN(", ",TRUE,_xlpm.missing),
  _xlfn.IFS(
    COUNTA(C337:K337)=0,"Blank",
AND(_xlpm.missing=FALSE,ROWS(_xlpm.missing)=1),"Complete",
    ROWS(_xlpm.missing)&gt;0,_xlpm.missing_string,
    TRUE,"Error"
  )
)</f>
        <v>Blank</v>
      </c>
      <c r="B3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8" spans="1:2" x14ac:dyDescent="0.3">
      <c r="A338" s="2" t="str" cm="1">
        <f t="array" ref="A338">_xlfn.LET(
  _xlpm.key,_xlfn.TEXTSPLIT("Email,Org,IRN,Impact",","),
  _xlpm.complete,ISBLANK(H338:K338),
  _xlpm.missing,_xlfn._xlws.FILTER(_xlpm.key,_xlpm.complete,FALSE()),
  _xlpm.missing_string,"Missing: "&amp;_xlfn.TEXTJOIN(", ",TRUE,_xlpm.missing),
  _xlfn.IFS(
    COUNTA(C338:K338)=0,"Blank",
AND(_xlpm.missing=FALSE,ROWS(_xlpm.missing)=1),"Complete",
    ROWS(_xlpm.missing)&gt;0,_xlpm.missing_string,
    TRUE,"Error"
  )
)</f>
        <v>Blank</v>
      </c>
      <c r="B3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39" spans="1:2" x14ac:dyDescent="0.3">
      <c r="A339" s="2" t="str" cm="1">
        <f t="array" ref="A339">_xlfn.LET(
  _xlpm.key,_xlfn.TEXTSPLIT("Email,Org,IRN,Impact",","),
  _xlpm.complete,ISBLANK(H339:K339),
  _xlpm.missing,_xlfn._xlws.FILTER(_xlpm.key,_xlpm.complete,FALSE()),
  _xlpm.missing_string,"Missing: "&amp;_xlfn.TEXTJOIN(", ",TRUE,_xlpm.missing),
  _xlfn.IFS(
    COUNTA(C339:K339)=0,"Blank",
AND(_xlpm.missing=FALSE,ROWS(_xlpm.missing)=1),"Complete",
    ROWS(_xlpm.missing)&gt;0,_xlpm.missing_string,
    TRUE,"Error"
  )
)</f>
        <v>Blank</v>
      </c>
      <c r="B3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0" spans="1:2" x14ac:dyDescent="0.3">
      <c r="A340" s="2" t="str" cm="1">
        <f t="array" ref="A340">_xlfn.LET(
  _xlpm.key,_xlfn.TEXTSPLIT("Email,Org,IRN,Impact",","),
  _xlpm.complete,ISBLANK(H340:K340),
  _xlpm.missing,_xlfn._xlws.FILTER(_xlpm.key,_xlpm.complete,FALSE()),
  _xlpm.missing_string,"Missing: "&amp;_xlfn.TEXTJOIN(", ",TRUE,_xlpm.missing),
  _xlfn.IFS(
    COUNTA(C340:K340)=0,"Blank",
AND(_xlpm.missing=FALSE,ROWS(_xlpm.missing)=1),"Complete",
    ROWS(_xlpm.missing)&gt;0,_xlpm.missing_string,
    TRUE,"Error"
  )
)</f>
        <v>Blank</v>
      </c>
      <c r="B3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1" spans="1:2" x14ac:dyDescent="0.3">
      <c r="A341" s="2" t="str" cm="1">
        <f t="array" ref="A341">_xlfn.LET(
  _xlpm.key,_xlfn.TEXTSPLIT("Email,Org,IRN,Impact",","),
  _xlpm.complete,ISBLANK(H341:K341),
  _xlpm.missing,_xlfn._xlws.FILTER(_xlpm.key,_xlpm.complete,FALSE()),
  _xlpm.missing_string,"Missing: "&amp;_xlfn.TEXTJOIN(", ",TRUE,_xlpm.missing),
  _xlfn.IFS(
    COUNTA(C341:K341)=0,"Blank",
AND(_xlpm.missing=FALSE,ROWS(_xlpm.missing)=1),"Complete",
    ROWS(_xlpm.missing)&gt;0,_xlpm.missing_string,
    TRUE,"Error"
  )
)</f>
        <v>Blank</v>
      </c>
      <c r="B3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2" spans="1:2" x14ac:dyDescent="0.3">
      <c r="A342" s="2" t="str" cm="1">
        <f t="array" ref="A342">_xlfn.LET(
  _xlpm.key,_xlfn.TEXTSPLIT("Email,Org,IRN,Impact",","),
  _xlpm.complete,ISBLANK(H342:K342),
  _xlpm.missing,_xlfn._xlws.FILTER(_xlpm.key,_xlpm.complete,FALSE()),
  _xlpm.missing_string,"Missing: "&amp;_xlfn.TEXTJOIN(", ",TRUE,_xlpm.missing),
  _xlfn.IFS(
    COUNTA(C342:K342)=0,"Blank",
AND(_xlpm.missing=FALSE,ROWS(_xlpm.missing)=1),"Complete",
    ROWS(_xlpm.missing)&gt;0,_xlpm.missing_string,
    TRUE,"Error"
  )
)</f>
        <v>Blank</v>
      </c>
      <c r="B3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3" spans="1:2" x14ac:dyDescent="0.3">
      <c r="A343" s="2" t="str" cm="1">
        <f t="array" ref="A343">_xlfn.LET(
  _xlpm.key,_xlfn.TEXTSPLIT("Email,Org,IRN,Impact",","),
  _xlpm.complete,ISBLANK(H343:K343),
  _xlpm.missing,_xlfn._xlws.FILTER(_xlpm.key,_xlpm.complete,FALSE()),
  _xlpm.missing_string,"Missing: "&amp;_xlfn.TEXTJOIN(", ",TRUE,_xlpm.missing),
  _xlfn.IFS(
    COUNTA(C343:K343)=0,"Blank",
AND(_xlpm.missing=FALSE,ROWS(_xlpm.missing)=1),"Complete",
    ROWS(_xlpm.missing)&gt;0,_xlpm.missing_string,
    TRUE,"Error"
  )
)</f>
        <v>Blank</v>
      </c>
      <c r="B3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4" spans="1:2" x14ac:dyDescent="0.3">
      <c r="A344" s="2" t="str" cm="1">
        <f t="array" ref="A344">_xlfn.LET(
  _xlpm.key,_xlfn.TEXTSPLIT("Email,Org,IRN,Impact",","),
  _xlpm.complete,ISBLANK(H344:K344),
  _xlpm.missing,_xlfn._xlws.FILTER(_xlpm.key,_xlpm.complete,FALSE()),
  _xlpm.missing_string,"Missing: "&amp;_xlfn.TEXTJOIN(", ",TRUE,_xlpm.missing),
  _xlfn.IFS(
    COUNTA(C344:K344)=0,"Blank",
AND(_xlpm.missing=FALSE,ROWS(_xlpm.missing)=1),"Complete",
    ROWS(_xlpm.missing)&gt;0,_xlpm.missing_string,
    TRUE,"Error"
  )
)</f>
        <v>Blank</v>
      </c>
      <c r="B3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5" spans="1:2" x14ac:dyDescent="0.3">
      <c r="A345" s="2" t="str" cm="1">
        <f t="array" ref="A345">_xlfn.LET(
  _xlpm.key,_xlfn.TEXTSPLIT("Email,Org,IRN,Impact",","),
  _xlpm.complete,ISBLANK(H345:K345),
  _xlpm.missing,_xlfn._xlws.FILTER(_xlpm.key,_xlpm.complete,FALSE()),
  _xlpm.missing_string,"Missing: "&amp;_xlfn.TEXTJOIN(", ",TRUE,_xlpm.missing),
  _xlfn.IFS(
    COUNTA(C345:K345)=0,"Blank",
AND(_xlpm.missing=FALSE,ROWS(_xlpm.missing)=1),"Complete",
    ROWS(_xlpm.missing)&gt;0,_xlpm.missing_string,
    TRUE,"Error"
  )
)</f>
        <v>Blank</v>
      </c>
      <c r="B3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6" spans="1:2" x14ac:dyDescent="0.3">
      <c r="A346" s="2" t="str" cm="1">
        <f t="array" ref="A346">_xlfn.LET(
  _xlpm.key,_xlfn.TEXTSPLIT("Email,Org,IRN,Impact",","),
  _xlpm.complete,ISBLANK(H346:K346),
  _xlpm.missing,_xlfn._xlws.FILTER(_xlpm.key,_xlpm.complete,FALSE()),
  _xlpm.missing_string,"Missing: "&amp;_xlfn.TEXTJOIN(", ",TRUE,_xlpm.missing),
  _xlfn.IFS(
    COUNTA(C346:K346)=0,"Blank",
AND(_xlpm.missing=FALSE,ROWS(_xlpm.missing)=1),"Complete",
    ROWS(_xlpm.missing)&gt;0,_xlpm.missing_string,
    TRUE,"Error"
  )
)</f>
        <v>Blank</v>
      </c>
      <c r="B3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7" spans="1:2" x14ac:dyDescent="0.3">
      <c r="A347" s="2" t="str" cm="1">
        <f t="array" ref="A347">_xlfn.LET(
  _xlpm.key,_xlfn.TEXTSPLIT("Email,Org,IRN,Impact",","),
  _xlpm.complete,ISBLANK(H347:K347),
  _xlpm.missing,_xlfn._xlws.FILTER(_xlpm.key,_xlpm.complete,FALSE()),
  _xlpm.missing_string,"Missing: "&amp;_xlfn.TEXTJOIN(", ",TRUE,_xlpm.missing),
  _xlfn.IFS(
    COUNTA(C347:K347)=0,"Blank",
AND(_xlpm.missing=FALSE,ROWS(_xlpm.missing)=1),"Complete",
    ROWS(_xlpm.missing)&gt;0,_xlpm.missing_string,
    TRUE,"Error"
  )
)</f>
        <v>Blank</v>
      </c>
      <c r="B3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8" spans="1:2" x14ac:dyDescent="0.3">
      <c r="A348" s="2" t="str" cm="1">
        <f t="array" ref="A348">_xlfn.LET(
  _xlpm.key,_xlfn.TEXTSPLIT("Email,Org,IRN,Impact",","),
  _xlpm.complete,ISBLANK(H348:K348),
  _xlpm.missing,_xlfn._xlws.FILTER(_xlpm.key,_xlpm.complete,FALSE()),
  _xlpm.missing_string,"Missing: "&amp;_xlfn.TEXTJOIN(", ",TRUE,_xlpm.missing),
  _xlfn.IFS(
    COUNTA(C348:K348)=0,"Blank",
AND(_xlpm.missing=FALSE,ROWS(_xlpm.missing)=1),"Complete",
    ROWS(_xlpm.missing)&gt;0,_xlpm.missing_string,
    TRUE,"Error"
  )
)</f>
        <v>Blank</v>
      </c>
      <c r="B3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49" spans="1:2" x14ac:dyDescent="0.3">
      <c r="A349" s="2" t="str" cm="1">
        <f t="array" ref="A349">_xlfn.LET(
  _xlpm.key,_xlfn.TEXTSPLIT("Email,Org,IRN,Impact",","),
  _xlpm.complete,ISBLANK(H349:K349),
  _xlpm.missing,_xlfn._xlws.FILTER(_xlpm.key,_xlpm.complete,FALSE()),
  _xlpm.missing_string,"Missing: "&amp;_xlfn.TEXTJOIN(", ",TRUE,_xlpm.missing),
  _xlfn.IFS(
    COUNTA(C349:K349)=0,"Blank",
AND(_xlpm.missing=FALSE,ROWS(_xlpm.missing)=1),"Complete",
    ROWS(_xlpm.missing)&gt;0,_xlpm.missing_string,
    TRUE,"Error"
  )
)</f>
        <v>Blank</v>
      </c>
      <c r="B3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0" spans="1:2" x14ac:dyDescent="0.3">
      <c r="A350" s="2" t="str" cm="1">
        <f t="array" ref="A350">_xlfn.LET(
  _xlpm.key,_xlfn.TEXTSPLIT("Email,Org,IRN,Impact",","),
  _xlpm.complete,ISBLANK(H350:K350),
  _xlpm.missing,_xlfn._xlws.FILTER(_xlpm.key,_xlpm.complete,FALSE()),
  _xlpm.missing_string,"Missing: "&amp;_xlfn.TEXTJOIN(", ",TRUE,_xlpm.missing),
  _xlfn.IFS(
    COUNTA(C350:K350)=0,"Blank",
AND(_xlpm.missing=FALSE,ROWS(_xlpm.missing)=1),"Complete",
    ROWS(_xlpm.missing)&gt;0,_xlpm.missing_string,
    TRUE,"Error"
  )
)</f>
        <v>Blank</v>
      </c>
      <c r="B3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1" spans="1:2" x14ac:dyDescent="0.3">
      <c r="A351" s="2" t="str" cm="1">
        <f t="array" ref="A351">_xlfn.LET(
  _xlpm.key,_xlfn.TEXTSPLIT("Email,Org,IRN,Impact",","),
  _xlpm.complete,ISBLANK(H351:K351),
  _xlpm.missing,_xlfn._xlws.FILTER(_xlpm.key,_xlpm.complete,FALSE()),
  _xlpm.missing_string,"Missing: "&amp;_xlfn.TEXTJOIN(", ",TRUE,_xlpm.missing),
  _xlfn.IFS(
    COUNTA(C351:K351)=0,"Blank",
AND(_xlpm.missing=FALSE,ROWS(_xlpm.missing)=1),"Complete",
    ROWS(_xlpm.missing)&gt;0,_xlpm.missing_string,
    TRUE,"Error"
  )
)</f>
        <v>Blank</v>
      </c>
      <c r="B3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2" spans="1:2" x14ac:dyDescent="0.3">
      <c r="A352" s="2" t="str" cm="1">
        <f t="array" ref="A352">_xlfn.LET(
  _xlpm.key,_xlfn.TEXTSPLIT("Email,Org,IRN,Impact",","),
  _xlpm.complete,ISBLANK(H352:K352),
  _xlpm.missing,_xlfn._xlws.FILTER(_xlpm.key,_xlpm.complete,FALSE()),
  _xlpm.missing_string,"Missing: "&amp;_xlfn.TEXTJOIN(", ",TRUE,_xlpm.missing),
  _xlfn.IFS(
    COUNTA(C352:K352)=0,"Blank",
AND(_xlpm.missing=FALSE,ROWS(_xlpm.missing)=1),"Complete",
    ROWS(_xlpm.missing)&gt;0,_xlpm.missing_string,
    TRUE,"Error"
  )
)</f>
        <v>Blank</v>
      </c>
      <c r="B3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3" spans="1:2" x14ac:dyDescent="0.3">
      <c r="A353" s="2" t="str" cm="1">
        <f t="array" ref="A353">_xlfn.LET(
  _xlpm.key,_xlfn.TEXTSPLIT("Email,Org,IRN,Impact",","),
  _xlpm.complete,ISBLANK(H353:K353),
  _xlpm.missing,_xlfn._xlws.FILTER(_xlpm.key,_xlpm.complete,FALSE()),
  _xlpm.missing_string,"Missing: "&amp;_xlfn.TEXTJOIN(", ",TRUE,_xlpm.missing),
  _xlfn.IFS(
    COUNTA(C353:K353)=0,"Blank",
AND(_xlpm.missing=FALSE,ROWS(_xlpm.missing)=1),"Complete",
    ROWS(_xlpm.missing)&gt;0,_xlpm.missing_string,
    TRUE,"Error"
  )
)</f>
        <v>Blank</v>
      </c>
      <c r="B3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4" spans="1:2" x14ac:dyDescent="0.3">
      <c r="A354" s="2" t="str" cm="1">
        <f t="array" ref="A354">_xlfn.LET(
  _xlpm.key,_xlfn.TEXTSPLIT("Email,Org,IRN,Impact",","),
  _xlpm.complete,ISBLANK(H354:K354),
  _xlpm.missing,_xlfn._xlws.FILTER(_xlpm.key,_xlpm.complete,FALSE()),
  _xlpm.missing_string,"Missing: "&amp;_xlfn.TEXTJOIN(", ",TRUE,_xlpm.missing),
  _xlfn.IFS(
    COUNTA(C354:K354)=0,"Blank",
AND(_xlpm.missing=FALSE,ROWS(_xlpm.missing)=1),"Complete",
    ROWS(_xlpm.missing)&gt;0,_xlpm.missing_string,
    TRUE,"Error"
  )
)</f>
        <v>Blank</v>
      </c>
      <c r="B3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5" spans="1:2" x14ac:dyDescent="0.3">
      <c r="A355" s="2" t="str" cm="1">
        <f t="array" ref="A355">_xlfn.LET(
  _xlpm.key,_xlfn.TEXTSPLIT("Email,Org,IRN,Impact",","),
  _xlpm.complete,ISBLANK(H355:K355),
  _xlpm.missing,_xlfn._xlws.FILTER(_xlpm.key,_xlpm.complete,FALSE()),
  _xlpm.missing_string,"Missing: "&amp;_xlfn.TEXTJOIN(", ",TRUE,_xlpm.missing),
  _xlfn.IFS(
    COUNTA(C355:K355)=0,"Blank",
AND(_xlpm.missing=FALSE,ROWS(_xlpm.missing)=1),"Complete",
    ROWS(_xlpm.missing)&gt;0,_xlpm.missing_string,
    TRUE,"Error"
  )
)</f>
        <v>Blank</v>
      </c>
      <c r="B3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6" spans="1:2" x14ac:dyDescent="0.3">
      <c r="A356" s="2" t="str" cm="1">
        <f t="array" ref="A356">_xlfn.LET(
  _xlpm.key,_xlfn.TEXTSPLIT("Email,Org,IRN,Impact",","),
  _xlpm.complete,ISBLANK(H356:K356),
  _xlpm.missing,_xlfn._xlws.FILTER(_xlpm.key,_xlpm.complete,FALSE()),
  _xlpm.missing_string,"Missing: "&amp;_xlfn.TEXTJOIN(", ",TRUE,_xlpm.missing),
  _xlfn.IFS(
    COUNTA(C356:K356)=0,"Blank",
AND(_xlpm.missing=FALSE,ROWS(_xlpm.missing)=1),"Complete",
    ROWS(_xlpm.missing)&gt;0,_xlpm.missing_string,
    TRUE,"Error"
  )
)</f>
        <v>Blank</v>
      </c>
      <c r="B3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7" spans="1:2" x14ac:dyDescent="0.3">
      <c r="A357" s="2" t="str" cm="1">
        <f t="array" ref="A357">_xlfn.LET(
  _xlpm.key,_xlfn.TEXTSPLIT("Email,Org,IRN,Impact",","),
  _xlpm.complete,ISBLANK(H357:K357),
  _xlpm.missing,_xlfn._xlws.FILTER(_xlpm.key,_xlpm.complete,FALSE()),
  _xlpm.missing_string,"Missing: "&amp;_xlfn.TEXTJOIN(", ",TRUE,_xlpm.missing),
  _xlfn.IFS(
    COUNTA(C357:K357)=0,"Blank",
AND(_xlpm.missing=FALSE,ROWS(_xlpm.missing)=1),"Complete",
    ROWS(_xlpm.missing)&gt;0,_xlpm.missing_string,
    TRUE,"Error"
  )
)</f>
        <v>Blank</v>
      </c>
      <c r="B3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8" spans="1:2" x14ac:dyDescent="0.3">
      <c r="A358" s="2" t="str" cm="1">
        <f t="array" ref="A358">_xlfn.LET(
  _xlpm.key,_xlfn.TEXTSPLIT("Email,Org,IRN,Impact",","),
  _xlpm.complete,ISBLANK(H358:K358),
  _xlpm.missing,_xlfn._xlws.FILTER(_xlpm.key,_xlpm.complete,FALSE()),
  _xlpm.missing_string,"Missing: "&amp;_xlfn.TEXTJOIN(", ",TRUE,_xlpm.missing),
  _xlfn.IFS(
    COUNTA(C358:K358)=0,"Blank",
AND(_xlpm.missing=FALSE,ROWS(_xlpm.missing)=1),"Complete",
    ROWS(_xlpm.missing)&gt;0,_xlpm.missing_string,
    TRUE,"Error"
  )
)</f>
        <v>Blank</v>
      </c>
      <c r="B3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59" spans="1:2" x14ac:dyDescent="0.3">
      <c r="A359" s="2" t="str" cm="1">
        <f t="array" ref="A359">_xlfn.LET(
  _xlpm.key,_xlfn.TEXTSPLIT("Email,Org,IRN,Impact",","),
  _xlpm.complete,ISBLANK(H359:K359),
  _xlpm.missing,_xlfn._xlws.FILTER(_xlpm.key,_xlpm.complete,FALSE()),
  _xlpm.missing_string,"Missing: "&amp;_xlfn.TEXTJOIN(", ",TRUE,_xlpm.missing),
  _xlfn.IFS(
    COUNTA(C359:K359)=0,"Blank",
AND(_xlpm.missing=FALSE,ROWS(_xlpm.missing)=1),"Complete",
    ROWS(_xlpm.missing)&gt;0,_xlpm.missing_string,
    TRUE,"Error"
  )
)</f>
        <v>Blank</v>
      </c>
      <c r="B3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0" spans="1:2" x14ac:dyDescent="0.3">
      <c r="A360" s="2" t="str" cm="1">
        <f t="array" ref="A360">_xlfn.LET(
  _xlpm.key,_xlfn.TEXTSPLIT("Email,Org,IRN,Impact",","),
  _xlpm.complete,ISBLANK(H360:K360),
  _xlpm.missing,_xlfn._xlws.FILTER(_xlpm.key,_xlpm.complete,FALSE()),
  _xlpm.missing_string,"Missing: "&amp;_xlfn.TEXTJOIN(", ",TRUE,_xlpm.missing),
  _xlfn.IFS(
    COUNTA(C360:K360)=0,"Blank",
AND(_xlpm.missing=FALSE,ROWS(_xlpm.missing)=1),"Complete",
    ROWS(_xlpm.missing)&gt;0,_xlpm.missing_string,
    TRUE,"Error"
  )
)</f>
        <v>Blank</v>
      </c>
      <c r="B3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1" spans="1:2" x14ac:dyDescent="0.3">
      <c r="A361" s="2" t="str" cm="1">
        <f t="array" ref="A361">_xlfn.LET(
  _xlpm.key,_xlfn.TEXTSPLIT("Email,Org,IRN,Impact",","),
  _xlpm.complete,ISBLANK(H361:K361),
  _xlpm.missing,_xlfn._xlws.FILTER(_xlpm.key,_xlpm.complete,FALSE()),
  _xlpm.missing_string,"Missing: "&amp;_xlfn.TEXTJOIN(", ",TRUE,_xlpm.missing),
  _xlfn.IFS(
    COUNTA(C361:K361)=0,"Blank",
AND(_xlpm.missing=FALSE,ROWS(_xlpm.missing)=1),"Complete",
    ROWS(_xlpm.missing)&gt;0,_xlpm.missing_string,
    TRUE,"Error"
  )
)</f>
        <v>Blank</v>
      </c>
      <c r="B3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2" spans="1:2" x14ac:dyDescent="0.3">
      <c r="A362" s="2" t="str" cm="1">
        <f t="array" ref="A362">_xlfn.LET(
  _xlpm.key,_xlfn.TEXTSPLIT("Email,Org,IRN,Impact",","),
  _xlpm.complete,ISBLANK(H362:K362),
  _xlpm.missing,_xlfn._xlws.FILTER(_xlpm.key,_xlpm.complete,FALSE()),
  _xlpm.missing_string,"Missing: "&amp;_xlfn.TEXTJOIN(", ",TRUE,_xlpm.missing),
  _xlfn.IFS(
    COUNTA(C362:K362)=0,"Blank",
AND(_xlpm.missing=FALSE,ROWS(_xlpm.missing)=1),"Complete",
    ROWS(_xlpm.missing)&gt;0,_xlpm.missing_string,
    TRUE,"Error"
  )
)</f>
        <v>Blank</v>
      </c>
      <c r="B3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3" spans="1:2" x14ac:dyDescent="0.3">
      <c r="A363" s="2" t="str" cm="1">
        <f t="array" ref="A363">_xlfn.LET(
  _xlpm.key,_xlfn.TEXTSPLIT("Email,Org,IRN,Impact",","),
  _xlpm.complete,ISBLANK(H363:K363),
  _xlpm.missing,_xlfn._xlws.FILTER(_xlpm.key,_xlpm.complete,FALSE()),
  _xlpm.missing_string,"Missing: "&amp;_xlfn.TEXTJOIN(", ",TRUE,_xlpm.missing),
  _xlfn.IFS(
    COUNTA(C363:K363)=0,"Blank",
AND(_xlpm.missing=FALSE,ROWS(_xlpm.missing)=1),"Complete",
    ROWS(_xlpm.missing)&gt;0,_xlpm.missing_string,
    TRUE,"Error"
  )
)</f>
        <v>Blank</v>
      </c>
      <c r="B3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4" spans="1:2" x14ac:dyDescent="0.3">
      <c r="A364" s="2" t="str" cm="1">
        <f t="array" ref="A364">_xlfn.LET(
  _xlpm.key,_xlfn.TEXTSPLIT("Email,Org,IRN,Impact",","),
  _xlpm.complete,ISBLANK(H364:K364),
  _xlpm.missing,_xlfn._xlws.FILTER(_xlpm.key,_xlpm.complete,FALSE()),
  _xlpm.missing_string,"Missing: "&amp;_xlfn.TEXTJOIN(", ",TRUE,_xlpm.missing),
  _xlfn.IFS(
    COUNTA(C364:K364)=0,"Blank",
AND(_xlpm.missing=FALSE,ROWS(_xlpm.missing)=1),"Complete",
    ROWS(_xlpm.missing)&gt;0,_xlpm.missing_string,
    TRUE,"Error"
  )
)</f>
        <v>Blank</v>
      </c>
      <c r="B3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5" spans="1:2" x14ac:dyDescent="0.3">
      <c r="A365" s="2" t="str" cm="1">
        <f t="array" ref="A365">_xlfn.LET(
  _xlpm.key,_xlfn.TEXTSPLIT("Email,Org,IRN,Impact",","),
  _xlpm.complete,ISBLANK(H365:K365),
  _xlpm.missing,_xlfn._xlws.FILTER(_xlpm.key,_xlpm.complete,FALSE()),
  _xlpm.missing_string,"Missing: "&amp;_xlfn.TEXTJOIN(", ",TRUE,_xlpm.missing),
  _xlfn.IFS(
    COUNTA(C365:K365)=0,"Blank",
AND(_xlpm.missing=FALSE,ROWS(_xlpm.missing)=1),"Complete",
    ROWS(_xlpm.missing)&gt;0,_xlpm.missing_string,
    TRUE,"Error"
  )
)</f>
        <v>Blank</v>
      </c>
      <c r="B3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6" spans="1:2" x14ac:dyDescent="0.3">
      <c r="A366" s="2" t="str" cm="1">
        <f t="array" ref="A366">_xlfn.LET(
  _xlpm.key,_xlfn.TEXTSPLIT("Email,Org,IRN,Impact",","),
  _xlpm.complete,ISBLANK(H366:K366),
  _xlpm.missing,_xlfn._xlws.FILTER(_xlpm.key,_xlpm.complete,FALSE()),
  _xlpm.missing_string,"Missing: "&amp;_xlfn.TEXTJOIN(", ",TRUE,_xlpm.missing),
  _xlfn.IFS(
    COUNTA(C366:K366)=0,"Blank",
AND(_xlpm.missing=FALSE,ROWS(_xlpm.missing)=1),"Complete",
    ROWS(_xlpm.missing)&gt;0,_xlpm.missing_string,
    TRUE,"Error"
  )
)</f>
        <v>Blank</v>
      </c>
      <c r="B3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7" spans="1:2" x14ac:dyDescent="0.3">
      <c r="A367" s="2" t="str" cm="1">
        <f t="array" ref="A367">_xlfn.LET(
  _xlpm.key,_xlfn.TEXTSPLIT("Email,Org,IRN,Impact",","),
  _xlpm.complete,ISBLANK(H367:K367),
  _xlpm.missing,_xlfn._xlws.FILTER(_xlpm.key,_xlpm.complete,FALSE()),
  _xlpm.missing_string,"Missing: "&amp;_xlfn.TEXTJOIN(", ",TRUE,_xlpm.missing),
  _xlfn.IFS(
    COUNTA(C367:K367)=0,"Blank",
AND(_xlpm.missing=FALSE,ROWS(_xlpm.missing)=1),"Complete",
    ROWS(_xlpm.missing)&gt;0,_xlpm.missing_string,
    TRUE,"Error"
  )
)</f>
        <v>Blank</v>
      </c>
      <c r="B3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8" spans="1:2" x14ac:dyDescent="0.3">
      <c r="A368" s="2" t="str" cm="1">
        <f t="array" ref="A368">_xlfn.LET(
  _xlpm.key,_xlfn.TEXTSPLIT("Email,Org,IRN,Impact",","),
  _xlpm.complete,ISBLANK(H368:K368),
  _xlpm.missing,_xlfn._xlws.FILTER(_xlpm.key,_xlpm.complete,FALSE()),
  _xlpm.missing_string,"Missing: "&amp;_xlfn.TEXTJOIN(", ",TRUE,_xlpm.missing),
  _xlfn.IFS(
    COUNTA(C368:K368)=0,"Blank",
AND(_xlpm.missing=FALSE,ROWS(_xlpm.missing)=1),"Complete",
    ROWS(_xlpm.missing)&gt;0,_xlpm.missing_string,
    TRUE,"Error"
  )
)</f>
        <v>Blank</v>
      </c>
      <c r="B3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69" spans="1:2" x14ac:dyDescent="0.3">
      <c r="A369" s="2" t="str" cm="1">
        <f t="array" ref="A369">_xlfn.LET(
  _xlpm.key,_xlfn.TEXTSPLIT("Email,Org,IRN,Impact",","),
  _xlpm.complete,ISBLANK(H369:K369),
  _xlpm.missing,_xlfn._xlws.FILTER(_xlpm.key,_xlpm.complete,FALSE()),
  _xlpm.missing_string,"Missing: "&amp;_xlfn.TEXTJOIN(", ",TRUE,_xlpm.missing),
  _xlfn.IFS(
    COUNTA(C369:K369)=0,"Blank",
AND(_xlpm.missing=FALSE,ROWS(_xlpm.missing)=1),"Complete",
    ROWS(_xlpm.missing)&gt;0,_xlpm.missing_string,
    TRUE,"Error"
  )
)</f>
        <v>Blank</v>
      </c>
      <c r="B3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0" spans="1:2" x14ac:dyDescent="0.3">
      <c r="A370" s="2" t="str" cm="1">
        <f t="array" ref="A370">_xlfn.LET(
  _xlpm.key,_xlfn.TEXTSPLIT("Email,Org,IRN,Impact",","),
  _xlpm.complete,ISBLANK(H370:K370),
  _xlpm.missing,_xlfn._xlws.FILTER(_xlpm.key,_xlpm.complete,FALSE()),
  _xlpm.missing_string,"Missing: "&amp;_xlfn.TEXTJOIN(", ",TRUE,_xlpm.missing),
  _xlfn.IFS(
    COUNTA(C370:K370)=0,"Blank",
AND(_xlpm.missing=FALSE,ROWS(_xlpm.missing)=1),"Complete",
    ROWS(_xlpm.missing)&gt;0,_xlpm.missing_string,
    TRUE,"Error"
  )
)</f>
        <v>Blank</v>
      </c>
      <c r="B3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1" spans="1:2" x14ac:dyDescent="0.3">
      <c r="A371" s="2" t="str" cm="1">
        <f t="array" ref="A371">_xlfn.LET(
  _xlpm.key,_xlfn.TEXTSPLIT("Email,Org,IRN,Impact",","),
  _xlpm.complete,ISBLANK(H371:K371),
  _xlpm.missing,_xlfn._xlws.FILTER(_xlpm.key,_xlpm.complete,FALSE()),
  _xlpm.missing_string,"Missing: "&amp;_xlfn.TEXTJOIN(", ",TRUE,_xlpm.missing),
  _xlfn.IFS(
    COUNTA(C371:K371)=0,"Blank",
AND(_xlpm.missing=FALSE,ROWS(_xlpm.missing)=1),"Complete",
    ROWS(_xlpm.missing)&gt;0,_xlpm.missing_string,
    TRUE,"Error"
  )
)</f>
        <v>Blank</v>
      </c>
      <c r="B3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2" spans="1:2" x14ac:dyDescent="0.3">
      <c r="A372" s="2" t="str" cm="1">
        <f t="array" ref="A372">_xlfn.LET(
  _xlpm.key,_xlfn.TEXTSPLIT("Email,Org,IRN,Impact",","),
  _xlpm.complete,ISBLANK(H372:K372),
  _xlpm.missing,_xlfn._xlws.FILTER(_xlpm.key,_xlpm.complete,FALSE()),
  _xlpm.missing_string,"Missing: "&amp;_xlfn.TEXTJOIN(", ",TRUE,_xlpm.missing),
  _xlfn.IFS(
    COUNTA(C372:K372)=0,"Blank",
AND(_xlpm.missing=FALSE,ROWS(_xlpm.missing)=1),"Complete",
    ROWS(_xlpm.missing)&gt;0,_xlpm.missing_string,
    TRUE,"Error"
  )
)</f>
        <v>Blank</v>
      </c>
      <c r="B3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3" spans="1:2" x14ac:dyDescent="0.3">
      <c r="A373" s="2" t="str" cm="1">
        <f t="array" ref="A373">_xlfn.LET(
  _xlpm.key,_xlfn.TEXTSPLIT("Email,Org,IRN,Impact",","),
  _xlpm.complete,ISBLANK(H373:K373),
  _xlpm.missing,_xlfn._xlws.FILTER(_xlpm.key,_xlpm.complete,FALSE()),
  _xlpm.missing_string,"Missing: "&amp;_xlfn.TEXTJOIN(", ",TRUE,_xlpm.missing),
  _xlfn.IFS(
    COUNTA(C373:K373)=0,"Blank",
AND(_xlpm.missing=FALSE,ROWS(_xlpm.missing)=1),"Complete",
    ROWS(_xlpm.missing)&gt;0,_xlpm.missing_string,
    TRUE,"Error"
  )
)</f>
        <v>Blank</v>
      </c>
      <c r="B3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4" spans="1:2" x14ac:dyDescent="0.3">
      <c r="A374" s="2" t="str" cm="1">
        <f t="array" ref="A374">_xlfn.LET(
  _xlpm.key,_xlfn.TEXTSPLIT("Email,Org,IRN,Impact",","),
  _xlpm.complete,ISBLANK(H374:K374),
  _xlpm.missing,_xlfn._xlws.FILTER(_xlpm.key,_xlpm.complete,FALSE()),
  _xlpm.missing_string,"Missing: "&amp;_xlfn.TEXTJOIN(", ",TRUE,_xlpm.missing),
  _xlfn.IFS(
    COUNTA(C374:K374)=0,"Blank",
AND(_xlpm.missing=FALSE,ROWS(_xlpm.missing)=1),"Complete",
    ROWS(_xlpm.missing)&gt;0,_xlpm.missing_string,
    TRUE,"Error"
  )
)</f>
        <v>Blank</v>
      </c>
      <c r="B3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5" spans="1:2" x14ac:dyDescent="0.3">
      <c r="A375" s="2" t="str" cm="1">
        <f t="array" ref="A375">_xlfn.LET(
  _xlpm.key,_xlfn.TEXTSPLIT("Email,Org,IRN,Impact",","),
  _xlpm.complete,ISBLANK(H375:K375),
  _xlpm.missing,_xlfn._xlws.FILTER(_xlpm.key,_xlpm.complete,FALSE()),
  _xlpm.missing_string,"Missing: "&amp;_xlfn.TEXTJOIN(", ",TRUE,_xlpm.missing),
  _xlfn.IFS(
    COUNTA(C375:K375)=0,"Blank",
AND(_xlpm.missing=FALSE,ROWS(_xlpm.missing)=1),"Complete",
    ROWS(_xlpm.missing)&gt;0,_xlpm.missing_string,
    TRUE,"Error"
  )
)</f>
        <v>Blank</v>
      </c>
      <c r="B3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6" spans="1:2" x14ac:dyDescent="0.3">
      <c r="A376" s="2" t="str" cm="1">
        <f t="array" ref="A376">_xlfn.LET(
  _xlpm.key,_xlfn.TEXTSPLIT("Email,Org,IRN,Impact",","),
  _xlpm.complete,ISBLANK(H376:K376),
  _xlpm.missing,_xlfn._xlws.FILTER(_xlpm.key,_xlpm.complete,FALSE()),
  _xlpm.missing_string,"Missing: "&amp;_xlfn.TEXTJOIN(", ",TRUE,_xlpm.missing),
  _xlfn.IFS(
    COUNTA(C376:K376)=0,"Blank",
AND(_xlpm.missing=FALSE,ROWS(_xlpm.missing)=1),"Complete",
    ROWS(_xlpm.missing)&gt;0,_xlpm.missing_string,
    TRUE,"Error"
  )
)</f>
        <v>Blank</v>
      </c>
      <c r="B3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7" spans="1:2" x14ac:dyDescent="0.3">
      <c r="A377" s="2" t="str" cm="1">
        <f t="array" ref="A377">_xlfn.LET(
  _xlpm.key,_xlfn.TEXTSPLIT("Email,Org,IRN,Impact",","),
  _xlpm.complete,ISBLANK(H377:K377),
  _xlpm.missing,_xlfn._xlws.FILTER(_xlpm.key,_xlpm.complete,FALSE()),
  _xlpm.missing_string,"Missing: "&amp;_xlfn.TEXTJOIN(", ",TRUE,_xlpm.missing),
  _xlfn.IFS(
    COUNTA(C377:K377)=0,"Blank",
AND(_xlpm.missing=FALSE,ROWS(_xlpm.missing)=1),"Complete",
    ROWS(_xlpm.missing)&gt;0,_xlpm.missing_string,
    TRUE,"Error"
  )
)</f>
        <v>Blank</v>
      </c>
      <c r="B3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8" spans="1:2" x14ac:dyDescent="0.3">
      <c r="A378" s="2" t="str" cm="1">
        <f t="array" ref="A378">_xlfn.LET(
  _xlpm.key,_xlfn.TEXTSPLIT("Email,Org,IRN,Impact",","),
  _xlpm.complete,ISBLANK(H378:K378),
  _xlpm.missing,_xlfn._xlws.FILTER(_xlpm.key,_xlpm.complete,FALSE()),
  _xlpm.missing_string,"Missing: "&amp;_xlfn.TEXTJOIN(", ",TRUE,_xlpm.missing),
  _xlfn.IFS(
    COUNTA(C378:K378)=0,"Blank",
AND(_xlpm.missing=FALSE,ROWS(_xlpm.missing)=1),"Complete",
    ROWS(_xlpm.missing)&gt;0,_xlpm.missing_string,
    TRUE,"Error"
  )
)</f>
        <v>Blank</v>
      </c>
      <c r="B3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79" spans="1:2" x14ac:dyDescent="0.3">
      <c r="A379" s="2" t="str" cm="1">
        <f t="array" ref="A379">_xlfn.LET(
  _xlpm.key,_xlfn.TEXTSPLIT("Email,Org,IRN,Impact",","),
  _xlpm.complete,ISBLANK(H379:K379),
  _xlpm.missing,_xlfn._xlws.FILTER(_xlpm.key,_xlpm.complete,FALSE()),
  _xlpm.missing_string,"Missing: "&amp;_xlfn.TEXTJOIN(", ",TRUE,_xlpm.missing),
  _xlfn.IFS(
    COUNTA(C379:K379)=0,"Blank",
AND(_xlpm.missing=FALSE,ROWS(_xlpm.missing)=1),"Complete",
    ROWS(_xlpm.missing)&gt;0,_xlpm.missing_string,
    TRUE,"Error"
  )
)</f>
        <v>Blank</v>
      </c>
      <c r="B3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0" spans="1:2" x14ac:dyDescent="0.3">
      <c r="A380" s="2" t="str" cm="1">
        <f t="array" ref="A380">_xlfn.LET(
  _xlpm.key,_xlfn.TEXTSPLIT("Email,Org,IRN,Impact",","),
  _xlpm.complete,ISBLANK(H380:K380),
  _xlpm.missing,_xlfn._xlws.FILTER(_xlpm.key,_xlpm.complete,FALSE()),
  _xlpm.missing_string,"Missing: "&amp;_xlfn.TEXTJOIN(", ",TRUE,_xlpm.missing),
  _xlfn.IFS(
    COUNTA(C380:K380)=0,"Blank",
AND(_xlpm.missing=FALSE,ROWS(_xlpm.missing)=1),"Complete",
    ROWS(_xlpm.missing)&gt;0,_xlpm.missing_string,
    TRUE,"Error"
  )
)</f>
        <v>Blank</v>
      </c>
      <c r="B3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1" spans="1:2" x14ac:dyDescent="0.3">
      <c r="A381" s="2" t="str" cm="1">
        <f t="array" ref="A381">_xlfn.LET(
  _xlpm.key,_xlfn.TEXTSPLIT("Email,Org,IRN,Impact",","),
  _xlpm.complete,ISBLANK(H381:K381),
  _xlpm.missing,_xlfn._xlws.FILTER(_xlpm.key,_xlpm.complete,FALSE()),
  _xlpm.missing_string,"Missing: "&amp;_xlfn.TEXTJOIN(", ",TRUE,_xlpm.missing),
  _xlfn.IFS(
    COUNTA(C381:K381)=0,"Blank",
AND(_xlpm.missing=FALSE,ROWS(_xlpm.missing)=1),"Complete",
    ROWS(_xlpm.missing)&gt;0,_xlpm.missing_string,
    TRUE,"Error"
  )
)</f>
        <v>Blank</v>
      </c>
      <c r="B3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2" spans="1:2" x14ac:dyDescent="0.3">
      <c r="A382" s="2" t="str" cm="1">
        <f t="array" ref="A382">_xlfn.LET(
  _xlpm.key,_xlfn.TEXTSPLIT("Email,Org,IRN,Impact",","),
  _xlpm.complete,ISBLANK(H382:K382),
  _xlpm.missing,_xlfn._xlws.FILTER(_xlpm.key,_xlpm.complete,FALSE()),
  _xlpm.missing_string,"Missing: "&amp;_xlfn.TEXTJOIN(", ",TRUE,_xlpm.missing),
  _xlfn.IFS(
    COUNTA(C382:K382)=0,"Blank",
AND(_xlpm.missing=FALSE,ROWS(_xlpm.missing)=1),"Complete",
    ROWS(_xlpm.missing)&gt;0,_xlpm.missing_string,
    TRUE,"Error"
  )
)</f>
        <v>Blank</v>
      </c>
      <c r="B3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3" spans="1:2" x14ac:dyDescent="0.3">
      <c r="A383" s="2" t="str" cm="1">
        <f t="array" ref="A383">_xlfn.LET(
  _xlpm.key,_xlfn.TEXTSPLIT("Email,Org,IRN,Impact",","),
  _xlpm.complete,ISBLANK(H383:K383),
  _xlpm.missing,_xlfn._xlws.FILTER(_xlpm.key,_xlpm.complete,FALSE()),
  _xlpm.missing_string,"Missing: "&amp;_xlfn.TEXTJOIN(", ",TRUE,_xlpm.missing),
  _xlfn.IFS(
    COUNTA(C383:K383)=0,"Blank",
AND(_xlpm.missing=FALSE,ROWS(_xlpm.missing)=1),"Complete",
    ROWS(_xlpm.missing)&gt;0,_xlpm.missing_string,
    TRUE,"Error"
  )
)</f>
        <v>Blank</v>
      </c>
      <c r="B3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4" spans="1:2" x14ac:dyDescent="0.3">
      <c r="A384" s="2" t="str" cm="1">
        <f t="array" ref="A384">_xlfn.LET(
  _xlpm.key,_xlfn.TEXTSPLIT("Email,Org,IRN,Impact",","),
  _xlpm.complete,ISBLANK(H384:K384),
  _xlpm.missing,_xlfn._xlws.FILTER(_xlpm.key,_xlpm.complete,FALSE()),
  _xlpm.missing_string,"Missing: "&amp;_xlfn.TEXTJOIN(", ",TRUE,_xlpm.missing),
  _xlfn.IFS(
    COUNTA(C384:K384)=0,"Blank",
AND(_xlpm.missing=FALSE,ROWS(_xlpm.missing)=1),"Complete",
    ROWS(_xlpm.missing)&gt;0,_xlpm.missing_string,
    TRUE,"Error"
  )
)</f>
        <v>Blank</v>
      </c>
      <c r="B3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5" spans="1:2" x14ac:dyDescent="0.3">
      <c r="A385" s="2" t="str" cm="1">
        <f t="array" ref="A385">_xlfn.LET(
  _xlpm.key,_xlfn.TEXTSPLIT("Email,Org,IRN,Impact",","),
  _xlpm.complete,ISBLANK(H385:K385),
  _xlpm.missing,_xlfn._xlws.FILTER(_xlpm.key,_xlpm.complete,FALSE()),
  _xlpm.missing_string,"Missing: "&amp;_xlfn.TEXTJOIN(", ",TRUE,_xlpm.missing),
  _xlfn.IFS(
    COUNTA(C385:K385)=0,"Blank",
AND(_xlpm.missing=FALSE,ROWS(_xlpm.missing)=1),"Complete",
    ROWS(_xlpm.missing)&gt;0,_xlpm.missing_string,
    TRUE,"Error"
  )
)</f>
        <v>Blank</v>
      </c>
      <c r="B3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6" spans="1:2" x14ac:dyDescent="0.3">
      <c r="A386" s="2" t="str" cm="1">
        <f t="array" ref="A386">_xlfn.LET(
  _xlpm.key,_xlfn.TEXTSPLIT("Email,Org,IRN,Impact",","),
  _xlpm.complete,ISBLANK(H386:K386),
  _xlpm.missing,_xlfn._xlws.FILTER(_xlpm.key,_xlpm.complete,FALSE()),
  _xlpm.missing_string,"Missing: "&amp;_xlfn.TEXTJOIN(", ",TRUE,_xlpm.missing),
  _xlfn.IFS(
    COUNTA(C386:K386)=0,"Blank",
AND(_xlpm.missing=FALSE,ROWS(_xlpm.missing)=1),"Complete",
    ROWS(_xlpm.missing)&gt;0,_xlpm.missing_string,
    TRUE,"Error"
  )
)</f>
        <v>Blank</v>
      </c>
      <c r="B3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7" spans="1:2" x14ac:dyDescent="0.3">
      <c r="A387" s="2" t="str" cm="1">
        <f t="array" ref="A387">_xlfn.LET(
  _xlpm.key,_xlfn.TEXTSPLIT("Email,Org,IRN,Impact",","),
  _xlpm.complete,ISBLANK(H387:K387),
  _xlpm.missing,_xlfn._xlws.FILTER(_xlpm.key,_xlpm.complete,FALSE()),
  _xlpm.missing_string,"Missing: "&amp;_xlfn.TEXTJOIN(", ",TRUE,_xlpm.missing),
  _xlfn.IFS(
    COUNTA(C387:K387)=0,"Blank",
AND(_xlpm.missing=FALSE,ROWS(_xlpm.missing)=1),"Complete",
    ROWS(_xlpm.missing)&gt;0,_xlpm.missing_string,
    TRUE,"Error"
  )
)</f>
        <v>Blank</v>
      </c>
      <c r="B3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8" spans="1:2" x14ac:dyDescent="0.3">
      <c r="A388" s="2" t="str" cm="1">
        <f t="array" ref="A388">_xlfn.LET(
  _xlpm.key,_xlfn.TEXTSPLIT("Email,Org,IRN,Impact",","),
  _xlpm.complete,ISBLANK(H388:K388),
  _xlpm.missing,_xlfn._xlws.FILTER(_xlpm.key,_xlpm.complete,FALSE()),
  _xlpm.missing_string,"Missing: "&amp;_xlfn.TEXTJOIN(", ",TRUE,_xlpm.missing),
  _xlfn.IFS(
    COUNTA(C388:K388)=0,"Blank",
AND(_xlpm.missing=FALSE,ROWS(_xlpm.missing)=1),"Complete",
    ROWS(_xlpm.missing)&gt;0,_xlpm.missing_string,
    TRUE,"Error"
  )
)</f>
        <v>Blank</v>
      </c>
      <c r="B3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89" spans="1:2" x14ac:dyDescent="0.3">
      <c r="A389" s="2" t="str" cm="1">
        <f t="array" ref="A389">_xlfn.LET(
  _xlpm.key,_xlfn.TEXTSPLIT("Email,Org,IRN,Impact",","),
  _xlpm.complete,ISBLANK(H389:K389),
  _xlpm.missing,_xlfn._xlws.FILTER(_xlpm.key,_xlpm.complete,FALSE()),
  _xlpm.missing_string,"Missing: "&amp;_xlfn.TEXTJOIN(", ",TRUE,_xlpm.missing),
  _xlfn.IFS(
    COUNTA(C389:K389)=0,"Blank",
AND(_xlpm.missing=FALSE,ROWS(_xlpm.missing)=1),"Complete",
    ROWS(_xlpm.missing)&gt;0,_xlpm.missing_string,
    TRUE,"Error"
  )
)</f>
        <v>Blank</v>
      </c>
      <c r="B3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0" spans="1:2" x14ac:dyDescent="0.3">
      <c r="A390" s="2" t="str" cm="1">
        <f t="array" ref="A390">_xlfn.LET(
  _xlpm.key,_xlfn.TEXTSPLIT("Email,Org,IRN,Impact",","),
  _xlpm.complete,ISBLANK(H390:K390),
  _xlpm.missing,_xlfn._xlws.FILTER(_xlpm.key,_xlpm.complete,FALSE()),
  _xlpm.missing_string,"Missing: "&amp;_xlfn.TEXTJOIN(", ",TRUE,_xlpm.missing),
  _xlfn.IFS(
    COUNTA(C390:K390)=0,"Blank",
AND(_xlpm.missing=FALSE,ROWS(_xlpm.missing)=1),"Complete",
    ROWS(_xlpm.missing)&gt;0,_xlpm.missing_string,
    TRUE,"Error"
  )
)</f>
        <v>Blank</v>
      </c>
      <c r="B3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1" spans="1:2" x14ac:dyDescent="0.3">
      <c r="A391" s="2" t="str" cm="1">
        <f t="array" ref="A391">_xlfn.LET(
  _xlpm.key,_xlfn.TEXTSPLIT("Email,Org,IRN,Impact",","),
  _xlpm.complete,ISBLANK(H391:K391),
  _xlpm.missing,_xlfn._xlws.FILTER(_xlpm.key,_xlpm.complete,FALSE()),
  _xlpm.missing_string,"Missing: "&amp;_xlfn.TEXTJOIN(", ",TRUE,_xlpm.missing),
  _xlfn.IFS(
    COUNTA(C391:K391)=0,"Blank",
AND(_xlpm.missing=FALSE,ROWS(_xlpm.missing)=1),"Complete",
    ROWS(_xlpm.missing)&gt;0,_xlpm.missing_string,
    TRUE,"Error"
  )
)</f>
        <v>Blank</v>
      </c>
      <c r="B3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2" spans="1:2" x14ac:dyDescent="0.3">
      <c r="A392" s="2" t="str" cm="1">
        <f t="array" ref="A392">_xlfn.LET(
  _xlpm.key,_xlfn.TEXTSPLIT("Email,Org,IRN,Impact",","),
  _xlpm.complete,ISBLANK(H392:K392),
  _xlpm.missing,_xlfn._xlws.FILTER(_xlpm.key,_xlpm.complete,FALSE()),
  _xlpm.missing_string,"Missing: "&amp;_xlfn.TEXTJOIN(", ",TRUE,_xlpm.missing),
  _xlfn.IFS(
    COUNTA(C392:K392)=0,"Blank",
AND(_xlpm.missing=FALSE,ROWS(_xlpm.missing)=1),"Complete",
    ROWS(_xlpm.missing)&gt;0,_xlpm.missing_string,
    TRUE,"Error"
  )
)</f>
        <v>Blank</v>
      </c>
      <c r="B3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3" spans="1:2" x14ac:dyDescent="0.3">
      <c r="A393" s="2" t="str" cm="1">
        <f t="array" ref="A393">_xlfn.LET(
  _xlpm.key,_xlfn.TEXTSPLIT("Email,Org,IRN,Impact",","),
  _xlpm.complete,ISBLANK(H393:K393),
  _xlpm.missing,_xlfn._xlws.FILTER(_xlpm.key,_xlpm.complete,FALSE()),
  _xlpm.missing_string,"Missing: "&amp;_xlfn.TEXTJOIN(", ",TRUE,_xlpm.missing),
  _xlfn.IFS(
    COUNTA(C393:K393)=0,"Blank",
AND(_xlpm.missing=FALSE,ROWS(_xlpm.missing)=1),"Complete",
    ROWS(_xlpm.missing)&gt;0,_xlpm.missing_string,
    TRUE,"Error"
  )
)</f>
        <v>Blank</v>
      </c>
      <c r="B3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4" spans="1:2" x14ac:dyDescent="0.3">
      <c r="A394" s="2" t="str" cm="1">
        <f t="array" ref="A394">_xlfn.LET(
  _xlpm.key,_xlfn.TEXTSPLIT("Email,Org,IRN,Impact",","),
  _xlpm.complete,ISBLANK(H394:K394),
  _xlpm.missing,_xlfn._xlws.FILTER(_xlpm.key,_xlpm.complete,FALSE()),
  _xlpm.missing_string,"Missing: "&amp;_xlfn.TEXTJOIN(", ",TRUE,_xlpm.missing),
  _xlfn.IFS(
    COUNTA(C394:K394)=0,"Blank",
AND(_xlpm.missing=FALSE,ROWS(_xlpm.missing)=1),"Complete",
    ROWS(_xlpm.missing)&gt;0,_xlpm.missing_string,
    TRUE,"Error"
  )
)</f>
        <v>Blank</v>
      </c>
      <c r="B3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5" spans="1:2" x14ac:dyDescent="0.3">
      <c r="A395" s="2" t="str" cm="1">
        <f t="array" ref="A395">_xlfn.LET(
  _xlpm.key,_xlfn.TEXTSPLIT("Email,Org,IRN,Impact",","),
  _xlpm.complete,ISBLANK(H395:K395),
  _xlpm.missing,_xlfn._xlws.FILTER(_xlpm.key,_xlpm.complete,FALSE()),
  _xlpm.missing_string,"Missing: "&amp;_xlfn.TEXTJOIN(", ",TRUE,_xlpm.missing),
  _xlfn.IFS(
    COUNTA(C395:K395)=0,"Blank",
AND(_xlpm.missing=FALSE,ROWS(_xlpm.missing)=1),"Complete",
    ROWS(_xlpm.missing)&gt;0,_xlpm.missing_string,
    TRUE,"Error"
  )
)</f>
        <v>Blank</v>
      </c>
      <c r="B3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6" spans="1:2" x14ac:dyDescent="0.3">
      <c r="A396" s="2" t="str" cm="1">
        <f t="array" ref="A396">_xlfn.LET(
  _xlpm.key,_xlfn.TEXTSPLIT("Email,Org,IRN,Impact",","),
  _xlpm.complete,ISBLANK(H396:K396),
  _xlpm.missing,_xlfn._xlws.FILTER(_xlpm.key,_xlpm.complete,FALSE()),
  _xlpm.missing_string,"Missing: "&amp;_xlfn.TEXTJOIN(", ",TRUE,_xlpm.missing),
  _xlfn.IFS(
    COUNTA(C396:K396)=0,"Blank",
AND(_xlpm.missing=FALSE,ROWS(_xlpm.missing)=1),"Complete",
    ROWS(_xlpm.missing)&gt;0,_xlpm.missing_string,
    TRUE,"Error"
  )
)</f>
        <v>Blank</v>
      </c>
      <c r="B3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7" spans="1:2" x14ac:dyDescent="0.3">
      <c r="A397" s="2" t="str" cm="1">
        <f t="array" ref="A397">_xlfn.LET(
  _xlpm.key,_xlfn.TEXTSPLIT("Email,Org,IRN,Impact",","),
  _xlpm.complete,ISBLANK(H397:K397),
  _xlpm.missing,_xlfn._xlws.FILTER(_xlpm.key,_xlpm.complete,FALSE()),
  _xlpm.missing_string,"Missing: "&amp;_xlfn.TEXTJOIN(", ",TRUE,_xlpm.missing),
  _xlfn.IFS(
    COUNTA(C397:K397)=0,"Blank",
AND(_xlpm.missing=FALSE,ROWS(_xlpm.missing)=1),"Complete",
    ROWS(_xlpm.missing)&gt;0,_xlpm.missing_string,
    TRUE,"Error"
  )
)</f>
        <v>Blank</v>
      </c>
      <c r="B3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8" spans="1:2" x14ac:dyDescent="0.3">
      <c r="A398" s="2" t="str" cm="1">
        <f t="array" ref="A398">_xlfn.LET(
  _xlpm.key,_xlfn.TEXTSPLIT("Email,Org,IRN,Impact",","),
  _xlpm.complete,ISBLANK(H398:K398),
  _xlpm.missing,_xlfn._xlws.FILTER(_xlpm.key,_xlpm.complete,FALSE()),
  _xlpm.missing_string,"Missing: "&amp;_xlfn.TEXTJOIN(", ",TRUE,_xlpm.missing),
  _xlfn.IFS(
    COUNTA(C398:K398)=0,"Blank",
AND(_xlpm.missing=FALSE,ROWS(_xlpm.missing)=1),"Complete",
    ROWS(_xlpm.missing)&gt;0,_xlpm.missing_string,
    TRUE,"Error"
  )
)</f>
        <v>Blank</v>
      </c>
      <c r="B3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399" spans="1:2" x14ac:dyDescent="0.3">
      <c r="A399" s="2" t="str" cm="1">
        <f t="array" ref="A399">_xlfn.LET(
  _xlpm.key,_xlfn.TEXTSPLIT("Email,Org,IRN,Impact",","),
  _xlpm.complete,ISBLANK(H399:K399),
  _xlpm.missing,_xlfn._xlws.FILTER(_xlpm.key,_xlpm.complete,FALSE()),
  _xlpm.missing_string,"Missing: "&amp;_xlfn.TEXTJOIN(", ",TRUE,_xlpm.missing),
  _xlfn.IFS(
    COUNTA(C399:K399)=0,"Blank",
AND(_xlpm.missing=FALSE,ROWS(_xlpm.missing)=1),"Complete",
    ROWS(_xlpm.missing)&gt;0,_xlpm.missing_string,
    TRUE,"Error"
  )
)</f>
        <v>Blank</v>
      </c>
      <c r="B3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0" spans="1:2" x14ac:dyDescent="0.3">
      <c r="A400" s="2" t="str" cm="1">
        <f t="array" ref="A400">_xlfn.LET(
  _xlpm.key,_xlfn.TEXTSPLIT("Email,Org,IRN,Impact",","),
  _xlpm.complete,ISBLANK(H400:K400),
  _xlpm.missing,_xlfn._xlws.FILTER(_xlpm.key,_xlpm.complete,FALSE()),
  _xlpm.missing_string,"Missing: "&amp;_xlfn.TEXTJOIN(", ",TRUE,_xlpm.missing),
  _xlfn.IFS(
    COUNTA(C400:K400)=0,"Blank",
AND(_xlpm.missing=FALSE,ROWS(_xlpm.missing)=1),"Complete",
    ROWS(_xlpm.missing)&gt;0,_xlpm.missing_string,
    TRUE,"Error"
  )
)</f>
        <v>Blank</v>
      </c>
      <c r="B4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1" spans="1:2" x14ac:dyDescent="0.3">
      <c r="A401" s="2" t="str" cm="1">
        <f t="array" ref="A401">_xlfn.LET(
  _xlpm.key,_xlfn.TEXTSPLIT("Email,Org,IRN,Impact",","),
  _xlpm.complete,ISBLANK(H401:K401),
  _xlpm.missing,_xlfn._xlws.FILTER(_xlpm.key,_xlpm.complete,FALSE()),
  _xlpm.missing_string,"Missing: "&amp;_xlfn.TEXTJOIN(", ",TRUE,_xlpm.missing),
  _xlfn.IFS(
    COUNTA(C401:K401)=0,"Blank",
AND(_xlpm.missing=FALSE,ROWS(_xlpm.missing)=1),"Complete",
    ROWS(_xlpm.missing)&gt;0,_xlpm.missing_string,
    TRUE,"Error"
  )
)</f>
        <v>Blank</v>
      </c>
      <c r="B4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2" spans="1:2" x14ac:dyDescent="0.3">
      <c r="A402" s="2" t="str" cm="1">
        <f t="array" ref="A402">_xlfn.LET(
  _xlpm.key,_xlfn.TEXTSPLIT("Email,Org,IRN,Impact",","),
  _xlpm.complete,ISBLANK(H402:K402),
  _xlpm.missing,_xlfn._xlws.FILTER(_xlpm.key,_xlpm.complete,FALSE()),
  _xlpm.missing_string,"Missing: "&amp;_xlfn.TEXTJOIN(", ",TRUE,_xlpm.missing),
  _xlfn.IFS(
    COUNTA(C402:K402)=0,"Blank",
AND(_xlpm.missing=FALSE,ROWS(_xlpm.missing)=1),"Complete",
    ROWS(_xlpm.missing)&gt;0,_xlpm.missing_string,
    TRUE,"Error"
  )
)</f>
        <v>Blank</v>
      </c>
      <c r="B4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3" spans="1:2" x14ac:dyDescent="0.3">
      <c r="A403" s="2" t="str" cm="1">
        <f t="array" ref="A403">_xlfn.LET(
  _xlpm.key,_xlfn.TEXTSPLIT("Email,Org,IRN,Impact",","),
  _xlpm.complete,ISBLANK(H403:K403),
  _xlpm.missing,_xlfn._xlws.FILTER(_xlpm.key,_xlpm.complete,FALSE()),
  _xlpm.missing_string,"Missing: "&amp;_xlfn.TEXTJOIN(", ",TRUE,_xlpm.missing),
  _xlfn.IFS(
    COUNTA(C403:K403)=0,"Blank",
AND(_xlpm.missing=FALSE,ROWS(_xlpm.missing)=1),"Complete",
    ROWS(_xlpm.missing)&gt;0,_xlpm.missing_string,
    TRUE,"Error"
  )
)</f>
        <v>Blank</v>
      </c>
      <c r="B4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4" spans="1:2" x14ac:dyDescent="0.3">
      <c r="A404" s="2" t="str" cm="1">
        <f t="array" ref="A404">_xlfn.LET(
  _xlpm.key,_xlfn.TEXTSPLIT("Email,Org,IRN,Impact",","),
  _xlpm.complete,ISBLANK(H404:K404),
  _xlpm.missing,_xlfn._xlws.FILTER(_xlpm.key,_xlpm.complete,FALSE()),
  _xlpm.missing_string,"Missing: "&amp;_xlfn.TEXTJOIN(", ",TRUE,_xlpm.missing),
  _xlfn.IFS(
    COUNTA(C404:K404)=0,"Blank",
AND(_xlpm.missing=FALSE,ROWS(_xlpm.missing)=1),"Complete",
    ROWS(_xlpm.missing)&gt;0,_xlpm.missing_string,
    TRUE,"Error"
  )
)</f>
        <v>Blank</v>
      </c>
      <c r="B4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5" spans="1:2" x14ac:dyDescent="0.3">
      <c r="A405" s="2" t="str" cm="1">
        <f t="array" ref="A405">_xlfn.LET(
  _xlpm.key,_xlfn.TEXTSPLIT("Email,Org,IRN,Impact",","),
  _xlpm.complete,ISBLANK(H405:K405),
  _xlpm.missing,_xlfn._xlws.FILTER(_xlpm.key,_xlpm.complete,FALSE()),
  _xlpm.missing_string,"Missing: "&amp;_xlfn.TEXTJOIN(", ",TRUE,_xlpm.missing),
  _xlfn.IFS(
    COUNTA(C405:K405)=0,"Blank",
AND(_xlpm.missing=FALSE,ROWS(_xlpm.missing)=1),"Complete",
    ROWS(_xlpm.missing)&gt;0,_xlpm.missing_string,
    TRUE,"Error"
  )
)</f>
        <v>Blank</v>
      </c>
      <c r="B4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6" spans="1:2" x14ac:dyDescent="0.3">
      <c r="A406" s="2" t="str" cm="1">
        <f t="array" ref="A406">_xlfn.LET(
  _xlpm.key,_xlfn.TEXTSPLIT("Email,Org,IRN,Impact",","),
  _xlpm.complete,ISBLANK(H406:K406),
  _xlpm.missing,_xlfn._xlws.FILTER(_xlpm.key,_xlpm.complete,FALSE()),
  _xlpm.missing_string,"Missing: "&amp;_xlfn.TEXTJOIN(", ",TRUE,_xlpm.missing),
  _xlfn.IFS(
    COUNTA(C406:K406)=0,"Blank",
AND(_xlpm.missing=FALSE,ROWS(_xlpm.missing)=1),"Complete",
    ROWS(_xlpm.missing)&gt;0,_xlpm.missing_string,
    TRUE,"Error"
  )
)</f>
        <v>Blank</v>
      </c>
      <c r="B4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7" spans="1:2" x14ac:dyDescent="0.3">
      <c r="A407" s="2" t="str" cm="1">
        <f t="array" ref="A407">_xlfn.LET(
  _xlpm.key,_xlfn.TEXTSPLIT("Email,Org,IRN,Impact",","),
  _xlpm.complete,ISBLANK(H407:K407),
  _xlpm.missing,_xlfn._xlws.FILTER(_xlpm.key,_xlpm.complete,FALSE()),
  _xlpm.missing_string,"Missing: "&amp;_xlfn.TEXTJOIN(", ",TRUE,_xlpm.missing),
  _xlfn.IFS(
    COUNTA(C407:K407)=0,"Blank",
AND(_xlpm.missing=FALSE,ROWS(_xlpm.missing)=1),"Complete",
    ROWS(_xlpm.missing)&gt;0,_xlpm.missing_string,
    TRUE,"Error"
  )
)</f>
        <v>Blank</v>
      </c>
      <c r="B4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8" spans="1:2" x14ac:dyDescent="0.3">
      <c r="A408" s="2" t="str" cm="1">
        <f t="array" ref="A408">_xlfn.LET(
  _xlpm.key,_xlfn.TEXTSPLIT("Email,Org,IRN,Impact",","),
  _xlpm.complete,ISBLANK(H408:K408),
  _xlpm.missing,_xlfn._xlws.FILTER(_xlpm.key,_xlpm.complete,FALSE()),
  _xlpm.missing_string,"Missing: "&amp;_xlfn.TEXTJOIN(", ",TRUE,_xlpm.missing),
  _xlfn.IFS(
    COUNTA(C408:K408)=0,"Blank",
AND(_xlpm.missing=FALSE,ROWS(_xlpm.missing)=1),"Complete",
    ROWS(_xlpm.missing)&gt;0,_xlpm.missing_string,
    TRUE,"Error"
  )
)</f>
        <v>Blank</v>
      </c>
      <c r="B4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09" spans="1:2" x14ac:dyDescent="0.3">
      <c r="A409" s="2" t="str" cm="1">
        <f t="array" ref="A409">_xlfn.LET(
  _xlpm.key,_xlfn.TEXTSPLIT("Email,Org,IRN,Impact",","),
  _xlpm.complete,ISBLANK(H409:K409),
  _xlpm.missing,_xlfn._xlws.FILTER(_xlpm.key,_xlpm.complete,FALSE()),
  _xlpm.missing_string,"Missing: "&amp;_xlfn.TEXTJOIN(", ",TRUE,_xlpm.missing),
  _xlfn.IFS(
    COUNTA(C409:K409)=0,"Blank",
AND(_xlpm.missing=FALSE,ROWS(_xlpm.missing)=1),"Complete",
    ROWS(_xlpm.missing)&gt;0,_xlpm.missing_string,
    TRUE,"Error"
  )
)</f>
        <v>Blank</v>
      </c>
      <c r="B4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0" spans="1:2" x14ac:dyDescent="0.3">
      <c r="A410" s="2" t="str" cm="1">
        <f t="array" ref="A410">_xlfn.LET(
  _xlpm.key,_xlfn.TEXTSPLIT("Email,Org,IRN,Impact",","),
  _xlpm.complete,ISBLANK(H410:K410),
  _xlpm.missing,_xlfn._xlws.FILTER(_xlpm.key,_xlpm.complete,FALSE()),
  _xlpm.missing_string,"Missing: "&amp;_xlfn.TEXTJOIN(", ",TRUE,_xlpm.missing),
  _xlfn.IFS(
    COUNTA(C410:K410)=0,"Blank",
AND(_xlpm.missing=FALSE,ROWS(_xlpm.missing)=1),"Complete",
    ROWS(_xlpm.missing)&gt;0,_xlpm.missing_string,
    TRUE,"Error"
  )
)</f>
        <v>Blank</v>
      </c>
      <c r="B4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1" spans="1:2" x14ac:dyDescent="0.3">
      <c r="A411" s="2" t="str" cm="1">
        <f t="array" ref="A411">_xlfn.LET(
  _xlpm.key,_xlfn.TEXTSPLIT("Email,Org,IRN,Impact",","),
  _xlpm.complete,ISBLANK(H411:K411),
  _xlpm.missing,_xlfn._xlws.FILTER(_xlpm.key,_xlpm.complete,FALSE()),
  _xlpm.missing_string,"Missing: "&amp;_xlfn.TEXTJOIN(", ",TRUE,_xlpm.missing),
  _xlfn.IFS(
    COUNTA(C411:K411)=0,"Blank",
AND(_xlpm.missing=FALSE,ROWS(_xlpm.missing)=1),"Complete",
    ROWS(_xlpm.missing)&gt;0,_xlpm.missing_string,
    TRUE,"Error"
  )
)</f>
        <v>Blank</v>
      </c>
      <c r="B4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2" spans="1:2" x14ac:dyDescent="0.3">
      <c r="A412" s="2" t="str" cm="1">
        <f t="array" ref="A412">_xlfn.LET(
  _xlpm.key,_xlfn.TEXTSPLIT("Email,Org,IRN,Impact",","),
  _xlpm.complete,ISBLANK(H412:K412),
  _xlpm.missing,_xlfn._xlws.FILTER(_xlpm.key,_xlpm.complete,FALSE()),
  _xlpm.missing_string,"Missing: "&amp;_xlfn.TEXTJOIN(", ",TRUE,_xlpm.missing),
  _xlfn.IFS(
    COUNTA(C412:K412)=0,"Blank",
AND(_xlpm.missing=FALSE,ROWS(_xlpm.missing)=1),"Complete",
    ROWS(_xlpm.missing)&gt;0,_xlpm.missing_string,
    TRUE,"Error"
  )
)</f>
        <v>Blank</v>
      </c>
      <c r="B4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3" spans="1:2" x14ac:dyDescent="0.3">
      <c r="A413" s="2" t="str" cm="1">
        <f t="array" ref="A413">_xlfn.LET(
  _xlpm.key,_xlfn.TEXTSPLIT("Email,Org,IRN,Impact",","),
  _xlpm.complete,ISBLANK(H413:K413),
  _xlpm.missing,_xlfn._xlws.FILTER(_xlpm.key,_xlpm.complete,FALSE()),
  _xlpm.missing_string,"Missing: "&amp;_xlfn.TEXTJOIN(", ",TRUE,_xlpm.missing),
  _xlfn.IFS(
    COUNTA(C413:K413)=0,"Blank",
AND(_xlpm.missing=FALSE,ROWS(_xlpm.missing)=1),"Complete",
    ROWS(_xlpm.missing)&gt;0,_xlpm.missing_string,
    TRUE,"Error"
  )
)</f>
        <v>Blank</v>
      </c>
      <c r="B4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4" spans="1:2" x14ac:dyDescent="0.3">
      <c r="A414" s="2" t="str" cm="1">
        <f t="array" ref="A414">_xlfn.LET(
  _xlpm.key,_xlfn.TEXTSPLIT("Email,Org,IRN,Impact",","),
  _xlpm.complete,ISBLANK(H414:K414),
  _xlpm.missing,_xlfn._xlws.FILTER(_xlpm.key,_xlpm.complete,FALSE()),
  _xlpm.missing_string,"Missing: "&amp;_xlfn.TEXTJOIN(", ",TRUE,_xlpm.missing),
  _xlfn.IFS(
    COUNTA(C414:K414)=0,"Blank",
AND(_xlpm.missing=FALSE,ROWS(_xlpm.missing)=1),"Complete",
    ROWS(_xlpm.missing)&gt;0,_xlpm.missing_string,
    TRUE,"Error"
  )
)</f>
        <v>Blank</v>
      </c>
      <c r="B4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5" spans="1:2" x14ac:dyDescent="0.3">
      <c r="A415" s="2" t="str" cm="1">
        <f t="array" ref="A415">_xlfn.LET(
  _xlpm.key,_xlfn.TEXTSPLIT("Email,Org,IRN,Impact",","),
  _xlpm.complete,ISBLANK(H415:K415),
  _xlpm.missing,_xlfn._xlws.FILTER(_xlpm.key,_xlpm.complete,FALSE()),
  _xlpm.missing_string,"Missing: "&amp;_xlfn.TEXTJOIN(", ",TRUE,_xlpm.missing),
  _xlfn.IFS(
    COUNTA(C415:K415)=0,"Blank",
AND(_xlpm.missing=FALSE,ROWS(_xlpm.missing)=1),"Complete",
    ROWS(_xlpm.missing)&gt;0,_xlpm.missing_string,
    TRUE,"Error"
  )
)</f>
        <v>Blank</v>
      </c>
      <c r="B4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6" spans="1:2" x14ac:dyDescent="0.3">
      <c r="A416" s="2" t="str" cm="1">
        <f t="array" ref="A416">_xlfn.LET(
  _xlpm.key,_xlfn.TEXTSPLIT("Email,Org,IRN,Impact",","),
  _xlpm.complete,ISBLANK(H416:K416),
  _xlpm.missing,_xlfn._xlws.FILTER(_xlpm.key,_xlpm.complete,FALSE()),
  _xlpm.missing_string,"Missing: "&amp;_xlfn.TEXTJOIN(", ",TRUE,_xlpm.missing),
  _xlfn.IFS(
    COUNTA(C416:K416)=0,"Blank",
AND(_xlpm.missing=FALSE,ROWS(_xlpm.missing)=1),"Complete",
    ROWS(_xlpm.missing)&gt;0,_xlpm.missing_string,
    TRUE,"Error"
  )
)</f>
        <v>Blank</v>
      </c>
      <c r="B4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7" spans="1:2" x14ac:dyDescent="0.3">
      <c r="A417" s="2" t="str" cm="1">
        <f t="array" ref="A417">_xlfn.LET(
  _xlpm.key,_xlfn.TEXTSPLIT("Email,Org,IRN,Impact",","),
  _xlpm.complete,ISBLANK(H417:K417),
  _xlpm.missing,_xlfn._xlws.FILTER(_xlpm.key,_xlpm.complete,FALSE()),
  _xlpm.missing_string,"Missing: "&amp;_xlfn.TEXTJOIN(", ",TRUE,_xlpm.missing),
  _xlfn.IFS(
    COUNTA(C417:K417)=0,"Blank",
AND(_xlpm.missing=FALSE,ROWS(_xlpm.missing)=1),"Complete",
    ROWS(_xlpm.missing)&gt;0,_xlpm.missing_string,
    TRUE,"Error"
  )
)</f>
        <v>Blank</v>
      </c>
      <c r="B4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8" spans="1:2" x14ac:dyDescent="0.3">
      <c r="A418" s="2" t="str" cm="1">
        <f t="array" ref="A418">_xlfn.LET(
  _xlpm.key,_xlfn.TEXTSPLIT("Email,Org,IRN,Impact",","),
  _xlpm.complete,ISBLANK(H418:K418),
  _xlpm.missing,_xlfn._xlws.FILTER(_xlpm.key,_xlpm.complete,FALSE()),
  _xlpm.missing_string,"Missing: "&amp;_xlfn.TEXTJOIN(", ",TRUE,_xlpm.missing),
  _xlfn.IFS(
    COUNTA(C418:K418)=0,"Blank",
AND(_xlpm.missing=FALSE,ROWS(_xlpm.missing)=1),"Complete",
    ROWS(_xlpm.missing)&gt;0,_xlpm.missing_string,
    TRUE,"Error"
  )
)</f>
        <v>Blank</v>
      </c>
      <c r="B4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19" spans="1:2" x14ac:dyDescent="0.3">
      <c r="A419" s="2" t="str" cm="1">
        <f t="array" ref="A419">_xlfn.LET(
  _xlpm.key,_xlfn.TEXTSPLIT("Email,Org,IRN,Impact",","),
  _xlpm.complete,ISBLANK(H419:K419),
  _xlpm.missing,_xlfn._xlws.FILTER(_xlpm.key,_xlpm.complete,FALSE()),
  _xlpm.missing_string,"Missing: "&amp;_xlfn.TEXTJOIN(", ",TRUE,_xlpm.missing),
  _xlfn.IFS(
    COUNTA(C419:K419)=0,"Blank",
AND(_xlpm.missing=FALSE,ROWS(_xlpm.missing)=1),"Complete",
    ROWS(_xlpm.missing)&gt;0,_xlpm.missing_string,
    TRUE,"Error"
  )
)</f>
        <v>Blank</v>
      </c>
      <c r="B4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0" spans="1:2" x14ac:dyDescent="0.3">
      <c r="A420" s="2" t="str" cm="1">
        <f t="array" ref="A420">_xlfn.LET(
  _xlpm.key,_xlfn.TEXTSPLIT("Email,Org,IRN,Impact",","),
  _xlpm.complete,ISBLANK(H420:K420),
  _xlpm.missing,_xlfn._xlws.FILTER(_xlpm.key,_xlpm.complete,FALSE()),
  _xlpm.missing_string,"Missing: "&amp;_xlfn.TEXTJOIN(", ",TRUE,_xlpm.missing),
  _xlfn.IFS(
    COUNTA(C420:K420)=0,"Blank",
AND(_xlpm.missing=FALSE,ROWS(_xlpm.missing)=1),"Complete",
    ROWS(_xlpm.missing)&gt;0,_xlpm.missing_string,
    TRUE,"Error"
  )
)</f>
        <v>Blank</v>
      </c>
      <c r="B4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1" spans="1:2" x14ac:dyDescent="0.3">
      <c r="A421" s="2" t="str" cm="1">
        <f t="array" ref="A421">_xlfn.LET(
  _xlpm.key,_xlfn.TEXTSPLIT("Email,Org,IRN,Impact",","),
  _xlpm.complete,ISBLANK(H421:K421),
  _xlpm.missing,_xlfn._xlws.FILTER(_xlpm.key,_xlpm.complete,FALSE()),
  _xlpm.missing_string,"Missing: "&amp;_xlfn.TEXTJOIN(", ",TRUE,_xlpm.missing),
  _xlfn.IFS(
    COUNTA(C421:K421)=0,"Blank",
AND(_xlpm.missing=FALSE,ROWS(_xlpm.missing)=1),"Complete",
    ROWS(_xlpm.missing)&gt;0,_xlpm.missing_string,
    TRUE,"Error"
  )
)</f>
        <v>Blank</v>
      </c>
      <c r="B4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2" spans="1:2" x14ac:dyDescent="0.3">
      <c r="A422" s="2" t="str" cm="1">
        <f t="array" ref="A422">_xlfn.LET(
  _xlpm.key,_xlfn.TEXTSPLIT("Email,Org,IRN,Impact",","),
  _xlpm.complete,ISBLANK(H422:K422),
  _xlpm.missing,_xlfn._xlws.FILTER(_xlpm.key,_xlpm.complete,FALSE()),
  _xlpm.missing_string,"Missing: "&amp;_xlfn.TEXTJOIN(", ",TRUE,_xlpm.missing),
  _xlfn.IFS(
    COUNTA(C422:K422)=0,"Blank",
AND(_xlpm.missing=FALSE,ROWS(_xlpm.missing)=1),"Complete",
    ROWS(_xlpm.missing)&gt;0,_xlpm.missing_string,
    TRUE,"Error"
  )
)</f>
        <v>Blank</v>
      </c>
      <c r="B4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3" spans="1:2" x14ac:dyDescent="0.3">
      <c r="A423" s="2" t="str" cm="1">
        <f t="array" ref="A423">_xlfn.LET(
  _xlpm.key,_xlfn.TEXTSPLIT("Email,Org,IRN,Impact",","),
  _xlpm.complete,ISBLANK(H423:K423),
  _xlpm.missing,_xlfn._xlws.FILTER(_xlpm.key,_xlpm.complete,FALSE()),
  _xlpm.missing_string,"Missing: "&amp;_xlfn.TEXTJOIN(", ",TRUE,_xlpm.missing),
  _xlfn.IFS(
    COUNTA(C423:K423)=0,"Blank",
AND(_xlpm.missing=FALSE,ROWS(_xlpm.missing)=1),"Complete",
    ROWS(_xlpm.missing)&gt;0,_xlpm.missing_string,
    TRUE,"Error"
  )
)</f>
        <v>Blank</v>
      </c>
      <c r="B4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4" spans="1:2" x14ac:dyDescent="0.3">
      <c r="A424" s="2" t="str" cm="1">
        <f t="array" ref="A424">_xlfn.LET(
  _xlpm.key,_xlfn.TEXTSPLIT("Email,Org,IRN,Impact",","),
  _xlpm.complete,ISBLANK(H424:K424),
  _xlpm.missing,_xlfn._xlws.FILTER(_xlpm.key,_xlpm.complete,FALSE()),
  _xlpm.missing_string,"Missing: "&amp;_xlfn.TEXTJOIN(", ",TRUE,_xlpm.missing),
  _xlfn.IFS(
    COUNTA(C424:K424)=0,"Blank",
AND(_xlpm.missing=FALSE,ROWS(_xlpm.missing)=1),"Complete",
    ROWS(_xlpm.missing)&gt;0,_xlpm.missing_string,
    TRUE,"Error"
  )
)</f>
        <v>Blank</v>
      </c>
      <c r="B4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5" spans="1:2" x14ac:dyDescent="0.3">
      <c r="A425" s="2" t="str" cm="1">
        <f t="array" ref="A425">_xlfn.LET(
  _xlpm.key,_xlfn.TEXTSPLIT("Email,Org,IRN,Impact",","),
  _xlpm.complete,ISBLANK(H425:K425),
  _xlpm.missing,_xlfn._xlws.FILTER(_xlpm.key,_xlpm.complete,FALSE()),
  _xlpm.missing_string,"Missing: "&amp;_xlfn.TEXTJOIN(", ",TRUE,_xlpm.missing),
  _xlfn.IFS(
    COUNTA(C425:K425)=0,"Blank",
AND(_xlpm.missing=FALSE,ROWS(_xlpm.missing)=1),"Complete",
    ROWS(_xlpm.missing)&gt;0,_xlpm.missing_string,
    TRUE,"Error"
  )
)</f>
        <v>Blank</v>
      </c>
      <c r="B4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6" spans="1:2" x14ac:dyDescent="0.3">
      <c r="A426" s="2" t="str" cm="1">
        <f t="array" ref="A426">_xlfn.LET(
  _xlpm.key,_xlfn.TEXTSPLIT("Email,Org,IRN,Impact",","),
  _xlpm.complete,ISBLANK(H426:K426),
  _xlpm.missing,_xlfn._xlws.FILTER(_xlpm.key,_xlpm.complete,FALSE()),
  _xlpm.missing_string,"Missing: "&amp;_xlfn.TEXTJOIN(", ",TRUE,_xlpm.missing),
  _xlfn.IFS(
    COUNTA(C426:K426)=0,"Blank",
AND(_xlpm.missing=FALSE,ROWS(_xlpm.missing)=1),"Complete",
    ROWS(_xlpm.missing)&gt;0,_xlpm.missing_string,
    TRUE,"Error"
  )
)</f>
        <v>Blank</v>
      </c>
      <c r="B4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7" spans="1:2" x14ac:dyDescent="0.3">
      <c r="A427" s="2" t="str" cm="1">
        <f t="array" ref="A427">_xlfn.LET(
  _xlpm.key,_xlfn.TEXTSPLIT("Email,Org,IRN,Impact",","),
  _xlpm.complete,ISBLANK(H427:K427),
  _xlpm.missing,_xlfn._xlws.FILTER(_xlpm.key,_xlpm.complete,FALSE()),
  _xlpm.missing_string,"Missing: "&amp;_xlfn.TEXTJOIN(", ",TRUE,_xlpm.missing),
  _xlfn.IFS(
    COUNTA(C427:K427)=0,"Blank",
AND(_xlpm.missing=FALSE,ROWS(_xlpm.missing)=1),"Complete",
    ROWS(_xlpm.missing)&gt;0,_xlpm.missing_string,
    TRUE,"Error"
  )
)</f>
        <v>Blank</v>
      </c>
      <c r="B4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8" spans="1:2" x14ac:dyDescent="0.3">
      <c r="A428" s="2" t="str" cm="1">
        <f t="array" ref="A428">_xlfn.LET(
  _xlpm.key,_xlfn.TEXTSPLIT("Email,Org,IRN,Impact",","),
  _xlpm.complete,ISBLANK(H428:K428),
  _xlpm.missing,_xlfn._xlws.FILTER(_xlpm.key,_xlpm.complete,FALSE()),
  _xlpm.missing_string,"Missing: "&amp;_xlfn.TEXTJOIN(", ",TRUE,_xlpm.missing),
  _xlfn.IFS(
    COUNTA(C428:K428)=0,"Blank",
AND(_xlpm.missing=FALSE,ROWS(_xlpm.missing)=1),"Complete",
    ROWS(_xlpm.missing)&gt;0,_xlpm.missing_string,
    TRUE,"Error"
  )
)</f>
        <v>Blank</v>
      </c>
      <c r="B4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29" spans="1:2" x14ac:dyDescent="0.3">
      <c r="A429" s="2" t="str" cm="1">
        <f t="array" ref="A429">_xlfn.LET(
  _xlpm.key,_xlfn.TEXTSPLIT("Email,Org,IRN,Impact",","),
  _xlpm.complete,ISBLANK(H429:K429),
  _xlpm.missing,_xlfn._xlws.FILTER(_xlpm.key,_xlpm.complete,FALSE()),
  _xlpm.missing_string,"Missing: "&amp;_xlfn.TEXTJOIN(", ",TRUE,_xlpm.missing),
  _xlfn.IFS(
    COUNTA(C429:K429)=0,"Blank",
AND(_xlpm.missing=FALSE,ROWS(_xlpm.missing)=1),"Complete",
    ROWS(_xlpm.missing)&gt;0,_xlpm.missing_string,
    TRUE,"Error"
  )
)</f>
        <v>Blank</v>
      </c>
      <c r="B4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0" spans="1:2" x14ac:dyDescent="0.3">
      <c r="A430" s="2" t="str" cm="1">
        <f t="array" ref="A430">_xlfn.LET(
  _xlpm.key,_xlfn.TEXTSPLIT("Email,Org,IRN,Impact",","),
  _xlpm.complete,ISBLANK(H430:K430),
  _xlpm.missing,_xlfn._xlws.FILTER(_xlpm.key,_xlpm.complete,FALSE()),
  _xlpm.missing_string,"Missing: "&amp;_xlfn.TEXTJOIN(", ",TRUE,_xlpm.missing),
  _xlfn.IFS(
    COUNTA(C430:K430)=0,"Blank",
AND(_xlpm.missing=FALSE,ROWS(_xlpm.missing)=1),"Complete",
    ROWS(_xlpm.missing)&gt;0,_xlpm.missing_string,
    TRUE,"Error"
  )
)</f>
        <v>Blank</v>
      </c>
      <c r="B4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1" spans="1:2" x14ac:dyDescent="0.3">
      <c r="A431" s="2" t="str" cm="1">
        <f t="array" ref="A431">_xlfn.LET(
  _xlpm.key,_xlfn.TEXTSPLIT("Email,Org,IRN,Impact",","),
  _xlpm.complete,ISBLANK(H431:K431),
  _xlpm.missing,_xlfn._xlws.FILTER(_xlpm.key,_xlpm.complete,FALSE()),
  _xlpm.missing_string,"Missing: "&amp;_xlfn.TEXTJOIN(", ",TRUE,_xlpm.missing),
  _xlfn.IFS(
    COUNTA(C431:K431)=0,"Blank",
AND(_xlpm.missing=FALSE,ROWS(_xlpm.missing)=1),"Complete",
    ROWS(_xlpm.missing)&gt;0,_xlpm.missing_string,
    TRUE,"Error"
  )
)</f>
        <v>Blank</v>
      </c>
      <c r="B4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2" spans="1:2" x14ac:dyDescent="0.3">
      <c r="A432" s="2" t="str" cm="1">
        <f t="array" ref="A432">_xlfn.LET(
  _xlpm.key,_xlfn.TEXTSPLIT("Email,Org,IRN,Impact",","),
  _xlpm.complete,ISBLANK(H432:K432),
  _xlpm.missing,_xlfn._xlws.FILTER(_xlpm.key,_xlpm.complete,FALSE()),
  _xlpm.missing_string,"Missing: "&amp;_xlfn.TEXTJOIN(", ",TRUE,_xlpm.missing),
  _xlfn.IFS(
    COUNTA(C432:K432)=0,"Blank",
AND(_xlpm.missing=FALSE,ROWS(_xlpm.missing)=1),"Complete",
    ROWS(_xlpm.missing)&gt;0,_xlpm.missing_string,
    TRUE,"Error"
  )
)</f>
        <v>Blank</v>
      </c>
      <c r="B4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3" spans="1:2" x14ac:dyDescent="0.3">
      <c r="A433" s="2" t="str" cm="1">
        <f t="array" ref="A433">_xlfn.LET(
  _xlpm.key,_xlfn.TEXTSPLIT("Email,Org,IRN,Impact",","),
  _xlpm.complete,ISBLANK(H433:K433),
  _xlpm.missing,_xlfn._xlws.FILTER(_xlpm.key,_xlpm.complete,FALSE()),
  _xlpm.missing_string,"Missing: "&amp;_xlfn.TEXTJOIN(", ",TRUE,_xlpm.missing),
  _xlfn.IFS(
    COUNTA(C433:K433)=0,"Blank",
AND(_xlpm.missing=FALSE,ROWS(_xlpm.missing)=1),"Complete",
    ROWS(_xlpm.missing)&gt;0,_xlpm.missing_string,
    TRUE,"Error"
  )
)</f>
        <v>Blank</v>
      </c>
      <c r="B4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4" spans="1:2" x14ac:dyDescent="0.3">
      <c r="A434" s="2" t="str" cm="1">
        <f t="array" ref="A434">_xlfn.LET(
  _xlpm.key,_xlfn.TEXTSPLIT("Email,Org,IRN,Impact",","),
  _xlpm.complete,ISBLANK(H434:K434),
  _xlpm.missing,_xlfn._xlws.FILTER(_xlpm.key,_xlpm.complete,FALSE()),
  _xlpm.missing_string,"Missing: "&amp;_xlfn.TEXTJOIN(", ",TRUE,_xlpm.missing),
  _xlfn.IFS(
    COUNTA(C434:K434)=0,"Blank",
AND(_xlpm.missing=FALSE,ROWS(_xlpm.missing)=1),"Complete",
    ROWS(_xlpm.missing)&gt;0,_xlpm.missing_string,
    TRUE,"Error"
  )
)</f>
        <v>Blank</v>
      </c>
      <c r="B4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5" spans="1:2" x14ac:dyDescent="0.3">
      <c r="A435" s="2" t="str" cm="1">
        <f t="array" ref="A435">_xlfn.LET(
  _xlpm.key,_xlfn.TEXTSPLIT("Email,Org,IRN,Impact",","),
  _xlpm.complete,ISBLANK(H435:K435),
  _xlpm.missing,_xlfn._xlws.FILTER(_xlpm.key,_xlpm.complete,FALSE()),
  _xlpm.missing_string,"Missing: "&amp;_xlfn.TEXTJOIN(", ",TRUE,_xlpm.missing),
  _xlfn.IFS(
    COUNTA(C435:K435)=0,"Blank",
AND(_xlpm.missing=FALSE,ROWS(_xlpm.missing)=1),"Complete",
    ROWS(_xlpm.missing)&gt;0,_xlpm.missing_string,
    TRUE,"Error"
  )
)</f>
        <v>Blank</v>
      </c>
      <c r="B4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6" spans="1:2" x14ac:dyDescent="0.3">
      <c r="A436" s="2" t="str" cm="1">
        <f t="array" ref="A436">_xlfn.LET(
  _xlpm.key,_xlfn.TEXTSPLIT("Email,Org,IRN,Impact",","),
  _xlpm.complete,ISBLANK(H436:K436),
  _xlpm.missing,_xlfn._xlws.FILTER(_xlpm.key,_xlpm.complete,FALSE()),
  _xlpm.missing_string,"Missing: "&amp;_xlfn.TEXTJOIN(", ",TRUE,_xlpm.missing),
  _xlfn.IFS(
    COUNTA(C436:K436)=0,"Blank",
AND(_xlpm.missing=FALSE,ROWS(_xlpm.missing)=1),"Complete",
    ROWS(_xlpm.missing)&gt;0,_xlpm.missing_string,
    TRUE,"Error"
  )
)</f>
        <v>Blank</v>
      </c>
      <c r="B4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7" spans="1:2" x14ac:dyDescent="0.3">
      <c r="A437" s="2" t="str" cm="1">
        <f t="array" ref="A437">_xlfn.LET(
  _xlpm.key,_xlfn.TEXTSPLIT("Email,Org,IRN,Impact",","),
  _xlpm.complete,ISBLANK(H437:K437),
  _xlpm.missing,_xlfn._xlws.FILTER(_xlpm.key,_xlpm.complete,FALSE()),
  _xlpm.missing_string,"Missing: "&amp;_xlfn.TEXTJOIN(", ",TRUE,_xlpm.missing),
  _xlfn.IFS(
    COUNTA(C437:K437)=0,"Blank",
AND(_xlpm.missing=FALSE,ROWS(_xlpm.missing)=1),"Complete",
    ROWS(_xlpm.missing)&gt;0,_xlpm.missing_string,
    TRUE,"Error"
  )
)</f>
        <v>Blank</v>
      </c>
      <c r="B4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8" spans="1:2" x14ac:dyDescent="0.3">
      <c r="A438" s="2" t="str" cm="1">
        <f t="array" ref="A438">_xlfn.LET(
  _xlpm.key,_xlfn.TEXTSPLIT("Email,Org,IRN,Impact",","),
  _xlpm.complete,ISBLANK(H438:K438),
  _xlpm.missing,_xlfn._xlws.FILTER(_xlpm.key,_xlpm.complete,FALSE()),
  _xlpm.missing_string,"Missing: "&amp;_xlfn.TEXTJOIN(", ",TRUE,_xlpm.missing),
  _xlfn.IFS(
    COUNTA(C438:K438)=0,"Blank",
AND(_xlpm.missing=FALSE,ROWS(_xlpm.missing)=1),"Complete",
    ROWS(_xlpm.missing)&gt;0,_xlpm.missing_string,
    TRUE,"Error"
  )
)</f>
        <v>Blank</v>
      </c>
      <c r="B4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39" spans="1:2" x14ac:dyDescent="0.3">
      <c r="A439" s="2" t="str" cm="1">
        <f t="array" ref="A439">_xlfn.LET(
  _xlpm.key,_xlfn.TEXTSPLIT("Email,Org,IRN,Impact",","),
  _xlpm.complete,ISBLANK(H439:K439),
  _xlpm.missing,_xlfn._xlws.FILTER(_xlpm.key,_xlpm.complete,FALSE()),
  _xlpm.missing_string,"Missing: "&amp;_xlfn.TEXTJOIN(", ",TRUE,_xlpm.missing),
  _xlfn.IFS(
    COUNTA(C439:K439)=0,"Blank",
AND(_xlpm.missing=FALSE,ROWS(_xlpm.missing)=1),"Complete",
    ROWS(_xlpm.missing)&gt;0,_xlpm.missing_string,
    TRUE,"Error"
  )
)</f>
        <v>Blank</v>
      </c>
      <c r="B4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0" spans="1:2" x14ac:dyDescent="0.3">
      <c r="A440" s="2" t="str" cm="1">
        <f t="array" ref="A440">_xlfn.LET(
  _xlpm.key,_xlfn.TEXTSPLIT("Email,Org,IRN,Impact",","),
  _xlpm.complete,ISBLANK(H440:K440),
  _xlpm.missing,_xlfn._xlws.FILTER(_xlpm.key,_xlpm.complete,FALSE()),
  _xlpm.missing_string,"Missing: "&amp;_xlfn.TEXTJOIN(", ",TRUE,_xlpm.missing),
  _xlfn.IFS(
    COUNTA(C440:K440)=0,"Blank",
AND(_xlpm.missing=FALSE,ROWS(_xlpm.missing)=1),"Complete",
    ROWS(_xlpm.missing)&gt;0,_xlpm.missing_string,
    TRUE,"Error"
  )
)</f>
        <v>Blank</v>
      </c>
      <c r="B4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1" spans="1:2" x14ac:dyDescent="0.3">
      <c r="A441" s="2" t="str" cm="1">
        <f t="array" ref="A441">_xlfn.LET(
  _xlpm.key,_xlfn.TEXTSPLIT("Email,Org,IRN,Impact",","),
  _xlpm.complete,ISBLANK(H441:K441),
  _xlpm.missing,_xlfn._xlws.FILTER(_xlpm.key,_xlpm.complete,FALSE()),
  _xlpm.missing_string,"Missing: "&amp;_xlfn.TEXTJOIN(", ",TRUE,_xlpm.missing),
  _xlfn.IFS(
    COUNTA(C441:K441)=0,"Blank",
AND(_xlpm.missing=FALSE,ROWS(_xlpm.missing)=1),"Complete",
    ROWS(_xlpm.missing)&gt;0,_xlpm.missing_string,
    TRUE,"Error"
  )
)</f>
        <v>Blank</v>
      </c>
      <c r="B4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2" spans="1:2" x14ac:dyDescent="0.3">
      <c r="A442" s="2" t="str" cm="1">
        <f t="array" ref="A442">_xlfn.LET(
  _xlpm.key,_xlfn.TEXTSPLIT("Email,Org,IRN,Impact",","),
  _xlpm.complete,ISBLANK(H442:K442),
  _xlpm.missing,_xlfn._xlws.FILTER(_xlpm.key,_xlpm.complete,FALSE()),
  _xlpm.missing_string,"Missing: "&amp;_xlfn.TEXTJOIN(", ",TRUE,_xlpm.missing),
  _xlfn.IFS(
    COUNTA(C442:K442)=0,"Blank",
AND(_xlpm.missing=FALSE,ROWS(_xlpm.missing)=1),"Complete",
    ROWS(_xlpm.missing)&gt;0,_xlpm.missing_string,
    TRUE,"Error"
  )
)</f>
        <v>Blank</v>
      </c>
      <c r="B4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3" spans="1:2" x14ac:dyDescent="0.3">
      <c r="A443" s="2" t="str" cm="1">
        <f t="array" ref="A443">_xlfn.LET(
  _xlpm.key,_xlfn.TEXTSPLIT("Email,Org,IRN,Impact",","),
  _xlpm.complete,ISBLANK(H443:K443),
  _xlpm.missing,_xlfn._xlws.FILTER(_xlpm.key,_xlpm.complete,FALSE()),
  _xlpm.missing_string,"Missing: "&amp;_xlfn.TEXTJOIN(", ",TRUE,_xlpm.missing),
  _xlfn.IFS(
    COUNTA(C443:K443)=0,"Blank",
AND(_xlpm.missing=FALSE,ROWS(_xlpm.missing)=1),"Complete",
    ROWS(_xlpm.missing)&gt;0,_xlpm.missing_string,
    TRUE,"Error"
  )
)</f>
        <v>Blank</v>
      </c>
      <c r="B4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4" spans="1:2" x14ac:dyDescent="0.3">
      <c r="A444" s="2" t="str" cm="1">
        <f t="array" ref="A444">_xlfn.LET(
  _xlpm.key,_xlfn.TEXTSPLIT("Email,Org,IRN,Impact",","),
  _xlpm.complete,ISBLANK(H444:K444),
  _xlpm.missing,_xlfn._xlws.FILTER(_xlpm.key,_xlpm.complete,FALSE()),
  _xlpm.missing_string,"Missing: "&amp;_xlfn.TEXTJOIN(", ",TRUE,_xlpm.missing),
  _xlfn.IFS(
    COUNTA(C444:K444)=0,"Blank",
AND(_xlpm.missing=FALSE,ROWS(_xlpm.missing)=1),"Complete",
    ROWS(_xlpm.missing)&gt;0,_xlpm.missing_string,
    TRUE,"Error"
  )
)</f>
        <v>Blank</v>
      </c>
      <c r="B4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5" spans="1:2" x14ac:dyDescent="0.3">
      <c r="A445" s="2" t="str" cm="1">
        <f t="array" ref="A445">_xlfn.LET(
  _xlpm.key,_xlfn.TEXTSPLIT("Email,Org,IRN,Impact",","),
  _xlpm.complete,ISBLANK(H445:K445),
  _xlpm.missing,_xlfn._xlws.FILTER(_xlpm.key,_xlpm.complete,FALSE()),
  _xlpm.missing_string,"Missing: "&amp;_xlfn.TEXTJOIN(", ",TRUE,_xlpm.missing),
  _xlfn.IFS(
    COUNTA(C445:K445)=0,"Blank",
AND(_xlpm.missing=FALSE,ROWS(_xlpm.missing)=1),"Complete",
    ROWS(_xlpm.missing)&gt;0,_xlpm.missing_string,
    TRUE,"Error"
  )
)</f>
        <v>Blank</v>
      </c>
      <c r="B4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6" spans="1:2" x14ac:dyDescent="0.3">
      <c r="A446" s="2" t="str" cm="1">
        <f t="array" ref="A446">_xlfn.LET(
  _xlpm.key,_xlfn.TEXTSPLIT("Email,Org,IRN,Impact",","),
  _xlpm.complete,ISBLANK(H446:K446),
  _xlpm.missing,_xlfn._xlws.FILTER(_xlpm.key,_xlpm.complete,FALSE()),
  _xlpm.missing_string,"Missing: "&amp;_xlfn.TEXTJOIN(", ",TRUE,_xlpm.missing),
  _xlfn.IFS(
    COUNTA(C446:K446)=0,"Blank",
AND(_xlpm.missing=FALSE,ROWS(_xlpm.missing)=1),"Complete",
    ROWS(_xlpm.missing)&gt;0,_xlpm.missing_string,
    TRUE,"Error"
  )
)</f>
        <v>Blank</v>
      </c>
      <c r="B4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7" spans="1:2" x14ac:dyDescent="0.3">
      <c r="A447" s="2" t="str" cm="1">
        <f t="array" ref="A447">_xlfn.LET(
  _xlpm.key,_xlfn.TEXTSPLIT("Email,Org,IRN,Impact",","),
  _xlpm.complete,ISBLANK(H447:K447),
  _xlpm.missing,_xlfn._xlws.FILTER(_xlpm.key,_xlpm.complete,FALSE()),
  _xlpm.missing_string,"Missing: "&amp;_xlfn.TEXTJOIN(", ",TRUE,_xlpm.missing),
  _xlfn.IFS(
    COUNTA(C447:K447)=0,"Blank",
AND(_xlpm.missing=FALSE,ROWS(_xlpm.missing)=1),"Complete",
    ROWS(_xlpm.missing)&gt;0,_xlpm.missing_string,
    TRUE,"Error"
  )
)</f>
        <v>Blank</v>
      </c>
      <c r="B4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8" spans="1:2" x14ac:dyDescent="0.3">
      <c r="A448" s="2" t="str" cm="1">
        <f t="array" ref="A448">_xlfn.LET(
  _xlpm.key,_xlfn.TEXTSPLIT("Email,Org,IRN,Impact",","),
  _xlpm.complete,ISBLANK(H448:K448),
  _xlpm.missing,_xlfn._xlws.FILTER(_xlpm.key,_xlpm.complete,FALSE()),
  _xlpm.missing_string,"Missing: "&amp;_xlfn.TEXTJOIN(", ",TRUE,_xlpm.missing),
  _xlfn.IFS(
    COUNTA(C448:K448)=0,"Blank",
AND(_xlpm.missing=FALSE,ROWS(_xlpm.missing)=1),"Complete",
    ROWS(_xlpm.missing)&gt;0,_xlpm.missing_string,
    TRUE,"Error"
  )
)</f>
        <v>Blank</v>
      </c>
      <c r="B4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49" spans="1:2" x14ac:dyDescent="0.3">
      <c r="A449" s="2" t="str" cm="1">
        <f t="array" ref="A449">_xlfn.LET(
  _xlpm.key,_xlfn.TEXTSPLIT("Email,Org,IRN,Impact",","),
  _xlpm.complete,ISBLANK(H449:K449),
  _xlpm.missing,_xlfn._xlws.FILTER(_xlpm.key,_xlpm.complete,FALSE()),
  _xlpm.missing_string,"Missing: "&amp;_xlfn.TEXTJOIN(", ",TRUE,_xlpm.missing),
  _xlfn.IFS(
    COUNTA(C449:K449)=0,"Blank",
AND(_xlpm.missing=FALSE,ROWS(_xlpm.missing)=1),"Complete",
    ROWS(_xlpm.missing)&gt;0,_xlpm.missing_string,
    TRUE,"Error"
  )
)</f>
        <v>Blank</v>
      </c>
      <c r="B4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0" spans="1:2" x14ac:dyDescent="0.3">
      <c r="A450" s="2" t="str" cm="1">
        <f t="array" ref="A450">_xlfn.LET(
  _xlpm.key,_xlfn.TEXTSPLIT("Email,Org,IRN,Impact",","),
  _xlpm.complete,ISBLANK(H450:K450),
  _xlpm.missing,_xlfn._xlws.FILTER(_xlpm.key,_xlpm.complete,FALSE()),
  _xlpm.missing_string,"Missing: "&amp;_xlfn.TEXTJOIN(", ",TRUE,_xlpm.missing),
  _xlfn.IFS(
    COUNTA(C450:K450)=0,"Blank",
AND(_xlpm.missing=FALSE,ROWS(_xlpm.missing)=1),"Complete",
    ROWS(_xlpm.missing)&gt;0,_xlpm.missing_string,
    TRUE,"Error"
  )
)</f>
        <v>Blank</v>
      </c>
      <c r="B4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1" spans="1:2" x14ac:dyDescent="0.3">
      <c r="A451" s="2" t="str" cm="1">
        <f t="array" ref="A451">_xlfn.LET(
  _xlpm.key,_xlfn.TEXTSPLIT("Email,Org,IRN,Impact",","),
  _xlpm.complete,ISBLANK(H451:K451),
  _xlpm.missing,_xlfn._xlws.FILTER(_xlpm.key,_xlpm.complete,FALSE()),
  _xlpm.missing_string,"Missing: "&amp;_xlfn.TEXTJOIN(", ",TRUE,_xlpm.missing),
  _xlfn.IFS(
    COUNTA(C451:K451)=0,"Blank",
AND(_xlpm.missing=FALSE,ROWS(_xlpm.missing)=1),"Complete",
    ROWS(_xlpm.missing)&gt;0,_xlpm.missing_string,
    TRUE,"Error"
  )
)</f>
        <v>Blank</v>
      </c>
      <c r="B4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2" spans="1:2" x14ac:dyDescent="0.3">
      <c r="A452" s="2" t="str" cm="1">
        <f t="array" ref="A452">_xlfn.LET(
  _xlpm.key,_xlfn.TEXTSPLIT("Email,Org,IRN,Impact",","),
  _xlpm.complete,ISBLANK(H452:K452),
  _xlpm.missing,_xlfn._xlws.FILTER(_xlpm.key,_xlpm.complete,FALSE()),
  _xlpm.missing_string,"Missing: "&amp;_xlfn.TEXTJOIN(", ",TRUE,_xlpm.missing),
  _xlfn.IFS(
    COUNTA(C452:K452)=0,"Blank",
AND(_xlpm.missing=FALSE,ROWS(_xlpm.missing)=1),"Complete",
    ROWS(_xlpm.missing)&gt;0,_xlpm.missing_string,
    TRUE,"Error"
  )
)</f>
        <v>Blank</v>
      </c>
      <c r="B4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3" spans="1:2" x14ac:dyDescent="0.3">
      <c r="A453" s="2" t="str" cm="1">
        <f t="array" ref="A453">_xlfn.LET(
  _xlpm.key,_xlfn.TEXTSPLIT("Email,Org,IRN,Impact",","),
  _xlpm.complete,ISBLANK(H453:K453),
  _xlpm.missing,_xlfn._xlws.FILTER(_xlpm.key,_xlpm.complete,FALSE()),
  _xlpm.missing_string,"Missing: "&amp;_xlfn.TEXTJOIN(", ",TRUE,_xlpm.missing),
  _xlfn.IFS(
    COUNTA(C453:K453)=0,"Blank",
AND(_xlpm.missing=FALSE,ROWS(_xlpm.missing)=1),"Complete",
    ROWS(_xlpm.missing)&gt;0,_xlpm.missing_string,
    TRUE,"Error"
  )
)</f>
        <v>Blank</v>
      </c>
      <c r="B4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4" spans="1:2" x14ac:dyDescent="0.3">
      <c r="A454" s="2" t="str" cm="1">
        <f t="array" ref="A454">_xlfn.LET(
  _xlpm.key,_xlfn.TEXTSPLIT("Email,Org,IRN,Impact",","),
  _xlpm.complete,ISBLANK(H454:K454),
  _xlpm.missing,_xlfn._xlws.FILTER(_xlpm.key,_xlpm.complete,FALSE()),
  _xlpm.missing_string,"Missing: "&amp;_xlfn.TEXTJOIN(", ",TRUE,_xlpm.missing),
  _xlfn.IFS(
    COUNTA(C454:K454)=0,"Blank",
AND(_xlpm.missing=FALSE,ROWS(_xlpm.missing)=1),"Complete",
    ROWS(_xlpm.missing)&gt;0,_xlpm.missing_string,
    TRUE,"Error"
  )
)</f>
        <v>Blank</v>
      </c>
      <c r="B4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5" spans="1:2" x14ac:dyDescent="0.3">
      <c r="A455" s="2" t="str" cm="1">
        <f t="array" ref="A455">_xlfn.LET(
  _xlpm.key,_xlfn.TEXTSPLIT("Email,Org,IRN,Impact",","),
  _xlpm.complete,ISBLANK(H455:K455),
  _xlpm.missing,_xlfn._xlws.FILTER(_xlpm.key,_xlpm.complete,FALSE()),
  _xlpm.missing_string,"Missing: "&amp;_xlfn.TEXTJOIN(", ",TRUE,_xlpm.missing),
  _xlfn.IFS(
    COUNTA(C455:K455)=0,"Blank",
AND(_xlpm.missing=FALSE,ROWS(_xlpm.missing)=1),"Complete",
    ROWS(_xlpm.missing)&gt;0,_xlpm.missing_string,
    TRUE,"Error"
  )
)</f>
        <v>Blank</v>
      </c>
      <c r="B4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6" spans="1:2" x14ac:dyDescent="0.3">
      <c r="A456" s="2" t="str" cm="1">
        <f t="array" ref="A456">_xlfn.LET(
  _xlpm.key,_xlfn.TEXTSPLIT("Email,Org,IRN,Impact",","),
  _xlpm.complete,ISBLANK(H456:K456),
  _xlpm.missing,_xlfn._xlws.FILTER(_xlpm.key,_xlpm.complete,FALSE()),
  _xlpm.missing_string,"Missing: "&amp;_xlfn.TEXTJOIN(", ",TRUE,_xlpm.missing),
  _xlfn.IFS(
    COUNTA(C456:K456)=0,"Blank",
AND(_xlpm.missing=FALSE,ROWS(_xlpm.missing)=1),"Complete",
    ROWS(_xlpm.missing)&gt;0,_xlpm.missing_string,
    TRUE,"Error"
  )
)</f>
        <v>Blank</v>
      </c>
      <c r="B4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7" spans="1:2" x14ac:dyDescent="0.3">
      <c r="A457" s="2" t="str" cm="1">
        <f t="array" ref="A457">_xlfn.LET(
  _xlpm.key,_xlfn.TEXTSPLIT("Email,Org,IRN,Impact",","),
  _xlpm.complete,ISBLANK(H457:K457),
  _xlpm.missing,_xlfn._xlws.FILTER(_xlpm.key,_xlpm.complete,FALSE()),
  _xlpm.missing_string,"Missing: "&amp;_xlfn.TEXTJOIN(", ",TRUE,_xlpm.missing),
  _xlfn.IFS(
    COUNTA(C457:K457)=0,"Blank",
AND(_xlpm.missing=FALSE,ROWS(_xlpm.missing)=1),"Complete",
    ROWS(_xlpm.missing)&gt;0,_xlpm.missing_string,
    TRUE,"Error"
  )
)</f>
        <v>Blank</v>
      </c>
      <c r="B4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8" spans="1:2" x14ac:dyDescent="0.3">
      <c r="A458" s="2" t="str" cm="1">
        <f t="array" ref="A458">_xlfn.LET(
  _xlpm.key,_xlfn.TEXTSPLIT("Email,Org,IRN,Impact",","),
  _xlpm.complete,ISBLANK(H458:K458),
  _xlpm.missing,_xlfn._xlws.FILTER(_xlpm.key,_xlpm.complete,FALSE()),
  _xlpm.missing_string,"Missing: "&amp;_xlfn.TEXTJOIN(", ",TRUE,_xlpm.missing),
  _xlfn.IFS(
    COUNTA(C458:K458)=0,"Blank",
AND(_xlpm.missing=FALSE,ROWS(_xlpm.missing)=1),"Complete",
    ROWS(_xlpm.missing)&gt;0,_xlpm.missing_string,
    TRUE,"Error"
  )
)</f>
        <v>Blank</v>
      </c>
      <c r="B4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59" spans="1:2" x14ac:dyDescent="0.3">
      <c r="A459" s="2" t="str" cm="1">
        <f t="array" ref="A459">_xlfn.LET(
  _xlpm.key,_xlfn.TEXTSPLIT("Email,Org,IRN,Impact",","),
  _xlpm.complete,ISBLANK(H459:K459),
  _xlpm.missing,_xlfn._xlws.FILTER(_xlpm.key,_xlpm.complete,FALSE()),
  _xlpm.missing_string,"Missing: "&amp;_xlfn.TEXTJOIN(", ",TRUE,_xlpm.missing),
  _xlfn.IFS(
    COUNTA(C459:K459)=0,"Blank",
AND(_xlpm.missing=FALSE,ROWS(_xlpm.missing)=1),"Complete",
    ROWS(_xlpm.missing)&gt;0,_xlpm.missing_string,
    TRUE,"Error"
  )
)</f>
        <v>Blank</v>
      </c>
      <c r="B4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0" spans="1:2" x14ac:dyDescent="0.3">
      <c r="A460" s="2" t="str" cm="1">
        <f t="array" ref="A460">_xlfn.LET(
  _xlpm.key,_xlfn.TEXTSPLIT("Email,Org,IRN,Impact",","),
  _xlpm.complete,ISBLANK(H460:K460),
  _xlpm.missing,_xlfn._xlws.FILTER(_xlpm.key,_xlpm.complete,FALSE()),
  _xlpm.missing_string,"Missing: "&amp;_xlfn.TEXTJOIN(", ",TRUE,_xlpm.missing),
  _xlfn.IFS(
    COUNTA(C460:K460)=0,"Blank",
AND(_xlpm.missing=FALSE,ROWS(_xlpm.missing)=1),"Complete",
    ROWS(_xlpm.missing)&gt;0,_xlpm.missing_string,
    TRUE,"Error"
  )
)</f>
        <v>Blank</v>
      </c>
      <c r="B4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1" spans="1:2" x14ac:dyDescent="0.3">
      <c r="A461" s="2" t="str" cm="1">
        <f t="array" ref="A461">_xlfn.LET(
  _xlpm.key,_xlfn.TEXTSPLIT("Email,Org,IRN,Impact",","),
  _xlpm.complete,ISBLANK(H461:K461),
  _xlpm.missing,_xlfn._xlws.FILTER(_xlpm.key,_xlpm.complete,FALSE()),
  _xlpm.missing_string,"Missing: "&amp;_xlfn.TEXTJOIN(", ",TRUE,_xlpm.missing),
  _xlfn.IFS(
    COUNTA(C461:K461)=0,"Blank",
AND(_xlpm.missing=FALSE,ROWS(_xlpm.missing)=1),"Complete",
    ROWS(_xlpm.missing)&gt;0,_xlpm.missing_string,
    TRUE,"Error"
  )
)</f>
        <v>Blank</v>
      </c>
      <c r="B4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2" spans="1:2" x14ac:dyDescent="0.3">
      <c r="A462" s="2" t="str" cm="1">
        <f t="array" ref="A462">_xlfn.LET(
  _xlpm.key,_xlfn.TEXTSPLIT("Email,Org,IRN,Impact",","),
  _xlpm.complete,ISBLANK(H462:K462),
  _xlpm.missing,_xlfn._xlws.FILTER(_xlpm.key,_xlpm.complete,FALSE()),
  _xlpm.missing_string,"Missing: "&amp;_xlfn.TEXTJOIN(", ",TRUE,_xlpm.missing),
  _xlfn.IFS(
    COUNTA(C462:K462)=0,"Blank",
AND(_xlpm.missing=FALSE,ROWS(_xlpm.missing)=1),"Complete",
    ROWS(_xlpm.missing)&gt;0,_xlpm.missing_string,
    TRUE,"Error"
  )
)</f>
        <v>Blank</v>
      </c>
      <c r="B4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3" spans="1:2" x14ac:dyDescent="0.3">
      <c r="A463" s="2" t="str" cm="1">
        <f t="array" ref="A463">_xlfn.LET(
  _xlpm.key,_xlfn.TEXTSPLIT("Email,Org,IRN,Impact",","),
  _xlpm.complete,ISBLANK(H463:K463),
  _xlpm.missing,_xlfn._xlws.FILTER(_xlpm.key,_xlpm.complete,FALSE()),
  _xlpm.missing_string,"Missing: "&amp;_xlfn.TEXTJOIN(", ",TRUE,_xlpm.missing),
  _xlfn.IFS(
    COUNTA(C463:K463)=0,"Blank",
AND(_xlpm.missing=FALSE,ROWS(_xlpm.missing)=1),"Complete",
    ROWS(_xlpm.missing)&gt;0,_xlpm.missing_string,
    TRUE,"Error"
  )
)</f>
        <v>Blank</v>
      </c>
      <c r="B4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4" spans="1:2" x14ac:dyDescent="0.3">
      <c r="A464" s="2" t="str" cm="1">
        <f t="array" ref="A464">_xlfn.LET(
  _xlpm.key,_xlfn.TEXTSPLIT("Email,Org,IRN,Impact",","),
  _xlpm.complete,ISBLANK(H464:K464),
  _xlpm.missing,_xlfn._xlws.FILTER(_xlpm.key,_xlpm.complete,FALSE()),
  _xlpm.missing_string,"Missing: "&amp;_xlfn.TEXTJOIN(", ",TRUE,_xlpm.missing),
  _xlfn.IFS(
    COUNTA(C464:K464)=0,"Blank",
AND(_xlpm.missing=FALSE,ROWS(_xlpm.missing)=1),"Complete",
    ROWS(_xlpm.missing)&gt;0,_xlpm.missing_string,
    TRUE,"Error"
  )
)</f>
        <v>Blank</v>
      </c>
      <c r="B4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5" spans="1:2" x14ac:dyDescent="0.3">
      <c r="A465" s="2" t="str" cm="1">
        <f t="array" ref="A465">_xlfn.LET(
  _xlpm.key,_xlfn.TEXTSPLIT("Email,Org,IRN,Impact",","),
  _xlpm.complete,ISBLANK(H465:K465),
  _xlpm.missing,_xlfn._xlws.FILTER(_xlpm.key,_xlpm.complete,FALSE()),
  _xlpm.missing_string,"Missing: "&amp;_xlfn.TEXTJOIN(", ",TRUE,_xlpm.missing),
  _xlfn.IFS(
    COUNTA(C465:K465)=0,"Blank",
AND(_xlpm.missing=FALSE,ROWS(_xlpm.missing)=1),"Complete",
    ROWS(_xlpm.missing)&gt;0,_xlpm.missing_string,
    TRUE,"Error"
  )
)</f>
        <v>Blank</v>
      </c>
      <c r="B4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6" spans="1:2" x14ac:dyDescent="0.3">
      <c r="A466" s="2" t="str" cm="1">
        <f t="array" ref="A466">_xlfn.LET(
  _xlpm.key,_xlfn.TEXTSPLIT("Email,Org,IRN,Impact",","),
  _xlpm.complete,ISBLANK(H466:K466),
  _xlpm.missing,_xlfn._xlws.FILTER(_xlpm.key,_xlpm.complete,FALSE()),
  _xlpm.missing_string,"Missing: "&amp;_xlfn.TEXTJOIN(", ",TRUE,_xlpm.missing),
  _xlfn.IFS(
    COUNTA(C466:K466)=0,"Blank",
AND(_xlpm.missing=FALSE,ROWS(_xlpm.missing)=1),"Complete",
    ROWS(_xlpm.missing)&gt;0,_xlpm.missing_string,
    TRUE,"Error"
  )
)</f>
        <v>Blank</v>
      </c>
      <c r="B4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7" spans="1:2" x14ac:dyDescent="0.3">
      <c r="A467" s="2" t="str" cm="1">
        <f t="array" ref="A467">_xlfn.LET(
  _xlpm.key,_xlfn.TEXTSPLIT("Email,Org,IRN,Impact",","),
  _xlpm.complete,ISBLANK(H467:K467),
  _xlpm.missing,_xlfn._xlws.FILTER(_xlpm.key,_xlpm.complete,FALSE()),
  _xlpm.missing_string,"Missing: "&amp;_xlfn.TEXTJOIN(", ",TRUE,_xlpm.missing),
  _xlfn.IFS(
    COUNTA(C467:K467)=0,"Blank",
AND(_xlpm.missing=FALSE,ROWS(_xlpm.missing)=1),"Complete",
    ROWS(_xlpm.missing)&gt;0,_xlpm.missing_string,
    TRUE,"Error"
  )
)</f>
        <v>Blank</v>
      </c>
      <c r="B4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8" spans="1:2" x14ac:dyDescent="0.3">
      <c r="A468" s="2" t="str" cm="1">
        <f t="array" ref="A468">_xlfn.LET(
  _xlpm.key,_xlfn.TEXTSPLIT("Email,Org,IRN,Impact",","),
  _xlpm.complete,ISBLANK(H468:K468),
  _xlpm.missing,_xlfn._xlws.FILTER(_xlpm.key,_xlpm.complete,FALSE()),
  _xlpm.missing_string,"Missing: "&amp;_xlfn.TEXTJOIN(", ",TRUE,_xlpm.missing),
  _xlfn.IFS(
    COUNTA(C468:K468)=0,"Blank",
AND(_xlpm.missing=FALSE,ROWS(_xlpm.missing)=1),"Complete",
    ROWS(_xlpm.missing)&gt;0,_xlpm.missing_string,
    TRUE,"Error"
  )
)</f>
        <v>Blank</v>
      </c>
      <c r="B4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69" spans="1:2" x14ac:dyDescent="0.3">
      <c r="A469" s="2" t="str" cm="1">
        <f t="array" ref="A469">_xlfn.LET(
  _xlpm.key,_xlfn.TEXTSPLIT("Email,Org,IRN,Impact",","),
  _xlpm.complete,ISBLANK(H469:K469),
  _xlpm.missing,_xlfn._xlws.FILTER(_xlpm.key,_xlpm.complete,FALSE()),
  _xlpm.missing_string,"Missing: "&amp;_xlfn.TEXTJOIN(", ",TRUE,_xlpm.missing),
  _xlfn.IFS(
    COUNTA(C469:K469)=0,"Blank",
AND(_xlpm.missing=FALSE,ROWS(_xlpm.missing)=1),"Complete",
    ROWS(_xlpm.missing)&gt;0,_xlpm.missing_string,
    TRUE,"Error"
  )
)</f>
        <v>Blank</v>
      </c>
      <c r="B4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0" spans="1:2" x14ac:dyDescent="0.3">
      <c r="A470" s="2" t="str" cm="1">
        <f t="array" ref="A470">_xlfn.LET(
  _xlpm.key,_xlfn.TEXTSPLIT("Email,Org,IRN,Impact",","),
  _xlpm.complete,ISBLANK(H470:K470),
  _xlpm.missing,_xlfn._xlws.FILTER(_xlpm.key,_xlpm.complete,FALSE()),
  _xlpm.missing_string,"Missing: "&amp;_xlfn.TEXTJOIN(", ",TRUE,_xlpm.missing),
  _xlfn.IFS(
    COUNTA(C470:K470)=0,"Blank",
AND(_xlpm.missing=FALSE,ROWS(_xlpm.missing)=1),"Complete",
    ROWS(_xlpm.missing)&gt;0,_xlpm.missing_string,
    TRUE,"Error"
  )
)</f>
        <v>Blank</v>
      </c>
      <c r="B4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1" spans="1:2" x14ac:dyDescent="0.3">
      <c r="A471" s="2" t="str" cm="1">
        <f t="array" ref="A471">_xlfn.LET(
  _xlpm.key,_xlfn.TEXTSPLIT("Email,Org,IRN,Impact",","),
  _xlpm.complete,ISBLANK(H471:K471),
  _xlpm.missing,_xlfn._xlws.FILTER(_xlpm.key,_xlpm.complete,FALSE()),
  _xlpm.missing_string,"Missing: "&amp;_xlfn.TEXTJOIN(", ",TRUE,_xlpm.missing),
  _xlfn.IFS(
    COUNTA(C471:K471)=0,"Blank",
AND(_xlpm.missing=FALSE,ROWS(_xlpm.missing)=1),"Complete",
    ROWS(_xlpm.missing)&gt;0,_xlpm.missing_string,
    TRUE,"Error"
  )
)</f>
        <v>Blank</v>
      </c>
      <c r="B4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2" spans="1:2" x14ac:dyDescent="0.3">
      <c r="A472" s="2" t="str" cm="1">
        <f t="array" ref="A472">_xlfn.LET(
  _xlpm.key,_xlfn.TEXTSPLIT("Email,Org,IRN,Impact",","),
  _xlpm.complete,ISBLANK(H472:K472),
  _xlpm.missing,_xlfn._xlws.FILTER(_xlpm.key,_xlpm.complete,FALSE()),
  _xlpm.missing_string,"Missing: "&amp;_xlfn.TEXTJOIN(", ",TRUE,_xlpm.missing),
  _xlfn.IFS(
    COUNTA(C472:K472)=0,"Blank",
AND(_xlpm.missing=FALSE,ROWS(_xlpm.missing)=1),"Complete",
    ROWS(_xlpm.missing)&gt;0,_xlpm.missing_string,
    TRUE,"Error"
  )
)</f>
        <v>Blank</v>
      </c>
      <c r="B4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3" spans="1:2" x14ac:dyDescent="0.3">
      <c r="A473" s="2" t="str" cm="1">
        <f t="array" ref="A473">_xlfn.LET(
  _xlpm.key,_xlfn.TEXTSPLIT("Email,Org,IRN,Impact",","),
  _xlpm.complete,ISBLANK(H473:K473),
  _xlpm.missing,_xlfn._xlws.FILTER(_xlpm.key,_xlpm.complete,FALSE()),
  _xlpm.missing_string,"Missing: "&amp;_xlfn.TEXTJOIN(", ",TRUE,_xlpm.missing),
  _xlfn.IFS(
    COUNTA(C473:K473)=0,"Blank",
AND(_xlpm.missing=FALSE,ROWS(_xlpm.missing)=1),"Complete",
    ROWS(_xlpm.missing)&gt;0,_xlpm.missing_string,
    TRUE,"Error"
  )
)</f>
        <v>Blank</v>
      </c>
      <c r="B4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4" spans="1:2" x14ac:dyDescent="0.3">
      <c r="A474" s="2" t="str" cm="1">
        <f t="array" ref="A474">_xlfn.LET(
  _xlpm.key,_xlfn.TEXTSPLIT("Email,Org,IRN,Impact",","),
  _xlpm.complete,ISBLANK(H474:K474),
  _xlpm.missing,_xlfn._xlws.FILTER(_xlpm.key,_xlpm.complete,FALSE()),
  _xlpm.missing_string,"Missing: "&amp;_xlfn.TEXTJOIN(", ",TRUE,_xlpm.missing),
  _xlfn.IFS(
    COUNTA(C474:K474)=0,"Blank",
AND(_xlpm.missing=FALSE,ROWS(_xlpm.missing)=1),"Complete",
    ROWS(_xlpm.missing)&gt;0,_xlpm.missing_string,
    TRUE,"Error"
  )
)</f>
        <v>Blank</v>
      </c>
      <c r="B4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5" spans="1:2" x14ac:dyDescent="0.3">
      <c r="A475" s="2" t="str" cm="1">
        <f t="array" ref="A475">_xlfn.LET(
  _xlpm.key,_xlfn.TEXTSPLIT("Email,Org,IRN,Impact",","),
  _xlpm.complete,ISBLANK(H475:K475),
  _xlpm.missing,_xlfn._xlws.FILTER(_xlpm.key,_xlpm.complete,FALSE()),
  _xlpm.missing_string,"Missing: "&amp;_xlfn.TEXTJOIN(", ",TRUE,_xlpm.missing),
  _xlfn.IFS(
    COUNTA(C475:K475)=0,"Blank",
AND(_xlpm.missing=FALSE,ROWS(_xlpm.missing)=1),"Complete",
    ROWS(_xlpm.missing)&gt;0,_xlpm.missing_string,
    TRUE,"Error"
  )
)</f>
        <v>Blank</v>
      </c>
      <c r="B4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6" spans="1:2" x14ac:dyDescent="0.3">
      <c r="A476" s="2" t="str" cm="1">
        <f t="array" ref="A476">_xlfn.LET(
  _xlpm.key,_xlfn.TEXTSPLIT("Email,Org,IRN,Impact",","),
  _xlpm.complete,ISBLANK(H476:K476),
  _xlpm.missing,_xlfn._xlws.FILTER(_xlpm.key,_xlpm.complete,FALSE()),
  _xlpm.missing_string,"Missing: "&amp;_xlfn.TEXTJOIN(", ",TRUE,_xlpm.missing),
  _xlfn.IFS(
    COUNTA(C476:K476)=0,"Blank",
AND(_xlpm.missing=FALSE,ROWS(_xlpm.missing)=1),"Complete",
    ROWS(_xlpm.missing)&gt;0,_xlpm.missing_string,
    TRUE,"Error"
  )
)</f>
        <v>Blank</v>
      </c>
      <c r="B4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7" spans="1:2" x14ac:dyDescent="0.3">
      <c r="A477" s="2" t="str" cm="1">
        <f t="array" ref="A477">_xlfn.LET(
  _xlpm.key,_xlfn.TEXTSPLIT("Email,Org,IRN,Impact",","),
  _xlpm.complete,ISBLANK(H477:K477),
  _xlpm.missing,_xlfn._xlws.FILTER(_xlpm.key,_xlpm.complete,FALSE()),
  _xlpm.missing_string,"Missing: "&amp;_xlfn.TEXTJOIN(", ",TRUE,_xlpm.missing),
  _xlfn.IFS(
    COUNTA(C477:K477)=0,"Blank",
AND(_xlpm.missing=FALSE,ROWS(_xlpm.missing)=1),"Complete",
    ROWS(_xlpm.missing)&gt;0,_xlpm.missing_string,
    TRUE,"Error"
  )
)</f>
        <v>Blank</v>
      </c>
      <c r="B4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8" spans="1:2" x14ac:dyDescent="0.3">
      <c r="A478" s="2" t="str" cm="1">
        <f t="array" ref="A478">_xlfn.LET(
  _xlpm.key,_xlfn.TEXTSPLIT("Email,Org,IRN,Impact",","),
  _xlpm.complete,ISBLANK(H478:K478),
  _xlpm.missing,_xlfn._xlws.FILTER(_xlpm.key,_xlpm.complete,FALSE()),
  _xlpm.missing_string,"Missing: "&amp;_xlfn.TEXTJOIN(", ",TRUE,_xlpm.missing),
  _xlfn.IFS(
    COUNTA(C478:K478)=0,"Blank",
AND(_xlpm.missing=FALSE,ROWS(_xlpm.missing)=1),"Complete",
    ROWS(_xlpm.missing)&gt;0,_xlpm.missing_string,
    TRUE,"Error"
  )
)</f>
        <v>Blank</v>
      </c>
      <c r="B4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79" spans="1:2" x14ac:dyDescent="0.3">
      <c r="A479" s="2" t="str" cm="1">
        <f t="array" ref="A479">_xlfn.LET(
  _xlpm.key,_xlfn.TEXTSPLIT("Email,Org,IRN,Impact",","),
  _xlpm.complete,ISBLANK(H479:K479),
  _xlpm.missing,_xlfn._xlws.FILTER(_xlpm.key,_xlpm.complete,FALSE()),
  _xlpm.missing_string,"Missing: "&amp;_xlfn.TEXTJOIN(", ",TRUE,_xlpm.missing),
  _xlfn.IFS(
    COUNTA(C479:K479)=0,"Blank",
AND(_xlpm.missing=FALSE,ROWS(_xlpm.missing)=1),"Complete",
    ROWS(_xlpm.missing)&gt;0,_xlpm.missing_string,
    TRUE,"Error"
  )
)</f>
        <v>Blank</v>
      </c>
      <c r="B4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0" spans="1:2" x14ac:dyDescent="0.3">
      <c r="A480" s="2" t="str" cm="1">
        <f t="array" ref="A480">_xlfn.LET(
  _xlpm.key,_xlfn.TEXTSPLIT("Email,Org,IRN,Impact",","),
  _xlpm.complete,ISBLANK(H480:K480),
  _xlpm.missing,_xlfn._xlws.FILTER(_xlpm.key,_xlpm.complete,FALSE()),
  _xlpm.missing_string,"Missing: "&amp;_xlfn.TEXTJOIN(", ",TRUE,_xlpm.missing),
  _xlfn.IFS(
    COUNTA(C480:K480)=0,"Blank",
AND(_xlpm.missing=FALSE,ROWS(_xlpm.missing)=1),"Complete",
    ROWS(_xlpm.missing)&gt;0,_xlpm.missing_string,
    TRUE,"Error"
  )
)</f>
        <v>Blank</v>
      </c>
      <c r="B4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1" spans="1:2" x14ac:dyDescent="0.3">
      <c r="A481" s="2" t="str" cm="1">
        <f t="array" ref="A481">_xlfn.LET(
  _xlpm.key,_xlfn.TEXTSPLIT("Email,Org,IRN,Impact",","),
  _xlpm.complete,ISBLANK(H481:K481),
  _xlpm.missing,_xlfn._xlws.FILTER(_xlpm.key,_xlpm.complete,FALSE()),
  _xlpm.missing_string,"Missing: "&amp;_xlfn.TEXTJOIN(", ",TRUE,_xlpm.missing),
  _xlfn.IFS(
    COUNTA(C481:K481)=0,"Blank",
AND(_xlpm.missing=FALSE,ROWS(_xlpm.missing)=1),"Complete",
    ROWS(_xlpm.missing)&gt;0,_xlpm.missing_string,
    TRUE,"Error"
  )
)</f>
        <v>Blank</v>
      </c>
      <c r="B4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2" spans="1:2" x14ac:dyDescent="0.3">
      <c r="A482" s="2" t="str" cm="1">
        <f t="array" ref="A482">_xlfn.LET(
  _xlpm.key,_xlfn.TEXTSPLIT("Email,Org,IRN,Impact",","),
  _xlpm.complete,ISBLANK(H482:K482),
  _xlpm.missing,_xlfn._xlws.FILTER(_xlpm.key,_xlpm.complete,FALSE()),
  _xlpm.missing_string,"Missing: "&amp;_xlfn.TEXTJOIN(", ",TRUE,_xlpm.missing),
  _xlfn.IFS(
    COUNTA(C482:K482)=0,"Blank",
AND(_xlpm.missing=FALSE,ROWS(_xlpm.missing)=1),"Complete",
    ROWS(_xlpm.missing)&gt;0,_xlpm.missing_string,
    TRUE,"Error"
  )
)</f>
        <v>Blank</v>
      </c>
      <c r="B4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3" spans="1:2" x14ac:dyDescent="0.3">
      <c r="A483" s="2" t="str" cm="1">
        <f t="array" ref="A483">_xlfn.LET(
  _xlpm.key,_xlfn.TEXTSPLIT("Email,Org,IRN,Impact",","),
  _xlpm.complete,ISBLANK(H483:K483),
  _xlpm.missing,_xlfn._xlws.FILTER(_xlpm.key,_xlpm.complete,FALSE()),
  _xlpm.missing_string,"Missing: "&amp;_xlfn.TEXTJOIN(", ",TRUE,_xlpm.missing),
  _xlfn.IFS(
    COUNTA(C483:K483)=0,"Blank",
AND(_xlpm.missing=FALSE,ROWS(_xlpm.missing)=1),"Complete",
    ROWS(_xlpm.missing)&gt;0,_xlpm.missing_string,
    TRUE,"Error"
  )
)</f>
        <v>Blank</v>
      </c>
      <c r="B4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4" spans="1:2" x14ac:dyDescent="0.3">
      <c r="A484" s="2" t="str" cm="1">
        <f t="array" ref="A484">_xlfn.LET(
  _xlpm.key,_xlfn.TEXTSPLIT("Email,Org,IRN,Impact",","),
  _xlpm.complete,ISBLANK(H484:K484),
  _xlpm.missing,_xlfn._xlws.FILTER(_xlpm.key,_xlpm.complete,FALSE()),
  _xlpm.missing_string,"Missing: "&amp;_xlfn.TEXTJOIN(", ",TRUE,_xlpm.missing),
  _xlfn.IFS(
    COUNTA(C484:K484)=0,"Blank",
AND(_xlpm.missing=FALSE,ROWS(_xlpm.missing)=1),"Complete",
    ROWS(_xlpm.missing)&gt;0,_xlpm.missing_string,
    TRUE,"Error"
  )
)</f>
        <v>Blank</v>
      </c>
      <c r="B4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5" spans="1:2" x14ac:dyDescent="0.3">
      <c r="A485" s="2" t="str" cm="1">
        <f t="array" ref="A485">_xlfn.LET(
  _xlpm.key,_xlfn.TEXTSPLIT("Email,Org,IRN,Impact",","),
  _xlpm.complete,ISBLANK(H485:K485),
  _xlpm.missing,_xlfn._xlws.FILTER(_xlpm.key,_xlpm.complete,FALSE()),
  _xlpm.missing_string,"Missing: "&amp;_xlfn.TEXTJOIN(", ",TRUE,_xlpm.missing),
  _xlfn.IFS(
    COUNTA(C485:K485)=0,"Blank",
AND(_xlpm.missing=FALSE,ROWS(_xlpm.missing)=1),"Complete",
    ROWS(_xlpm.missing)&gt;0,_xlpm.missing_string,
    TRUE,"Error"
  )
)</f>
        <v>Blank</v>
      </c>
      <c r="B4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6" spans="1:2" x14ac:dyDescent="0.3">
      <c r="A486" s="2" t="str" cm="1">
        <f t="array" ref="A486">_xlfn.LET(
  _xlpm.key,_xlfn.TEXTSPLIT("Email,Org,IRN,Impact",","),
  _xlpm.complete,ISBLANK(H486:K486),
  _xlpm.missing,_xlfn._xlws.FILTER(_xlpm.key,_xlpm.complete,FALSE()),
  _xlpm.missing_string,"Missing: "&amp;_xlfn.TEXTJOIN(", ",TRUE,_xlpm.missing),
  _xlfn.IFS(
    COUNTA(C486:K486)=0,"Blank",
AND(_xlpm.missing=FALSE,ROWS(_xlpm.missing)=1),"Complete",
    ROWS(_xlpm.missing)&gt;0,_xlpm.missing_string,
    TRUE,"Error"
  )
)</f>
        <v>Blank</v>
      </c>
      <c r="B4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7" spans="1:2" x14ac:dyDescent="0.3">
      <c r="A487" s="2" t="str" cm="1">
        <f t="array" ref="A487">_xlfn.LET(
  _xlpm.key,_xlfn.TEXTSPLIT("Email,Org,IRN,Impact",","),
  _xlpm.complete,ISBLANK(H487:K487),
  _xlpm.missing,_xlfn._xlws.FILTER(_xlpm.key,_xlpm.complete,FALSE()),
  _xlpm.missing_string,"Missing: "&amp;_xlfn.TEXTJOIN(", ",TRUE,_xlpm.missing),
  _xlfn.IFS(
    COUNTA(C487:K487)=0,"Blank",
AND(_xlpm.missing=FALSE,ROWS(_xlpm.missing)=1),"Complete",
    ROWS(_xlpm.missing)&gt;0,_xlpm.missing_string,
    TRUE,"Error"
  )
)</f>
        <v>Blank</v>
      </c>
      <c r="B4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8" spans="1:2" x14ac:dyDescent="0.3">
      <c r="A488" s="2" t="str" cm="1">
        <f t="array" ref="A488">_xlfn.LET(
  _xlpm.key,_xlfn.TEXTSPLIT("Email,Org,IRN,Impact",","),
  _xlpm.complete,ISBLANK(H488:K488),
  _xlpm.missing,_xlfn._xlws.FILTER(_xlpm.key,_xlpm.complete,FALSE()),
  _xlpm.missing_string,"Missing: "&amp;_xlfn.TEXTJOIN(", ",TRUE,_xlpm.missing),
  _xlfn.IFS(
    COUNTA(C488:K488)=0,"Blank",
AND(_xlpm.missing=FALSE,ROWS(_xlpm.missing)=1),"Complete",
    ROWS(_xlpm.missing)&gt;0,_xlpm.missing_string,
    TRUE,"Error"
  )
)</f>
        <v>Blank</v>
      </c>
      <c r="B4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89" spans="1:2" x14ac:dyDescent="0.3">
      <c r="A489" s="2" t="str" cm="1">
        <f t="array" ref="A489">_xlfn.LET(
  _xlpm.key,_xlfn.TEXTSPLIT("Email,Org,IRN,Impact",","),
  _xlpm.complete,ISBLANK(H489:K489),
  _xlpm.missing,_xlfn._xlws.FILTER(_xlpm.key,_xlpm.complete,FALSE()),
  _xlpm.missing_string,"Missing: "&amp;_xlfn.TEXTJOIN(", ",TRUE,_xlpm.missing),
  _xlfn.IFS(
    COUNTA(C489:K489)=0,"Blank",
AND(_xlpm.missing=FALSE,ROWS(_xlpm.missing)=1),"Complete",
    ROWS(_xlpm.missing)&gt;0,_xlpm.missing_string,
    TRUE,"Error"
  )
)</f>
        <v>Blank</v>
      </c>
      <c r="B4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0" spans="1:2" x14ac:dyDescent="0.3">
      <c r="A490" s="2" t="str" cm="1">
        <f t="array" ref="A490">_xlfn.LET(
  _xlpm.key,_xlfn.TEXTSPLIT("Email,Org,IRN,Impact",","),
  _xlpm.complete,ISBLANK(H490:K490),
  _xlpm.missing,_xlfn._xlws.FILTER(_xlpm.key,_xlpm.complete,FALSE()),
  _xlpm.missing_string,"Missing: "&amp;_xlfn.TEXTJOIN(", ",TRUE,_xlpm.missing),
  _xlfn.IFS(
    COUNTA(C490:K490)=0,"Blank",
AND(_xlpm.missing=FALSE,ROWS(_xlpm.missing)=1),"Complete",
    ROWS(_xlpm.missing)&gt;0,_xlpm.missing_string,
    TRUE,"Error"
  )
)</f>
        <v>Blank</v>
      </c>
      <c r="B4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1" spans="1:2" x14ac:dyDescent="0.3">
      <c r="A491" s="2" t="str" cm="1">
        <f t="array" ref="A491">_xlfn.LET(
  _xlpm.key,_xlfn.TEXTSPLIT("Email,Org,IRN,Impact",","),
  _xlpm.complete,ISBLANK(H491:K491),
  _xlpm.missing,_xlfn._xlws.FILTER(_xlpm.key,_xlpm.complete,FALSE()),
  _xlpm.missing_string,"Missing: "&amp;_xlfn.TEXTJOIN(", ",TRUE,_xlpm.missing),
  _xlfn.IFS(
    COUNTA(C491:K491)=0,"Blank",
AND(_xlpm.missing=FALSE,ROWS(_xlpm.missing)=1),"Complete",
    ROWS(_xlpm.missing)&gt;0,_xlpm.missing_string,
    TRUE,"Error"
  )
)</f>
        <v>Blank</v>
      </c>
      <c r="B4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2" spans="1:2" x14ac:dyDescent="0.3">
      <c r="A492" s="2" t="str" cm="1">
        <f t="array" ref="A492">_xlfn.LET(
  _xlpm.key,_xlfn.TEXTSPLIT("Email,Org,IRN,Impact",","),
  _xlpm.complete,ISBLANK(H492:K492),
  _xlpm.missing,_xlfn._xlws.FILTER(_xlpm.key,_xlpm.complete,FALSE()),
  _xlpm.missing_string,"Missing: "&amp;_xlfn.TEXTJOIN(", ",TRUE,_xlpm.missing),
  _xlfn.IFS(
    COUNTA(C492:K492)=0,"Blank",
AND(_xlpm.missing=FALSE,ROWS(_xlpm.missing)=1),"Complete",
    ROWS(_xlpm.missing)&gt;0,_xlpm.missing_string,
    TRUE,"Error"
  )
)</f>
        <v>Blank</v>
      </c>
      <c r="B4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3" spans="1:2" x14ac:dyDescent="0.3">
      <c r="A493" s="2" t="str" cm="1">
        <f t="array" ref="A493">_xlfn.LET(
  _xlpm.key,_xlfn.TEXTSPLIT("Email,Org,IRN,Impact",","),
  _xlpm.complete,ISBLANK(H493:K493),
  _xlpm.missing,_xlfn._xlws.FILTER(_xlpm.key,_xlpm.complete,FALSE()),
  _xlpm.missing_string,"Missing: "&amp;_xlfn.TEXTJOIN(", ",TRUE,_xlpm.missing),
  _xlfn.IFS(
    COUNTA(C493:K493)=0,"Blank",
AND(_xlpm.missing=FALSE,ROWS(_xlpm.missing)=1),"Complete",
    ROWS(_xlpm.missing)&gt;0,_xlpm.missing_string,
    TRUE,"Error"
  )
)</f>
        <v>Blank</v>
      </c>
      <c r="B4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4" spans="1:2" x14ac:dyDescent="0.3">
      <c r="A494" s="2" t="str" cm="1">
        <f t="array" ref="A494">_xlfn.LET(
  _xlpm.key,_xlfn.TEXTSPLIT("Email,Org,IRN,Impact",","),
  _xlpm.complete,ISBLANK(H494:K494),
  _xlpm.missing,_xlfn._xlws.FILTER(_xlpm.key,_xlpm.complete,FALSE()),
  _xlpm.missing_string,"Missing: "&amp;_xlfn.TEXTJOIN(", ",TRUE,_xlpm.missing),
  _xlfn.IFS(
    COUNTA(C494:K494)=0,"Blank",
AND(_xlpm.missing=FALSE,ROWS(_xlpm.missing)=1),"Complete",
    ROWS(_xlpm.missing)&gt;0,_xlpm.missing_string,
    TRUE,"Error"
  )
)</f>
        <v>Blank</v>
      </c>
      <c r="B4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5" spans="1:2" x14ac:dyDescent="0.3">
      <c r="A495" s="2" t="str" cm="1">
        <f t="array" ref="A495">_xlfn.LET(
  _xlpm.key,_xlfn.TEXTSPLIT("Email,Org,IRN,Impact",","),
  _xlpm.complete,ISBLANK(H495:K495),
  _xlpm.missing,_xlfn._xlws.FILTER(_xlpm.key,_xlpm.complete,FALSE()),
  _xlpm.missing_string,"Missing: "&amp;_xlfn.TEXTJOIN(", ",TRUE,_xlpm.missing),
  _xlfn.IFS(
    COUNTA(C495:K495)=0,"Blank",
AND(_xlpm.missing=FALSE,ROWS(_xlpm.missing)=1),"Complete",
    ROWS(_xlpm.missing)&gt;0,_xlpm.missing_string,
    TRUE,"Error"
  )
)</f>
        <v>Blank</v>
      </c>
      <c r="B4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6" spans="1:2" x14ac:dyDescent="0.3">
      <c r="A496" s="2" t="str" cm="1">
        <f t="array" ref="A496">_xlfn.LET(
  _xlpm.key,_xlfn.TEXTSPLIT("Email,Org,IRN,Impact",","),
  _xlpm.complete,ISBLANK(H496:K496),
  _xlpm.missing,_xlfn._xlws.FILTER(_xlpm.key,_xlpm.complete,FALSE()),
  _xlpm.missing_string,"Missing: "&amp;_xlfn.TEXTJOIN(", ",TRUE,_xlpm.missing),
  _xlfn.IFS(
    COUNTA(C496:K496)=0,"Blank",
AND(_xlpm.missing=FALSE,ROWS(_xlpm.missing)=1),"Complete",
    ROWS(_xlpm.missing)&gt;0,_xlpm.missing_string,
    TRUE,"Error"
  )
)</f>
        <v>Blank</v>
      </c>
      <c r="B4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7" spans="1:2" x14ac:dyDescent="0.3">
      <c r="A497" s="2" t="str" cm="1">
        <f t="array" ref="A497">_xlfn.LET(
  _xlpm.key,_xlfn.TEXTSPLIT("Email,Org,IRN,Impact",","),
  _xlpm.complete,ISBLANK(H497:K497),
  _xlpm.missing,_xlfn._xlws.FILTER(_xlpm.key,_xlpm.complete,FALSE()),
  _xlpm.missing_string,"Missing: "&amp;_xlfn.TEXTJOIN(", ",TRUE,_xlpm.missing),
  _xlfn.IFS(
    COUNTA(C497:K497)=0,"Blank",
AND(_xlpm.missing=FALSE,ROWS(_xlpm.missing)=1),"Complete",
    ROWS(_xlpm.missing)&gt;0,_xlpm.missing_string,
    TRUE,"Error"
  )
)</f>
        <v>Blank</v>
      </c>
      <c r="B4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8" spans="1:2" x14ac:dyDescent="0.3">
      <c r="A498" s="2" t="str" cm="1">
        <f t="array" ref="A498">_xlfn.LET(
  _xlpm.key,_xlfn.TEXTSPLIT("Email,Org,IRN,Impact",","),
  _xlpm.complete,ISBLANK(H498:K498),
  _xlpm.missing,_xlfn._xlws.FILTER(_xlpm.key,_xlpm.complete,FALSE()),
  _xlpm.missing_string,"Missing: "&amp;_xlfn.TEXTJOIN(", ",TRUE,_xlpm.missing),
  _xlfn.IFS(
    COUNTA(C498:K498)=0,"Blank",
AND(_xlpm.missing=FALSE,ROWS(_xlpm.missing)=1),"Complete",
    ROWS(_xlpm.missing)&gt;0,_xlpm.missing_string,
    TRUE,"Error"
  )
)</f>
        <v>Blank</v>
      </c>
      <c r="B4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499" spans="1:2" x14ac:dyDescent="0.3">
      <c r="A499" s="2" t="str" cm="1">
        <f t="array" ref="A499">_xlfn.LET(
  _xlpm.key,_xlfn.TEXTSPLIT("Email,Org,IRN,Impact",","),
  _xlpm.complete,ISBLANK(H499:K499),
  _xlpm.missing,_xlfn._xlws.FILTER(_xlpm.key,_xlpm.complete,FALSE()),
  _xlpm.missing_string,"Missing: "&amp;_xlfn.TEXTJOIN(", ",TRUE,_xlpm.missing),
  _xlfn.IFS(
    COUNTA(C499:K499)=0,"Blank",
AND(_xlpm.missing=FALSE,ROWS(_xlpm.missing)=1),"Complete",
    ROWS(_xlpm.missing)&gt;0,_xlpm.missing_string,
    TRUE,"Error"
  )
)</f>
        <v>Blank</v>
      </c>
      <c r="B4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0" spans="1:2" x14ac:dyDescent="0.3">
      <c r="A500" s="2" t="str" cm="1">
        <f t="array" ref="A500">_xlfn.LET(
  _xlpm.key,_xlfn.TEXTSPLIT("Email,Org,IRN,Impact",","),
  _xlpm.complete,ISBLANK(H500:K500),
  _xlpm.missing,_xlfn._xlws.FILTER(_xlpm.key,_xlpm.complete,FALSE()),
  _xlpm.missing_string,"Missing: "&amp;_xlfn.TEXTJOIN(", ",TRUE,_xlpm.missing),
  _xlfn.IFS(
    COUNTA(C500:K500)=0,"Blank",
AND(_xlpm.missing=FALSE,ROWS(_xlpm.missing)=1),"Complete",
    ROWS(_xlpm.missing)&gt;0,_xlpm.missing_string,
    TRUE,"Error"
  )
)</f>
        <v>Blank</v>
      </c>
      <c r="B5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1" spans="1:2" x14ac:dyDescent="0.3">
      <c r="A501" s="2" t="str" cm="1">
        <f t="array" ref="A501">_xlfn.LET(
  _xlpm.key,_xlfn.TEXTSPLIT("Email,Org,IRN,Impact",","),
  _xlpm.complete,ISBLANK(H501:K501),
  _xlpm.missing,_xlfn._xlws.FILTER(_xlpm.key,_xlpm.complete,FALSE()),
  _xlpm.missing_string,"Missing: "&amp;_xlfn.TEXTJOIN(", ",TRUE,_xlpm.missing),
  _xlfn.IFS(
    COUNTA(C501:K501)=0,"Blank",
AND(_xlpm.missing=FALSE,ROWS(_xlpm.missing)=1),"Complete",
    ROWS(_xlpm.missing)&gt;0,_xlpm.missing_string,
    TRUE,"Error"
  )
)</f>
        <v>Blank</v>
      </c>
      <c r="B5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2" spans="1:2" x14ac:dyDescent="0.3">
      <c r="A502" s="2" t="str" cm="1">
        <f t="array" ref="A502">_xlfn.LET(
  _xlpm.key,_xlfn.TEXTSPLIT("Email,Org,IRN,Impact",","),
  _xlpm.complete,ISBLANK(H502:K502),
  _xlpm.missing,_xlfn._xlws.FILTER(_xlpm.key,_xlpm.complete,FALSE()),
  _xlpm.missing_string,"Missing: "&amp;_xlfn.TEXTJOIN(", ",TRUE,_xlpm.missing),
  _xlfn.IFS(
    COUNTA(C502:K502)=0,"Blank",
AND(_xlpm.missing=FALSE,ROWS(_xlpm.missing)=1),"Complete",
    ROWS(_xlpm.missing)&gt;0,_xlpm.missing_string,
    TRUE,"Error"
  )
)</f>
        <v>Blank</v>
      </c>
      <c r="B5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3" spans="1:2" x14ac:dyDescent="0.3">
      <c r="A503" s="2" t="str" cm="1">
        <f t="array" ref="A503">_xlfn.LET(
  _xlpm.key,_xlfn.TEXTSPLIT("Email,Org,IRN,Impact",","),
  _xlpm.complete,ISBLANK(H503:K503),
  _xlpm.missing,_xlfn._xlws.FILTER(_xlpm.key,_xlpm.complete,FALSE()),
  _xlpm.missing_string,"Missing: "&amp;_xlfn.TEXTJOIN(", ",TRUE,_xlpm.missing),
  _xlfn.IFS(
    COUNTA(C503:K503)=0,"Blank",
AND(_xlpm.missing=FALSE,ROWS(_xlpm.missing)=1),"Complete",
    ROWS(_xlpm.missing)&gt;0,_xlpm.missing_string,
    TRUE,"Error"
  )
)</f>
        <v>Blank</v>
      </c>
      <c r="B5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4" spans="1:2" x14ac:dyDescent="0.3">
      <c r="A504" s="2" t="str" cm="1">
        <f t="array" ref="A504">_xlfn.LET(
  _xlpm.key,_xlfn.TEXTSPLIT("Email,Org,IRN,Impact",","),
  _xlpm.complete,ISBLANK(H504:K504),
  _xlpm.missing,_xlfn._xlws.FILTER(_xlpm.key,_xlpm.complete,FALSE()),
  _xlpm.missing_string,"Missing: "&amp;_xlfn.TEXTJOIN(", ",TRUE,_xlpm.missing),
  _xlfn.IFS(
    COUNTA(C504:K504)=0,"Blank",
AND(_xlpm.missing=FALSE,ROWS(_xlpm.missing)=1),"Complete",
    ROWS(_xlpm.missing)&gt;0,_xlpm.missing_string,
    TRUE,"Error"
  )
)</f>
        <v>Blank</v>
      </c>
      <c r="B5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5" spans="1:2" x14ac:dyDescent="0.3">
      <c r="A505" s="2" t="str" cm="1">
        <f t="array" ref="A505">_xlfn.LET(
  _xlpm.key,_xlfn.TEXTSPLIT("Email,Org,IRN,Impact",","),
  _xlpm.complete,ISBLANK(H505:K505),
  _xlpm.missing,_xlfn._xlws.FILTER(_xlpm.key,_xlpm.complete,FALSE()),
  _xlpm.missing_string,"Missing: "&amp;_xlfn.TEXTJOIN(", ",TRUE,_xlpm.missing),
  _xlfn.IFS(
    COUNTA(C505:K505)=0,"Blank",
AND(_xlpm.missing=FALSE,ROWS(_xlpm.missing)=1),"Complete",
    ROWS(_xlpm.missing)&gt;0,_xlpm.missing_string,
    TRUE,"Error"
  )
)</f>
        <v>Blank</v>
      </c>
      <c r="B5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6" spans="1:2" x14ac:dyDescent="0.3">
      <c r="A506" s="2" t="str" cm="1">
        <f t="array" ref="A506">_xlfn.LET(
  _xlpm.key,_xlfn.TEXTSPLIT("Email,Org,IRN,Impact",","),
  _xlpm.complete,ISBLANK(H506:K506),
  _xlpm.missing,_xlfn._xlws.FILTER(_xlpm.key,_xlpm.complete,FALSE()),
  _xlpm.missing_string,"Missing: "&amp;_xlfn.TEXTJOIN(", ",TRUE,_xlpm.missing),
  _xlfn.IFS(
    COUNTA(C506:K506)=0,"Blank",
AND(_xlpm.missing=FALSE,ROWS(_xlpm.missing)=1),"Complete",
    ROWS(_xlpm.missing)&gt;0,_xlpm.missing_string,
    TRUE,"Error"
  )
)</f>
        <v>Blank</v>
      </c>
      <c r="B5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7" spans="1:2" x14ac:dyDescent="0.3">
      <c r="A507" s="2" t="str" cm="1">
        <f t="array" ref="A507">_xlfn.LET(
  _xlpm.key,_xlfn.TEXTSPLIT("Email,Org,IRN,Impact",","),
  _xlpm.complete,ISBLANK(H507:K507),
  _xlpm.missing,_xlfn._xlws.FILTER(_xlpm.key,_xlpm.complete,FALSE()),
  _xlpm.missing_string,"Missing: "&amp;_xlfn.TEXTJOIN(", ",TRUE,_xlpm.missing),
  _xlfn.IFS(
    COUNTA(C507:K507)=0,"Blank",
AND(_xlpm.missing=FALSE,ROWS(_xlpm.missing)=1),"Complete",
    ROWS(_xlpm.missing)&gt;0,_xlpm.missing_string,
    TRUE,"Error"
  )
)</f>
        <v>Blank</v>
      </c>
      <c r="B5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8" spans="1:2" x14ac:dyDescent="0.3">
      <c r="A508" s="2" t="str" cm="1">
        <f t="array" ref="A508">_xlfn.LET(
  _xlpm.key,_xlfn.TEXTSPLIT("Email,Org,IRN,Impact",","),
  _xlpm.complete,ISBLANK(H508:K508),
  _xlpm.missing,_xlfn._xlws.FILTER(_xlpm.key,_xlpm.complete,FALSE()),
  _xlpm.missing_string,"Missing: "&amp;_xlfn.TEXTJOIN(", ",TRUE,_xlpm.missing),
  _xlfn.IFS(
    COUNTA(C508:K508)=0,"Blank",
AND(_xlpm.missing=FALSE,ROWS(_xlpm.missing)=1),"Complete",
    ROWS(_xlpm.missing)&gt;0,_xlpm.missing_string,
    TRUE,"Error"
  )
)</f>
        <v>Blank</v>
      </c>
      <c r="B5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09" spans="1:2" x14ac:dyDescent="0.3">
      <c r="A509" s="2" t="str" cm="1">
        <f t="array" ref="A509">_xlfn.LET(
  _xlpm.key,_xlfn.TEXTSPLIT("Email,Org,IRN,Impact",","),
  _xlpm.complete,ISBLANK(H509:K509),
  _xlpm.missing,_xlfn._xlws.FILTER(_xlpm.key,_xlpm.complete,FALSE()),
  _xlpm.missing_string,"Missing: "&amp;_xlfn.TEXTJOIN(", ",TRUE,_xlpm.missing),
  _xlfn.IFS(
    COUNTA(C509:K509)=0,"Blank",
AND(_xlpm.missing=FALSE,ROWS(_xlpm.missing)=1),"Complete",
    ROWS(_xlpm.missing)&gt;0,_xlpm.missing_string,
    TRUE,"Error"
  )
)</f>
        <v>Blank</v>
      </c>
      <c r="B5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0" spans="1:2" x14ac:dyDescent="0.3">
      <c r="A510" s="2" t="str" cm="1">
        <f t="array" ref="A510">_xlfn.LET(
  _xlpm.key,_xlfn.TEXTSPLIT("Email,Org,IRN,Impact",","),
  _xlpm.complete,ISBLANK(H510:K510),
  _xlpm.missing,_xlfn._xlws.FILTER(_xlpm.key,_xlpm.complete,FALSE()),
  _xlpm.missing_string,"Missing: "&amp;_xlfn.TEXTJOIN(", ",TRUE,_xlpm.missing),
  _xlfn.IFS(
    COUNTA(C510:K510)=0,"Blank",
AND(_xlpm.missing=FALSE,ROWS(_xlpm.missing)=1),"Complete",
    ROWS(_xlpm.missing)&gt;0,_xlpm.missing_string,
    TRUE,"Error"
  )
)</f>
        <v>Blank</v>
      </c>
      <c r="B5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1" spans="1:2" x14ac:dyDescent="0.3">
      <c r="A511" s="2" t="str" cm="1">
        <f t="array" ref="A511">_xlfn.LET(
  _xlpm.key,_xlfn.TEXTSPLIT("Email,Org,IRN,Impact",","),
  _xlpm.complete,ISBLANK(H511:K511),
  _xlpm.missing,_xlfn._xlws.FILTER(_xlpm.key,_xlpm.complete,FALSE()),
  _xlpm.missing_string,"Missing: "&amp;_xlfn.TEXTJOIN(", ",TRUE,_xlpm.missing),
  _xlfn.IFS(
    COUNTA(C511:K511)=0,"Blank",
AND(_xlpm.missing=FALSE,ROWS(_xlpm.missing)=1),"Complete",
    ROWS(_xlpm.missing)&gt;0,_xlpm.missing_string,
    TRUE,"Error"
  )
)</f>
        <v>Blank</v>
      </c>
      <c r="B5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2" spans="1:2" x14ac:dyDescent="0.3">
      <c r="A512" s="2" t="str" cm="1">
        <f t="array" ref="A512">_xlfn.LET(
  _xlpm.key,_xlfn.TEXTSPLIT("Email,Org,IRN,Impact",","),
  _xlpm.complete,ISBLANK(H512:K512),
  _xlpm.missing,_xlfn._xlws.FILTER(_xlpm.key,_xlpm.complete,FALSE()),
  _xlpm.missing_string,"Missing: "&amp;_xlfn.TEXTJOIN(", ",TRUE,_xlpm.missing),
  _xlfn.IFS(
    COUNTA(C512:K512)=0,"Blank",
AND(_xlpm.missing=FALSE,ROWS(_xlpm.missing)=1),"Complete",
    ROWS(_xlpm.missing)&gt;0,_xlpm.missing_string,
    TRUE,"Error"
  )
)</f>
        <v>Blank</v>
      </c>
      <c r="B5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3" spans="1:2" x14ac:dyDescent="0.3">
      <c r="A513" s="2" t="str" cm="1">
        <f t="array" ref="A513">_xlfn.LET(
  _xlpm.key,_xlfn.TEXTSPLIT("Email,Org,IRN,Impact",","),
  _xlpm.complete,ISBLANK(H513:K513),
  _xlpm.missing,_xlfn._xlws.FILTER(_xlpm.key,_xlpm.complete,FALSE()),
  _xlpm.missing_string,"Missing: "&amp;_xlfn.TEXTJOIN(", ",TRUE,_xlpm.missing),
  _xlfn.IFS(
    COUNTA(C513:K513)=0,"Blank",
AND(_xlpm.missing=FALSE,ROWS(_xlpm.missing)=1),"Complete",
    ROWS(_xlpm.missing)&gt;0,_xlpm.missing_string,
    TRUE,"Error"
  )
)</f>
        <v>Blank</v>
      </c>
      <c r="B5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4" spans="1:2" x14ac:dyDescent="0.3">
      <c r="A514" s="2" t="str" cm="1">
        <f t="array" ref="A514">_xlfn.LET(
  _xlpm.key,_xlfn.TEXTSPLIT("Email,Org,IRN,Impact",","),
  _xlpm.complete,ISBLANK(H514:K514),
  _xlpm.missing,_xlfn._xlws.FILTER(_xlpm.key,_xlpm.complete,FALSE()),
  _xlpm.missing_string,"Missing: "&amp;_xlfn.TEXTJOIN(", ",TRUE,_xlpm.missing),
  _xlfn.IFS(
    COUNTA(C514:K514)=0,"Blank",
AND(_xlpm.missing=FALSE,ROWS(_xlpm.missing)=1),"Complete",
    ROWS(_xlpm.missing)&gt;0,_xlpm.missing_string,
    TRUE,"Error"
  )
)</f>
        <v>Blank</v>
      </c>
      <c r="B5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5" spans="1:2" x14ac:dyDescent="0.3">
      <c r="A515" s="2" t="str" cm="1">
        <f t="array" ref="A515">_xlfn.LET(
  _xlpm.key,_xlfn.TEXTSPLIT("Email,Org,IRN,Impact",","),
  _xlpm.complete,ISBLANK(H515:K515),
  _xlpm.missing,_xlfn._xlws.FILTER(_xlpm.key,_xlpm.complete,FALSE()),
  _xlpm.missing_string,"Missing: "&amp;_xlfn.TEXTJOIN(", ",TRUE,_xlpm.missing),
  _xlfn.IFS(
    COUNTA(C515:K515)=0,"Blank",
AND(_xlpm.missing=FALSE,ROWS(_xlpm.missing)=1),"Complete",
    ROWS(_xlpm.missing)&gt;0,_xlpm.missing_string,
    TRUE,"Error"
  )
)</f>
        <v>Blank</v>
      </c>
      <c r="B5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6" spans="1:2" x14ac:dyDescent="0.3">
      <c r="A516" s="2" t="str" cm="1">
        <f t="array" ref="A516">_xlfn.LET(
  _xlpm.key,_xlfn.TEXTSPLIT("Email,Org,IRN,Impact",","),
  _xlpm.complete,ISBLANK(H516:K516),
  _xlpm.missing,_xlfn._xlws.FILTER(_xlpm.key,_xlpm.complete,FALSE()),
  _xlpm.missing_string,"Missing: "&amp;_xlfn.TEXTJOIN(", ",TRUE,_xlpm.missing),
  _xlfn.IFS(
    COUNTA(C516:K516)=0,"Blank",
AND(_xlpm.missing=FALSE,ROWS(_xlpm.missing)=1),"Complete",
    ROWS(_xlpm.missing)&gt;0,_xlpm.missing_string,
    TRUE,"Error"
  )
)</f>
        <v>Blank</v>
      </c>
      <c r="B5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7" spans="1:2" x14ac:dyDescent="0.3">
      <c r="A517" s="2" t="str" cm="1">
        <f t="array" ref="A517">_xlfn.LET(
  _xlpm.key,_xlfn.TEXTSPLIT("Email,Org,IRN,Impact",","),
  _xlpm.complete,ISBLANK(H517:K517),
  _xlpm.missing,_xlfn._xlws.FILTER(_xlpm.key,_xlpm.complete,FALSE()),
  _xlpm.missing_string,"Missing: "&amp;_xlfn.TEXTJOIN(", ",TRUE,_xlpm.missing),
  _xlfn.IFS(
    COUNTA(C517:K517)=0,"Blank",
AND(_xlpm.missing=FALSE,ROWS(_xlpm.missing)=1),"Complete",
    ROWS(_xlpm.missing)&gt;0,_xlpm.missing_string,
    TRUE,"Error"
  )
)</f>
        <v>Blank</v>
      </c>
      <c r="B5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8" spans="1:2" x14ac:dyDescent="0.3">
      <c r="A518" s="2" t="str" cm="1">
        <f t="array" ref="A518">_xlfn.LET(
  _xlpm.key,_xlfn.TEXTSPLIT("Email,Org,IRN,Impact",","),
  _xlpm.complete,ISBLANK(H518:K518),
  _xlpm.missing,_xlfn._xlws.FILTER(_xlpm.key,_xlpm.complete,FALSE()),
  _xlpm.missing_string,"Missing: "&amp;_xlfn.TEXTJOIN(", ",TRUE,_xlpm.missing),
  _xlfn.IFS(
    COUNTA(C518:K518)=0,"Blank",
AND(_xlpm.missing=FALSE,ROWS(_xlpm.missing)=1),"Complete",
    ROWS(_xlpm.missing)&gt;0,_xlpm.missing_string,
    TRUE,"Error"
  )
)</f>
        <v>Blank</v>
      </c>
      <c r="B5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19" spans="1:2" x14ac:dyDescent="0.3">
      <c r="A519" s="2" t="str" cm="1">
        <f t="array" ref="A519">_xlfn.LET(
  _xlpm.key,_xlfn.TEXTSPLIT("Email,Org,IRN,Impact",","),
  _xlpm.complete,ISBLANK(H519:K519),
  _xlpm.missing,_xlfn._xlws.FILTER(_xlpm.key,_xlpm.complete,FALSE()),
  _xlpm.missing_string,"Missing: "&amp;_xlfn.TEXTJOIN(", ",TRUE,_xlpm.missing),
  _xlfn.IFS(
    COUNTA(C519:K519)=0,"Blank",
AND(_xlpm.missing=FALSE,ROWS(_xlpm.missing)=1),"Complete",
    ROWS(_xlpm.missing)&gt;0,_xlpm.missing_string,
    TRUE,"Error"
  )
)</f>
        <v>Blank</v>
      </c>
      <c r="B5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0" spans="1:2" x14ac:dyDescent="0.3">
      <c r="A520" s="2" t="str" cm="1">
        <f t="array" ref="A520">_xlfn.LET(
  _xlpm.key,_xlfn.TEXTSPLIT("Email,Org,IRN,Impact",","),
  _xlpm.complete,ISBLANK(H520:K520),
  _xlpm.missing,_xlfn._xlws.FILTER(_xlpm.key,_xlpm.complete,FALSE()),
  _xlpm.missing_string,"Missing: "&amp;_xlfn.TEXTJOIN(", ",TRUE,_xlpm.missing),
  _xlfn.IFS(
    COUNTA(C520:K520)=0,"Blank",
AND(_xlpm.missing=FALSE,ROWS(_xlpm.missing)=1),"Complete",
    ROWS(_xlpm.missing)&gt;0,_xlpm.missing_string,
    TRUE,"Error"
  )
)</f>
        <v>Blank</v>
      </c>
      <c r="B5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1" spans="1:2" x14ac:dyDescent="0.3">
      <c r="A521" s="2" t="str" cm="1">
        <f t="array" ref="A521">_xlfn.LET(
  _xlpm.key,_xlfn.TEXTSPLIT("Email,Org,IRN,Impact",","),
  _xlpm.complete,ISBLANK(H521:K521),
  _xlpm.missing,_xlfn._xlws.FILTER(_xlpm.key,_xlpm.complete,FALSE()),
  _xlpm.missing_string,"Missing: "&amp;_xlfn.TEXTJOIN(", ",TRUE,_xlpm.missing),
  _xlfn.IFS(
    COUNTA(C521:K521)=0,"Blank",
AND(_xlpm.missing=FALSE,ROWS(_xlpm.missing)=1),"Complete",
    ROWS(_xlpm.missing)&gt;0,_xlpm.missing_string,
    TRUE,"Error"
  )
)</f>
        <v>Blank</v>
      </c>
      <c r="B5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2" spans="1:2" x14ac:dyDescent="0.3">
      <c r="A522" s="2" t="str" cm="1">
        <f t="array" ref="A522">_xlfn.LET(
  _xlpm.key,_xlfn.TEXTSPLIT("Email,Org,IRN,Impact",","),
  _xlpm.complete,ISBLANK(H522:K522),
  _xlpm.missing,_xlfn._xlws.FILTER(_xlpm.key,_xlpm.complete,FALSE()),
  _xlpm.missing_string,"Missing: "&amp;_xlfn.TEXTJOIN(", ",TRUE,_xlpm.missing),
  _xlfn.IFS(
    COUNTA(C522:K522)=0,"Blank",
AND(_xlpm.missing=FALSE,ROWS(_xlpm.missing)=1),"Complete",
    ROWS(_xlpm.missing)&gt;0,_xlpm.missing_string,
    TRUE,"Error"
  )
)</f>
        <v>Blank</v>
      </c>
      <c r="B5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3" spans="1:2" x14ac:dyDescent="0.3">
      <c r="A523" s="2" t="str" cm="1">
        <f t="array" ref="A523">_xlfn.LET(
  _xlpm.key,_xlfn.TEXTSPLIT("Email,Org,IRN,Impact",","),
  _xlpm.complete,ISBLANK(H523:K523),
  _xlpm.missing,_xlfn._xlws.FILTER(_xlpm.key,_xlpm.complete,FALSE()),
  _xlpm.missing_string,"Missing: "&amp;_xlfn.TEXTJOIN(", ",TRUE,_xlpm.missing),
  _xlfn.IFS(
    COUNTA(C523:K523)=0,"Blank",
AND(_xlpm.missing=FALSE,ROWS(_xlpm.missing)=1),"Complete",
    ROWS(_xlpm.missing)&gt;0,_xlpm.missing_string,
    TRUE,"Error"
  )
)</f>
        <v>Blank</v>
      </c>
      <c r="B5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4" spans="1:2" x14ac:dyDescent="0.3">
      <c r="A524" s="2" t="str" cm="1">
        <f t="array" ref="A524">_xlfn.LET(
  _xlpm.key,_xlfn.TEXTSPLIT("Email,Org,IRN,Impact",","),
  _xlpm.complete,ISBLANK(H524:K524),
  _xlpm.missing,_xlfn._xlws.FILTER(_xlpm.key,_xlpm.complete,FALSE()),
  _xlpm.missing_string,"Missing: "&amp;_xlfn.TEXTJOIN(", ",TRUE,_xlpm.missing),
  _xlfn.IFS(
    COUNTA(C524:K524)=0,"Blank",
AND(_xlpm.missing=FALSE,ROWS(_xlpm.missing)=1),"Complete",
    ROWS(_xlpm.missing)&gt;0,_xlpm.missing_string,
    TRUE,"Error"
  )
)</f>
        <v>Blank</v>
      </c>
      <c r="B5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5" spans="1:2" x14ac:dyDescent="0.3">
      <c r="A525" s="2" t="str" cm="1">
        <f t="array" ref="A525">_xlfn.LET(
  _xlpm.key,_xlfn.TEXTSPLIT("Email,Org,IRN,Impact",","),
  _xlpm.complete,ISBLANK(H525:K525),
  _xlpm.missing,_xlfn._xlws.FILTER(_xlpm.key,_xlpm.complete,FALSE()),
  _xlpm.missing_string,"Missing: "&amp;_xlfn.TEXTJOIN(", ",TRUE,_xlpm.missing),
  _xlfn.IFS(
    COUNTA(C525:K525)=0,"Blank",
AND(_xlpm.missing=FALSE,ROWS(_xlpm.missing)=1),"Complete",
    ROWS(_xlpm.missing)&gt;0,_xlpm.missing_string,
    TRUE,"Error"
  )
)</f>
        <v>Blank</v>
      </c>
      <c r="B5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6" spans="1:2" x14ac:dyDescent="0.3">
      <c r="A526" s="2" t="str" cm="1">
        <f t="array" ref="A526">_xlfn.LET(
  _xlpm.key,_xlfn.TEXTSPLIT("Email,Org,IRN,Impact",","),
  _xlpm.complete,ISBLANK(H526:K526),
  _xlpm.missing,_xlfn._xlws.FILTER(_xlpm.key,_xlpm.complete,FALSE()),
  _xlpm.missing_string,"Missing: "&amp;_xlfn.TEXTJOIN(", ",TRUE,_xlpm.missing),
  _xlfn.IFS(
    COUNTA(C526:K526)=0,"Blank",
AND(_xlpm.missing=FALSE,ROWS(_xlpm.missing)=1),"Complete",
    ROWS(_xlpm.missing)&gt;0,_xlpm.missing_string,
    TRUE,"Error"
  )
)</f>
        <v>Blank</v>
      </c>
      <c r="B5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7" spans="1:2" x14ac:dyDescent="0.3">
      <c r="A527" s="2" t="str" cm="1">
        <f t="array" ref="A527">_xlfn.LET(
  _xlpm.key,_xlfn.TEXTSPLIT("Email,Org,IRN,Impact",","),
  _xlpm.complete,ISBLANK(H527:K527),
  _xlpm.missing,_xlfn._xlws.FILTER(_xlpm.key,_xlpm.complete,FALSE()),
  _xlpm.missing_string,"Missing: "&amp;_xlfn.TEXTJOIN(", ",TRUE,_xlpm.missing),
  _xlfn.IFS(
    COUNTA(C527:K527)=0,"Blank",
AND(_xlpm.missing=FALSE,ROWS(_xlpm.missing)=1),"Complete",
    ROWS(_xlpm.missing)&gt;0,_xlpm.missing_string,
    TRUE,"Error"
  )
)</f>
        <v>Blank</v>
      </c>
      <c r="B5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8" spans="1:2" x14ac:dyDescent="0.3">
      <c r="A528" s="2" t="str" cm="1">
        <f t="array" ref="A528">_xlfn.LET(
  _xlpm.key,_xlfn.TEXTSPLIT("Email,Org,IRN,Impact",","),
  _xlpm.complete,ISBLANK(H528:K528),
  _xlpm.missing,_xlfn._xlws.FILTER(_xlpm.key,_xlpm.complete,FALSE()),
  _xlpm.missing_string,"Missing: "&amp;_xlfn.TEXTJOIN(", ",TRUE,_xlpm.missing),
  _xlfn.IFS(
    COUNTA(C528:K528)=0,"Blank",
AND(_xlpm.missing=FALSE,ROWS(_xlpm.missing)=1),"Complete",
    ROWS(_xlpm.missing)&gt;0,_xlpm.missing_string,
    TRUE,"Error"
  )
)</f>
        <v>Blank</v>
      </c>
      <c r="B5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29" spans="1:2" x14ac:dyDescent="0.3">
      <c r="A529" s="2" t="str" cm="1">
        <f t="array" ref="A529">_xlfn.LET(
  _xlpm.key,_xlfn.TEXTSPLIT("Email,Org,IRN,Impact",","),
  _xlpm.complete,ISBLANK(H529:K529),
  _xlpm.missing,_xlfn._xlws.FILTER(_xlpm.key,_xlpm.complete,FALSE()),
  _xlpm.missing_string,"Missing: "&amp;_xlfn.TEXTJOIN(", ",TRUE,_xlpm.missing),
  _xlfn.IFS(
    COUNTA(C529:K529)=0,"Blank",
AND(_xlpm.missing=FALSE,ROWS(_xlpm.missing)=1),"Complete",
    ROWS(_xlpm.missing)&gt;0,_xlpm.missing_string,
    TRUE,"Error"
  )
)</f>
        <v>Blank</v>
      </c>
      <c r="B5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0" spans="1:2" x14ac:dyDescent="0.3">
      <c r="A530" s="2" t="str" cm="1">
        <f t="array" ref="A530">_xlfn.LET(
  _xlpm.key,_xlfn.TEXTSPLIT("Email,Org,IRN,Impact",","),
  _xlpm.complete,ISBLANK(H530:K530),
  _xlpm.missing,_xlfn._xlws.FILTER(_xlpm.key,_xlpm.complete,FALSE()),
  _xlpm.missing_string,"Missing: "&amp;_xlfn.TEXTJOIN(", ",TRUE,_xlpm.missing),
  _xlfn.IFS(
    COUNTA(C530:K530)=0,"Blank",
AND(_xlpm.missing=FALSE,ROWS(_xlpm.missing)=1),"Complete",
    ROWS(_xlpm.missing)&gt;0,_xlpm.missing_string,
    TRUE,"Error"
  )
)</f>
        <v>Blank</v>
      </c>
      <c r="B5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1" spans="1:2" x14ac:dyDescent="0.3">
      <c r="A531" s="2" t="str" cm="1">
        <f t="array" ref="A531">_xlfn.LET(
  _xlpm.key,_xlfn.TEXTSPLIT("Email,Org,IRN,Impact",","),
  _xlpm.complete,ISBLANK(H531:K531),
  _xlpm.missing,_xlfn._xlws.FILTER(_xlpm.key,_xlpm.complete,FALSE()),
  _xlpm.missing_string,"Missing: "&amp;_xlfn.TEXTJOIN(", ",TRUE,_xlpm.missing),
  _xlfn.IFS(
    COUNTA(C531:K531)=0,"Blank",
AND(_xlpm.missing=FALSE,ROWS(_xlpm.missing)=1),"Complete",
    ROWS(_xlpm.missing)&gt;0,_xlpm.missing_string,
    TRUE,"Error"
  )
)</f>
        <v>Blank</v>
      </c>
      <c r="B5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2" spans="1:2" x14ac:dyDescent="0.3">
      <c r="A532" s="2" t="str" cm="1">
        <f t="array" ref="A532">_xlfn.LET(
  _xlpm.key,_xlfn.TEXTSPLIT("Email,Org,IRN,Impact",","),
  _xlpm.complete,ISBLANK(H532:K532),
  _xlpm.missing,_xlfn._xlws.FILTER(_xlpm.key,_xlpm.complete,FALSE()),
  _xlpm.missing_string,"Missing: "&amp;_xlfn.TEXTJOIN(", ",TRUE,_xlpm.missing),
  _xlfn.IFS(
    COUNTA(C532:K532)=0,"Blank",
AND(_xlpm.missing=FALSE,ROWS(_xlpm.missing)=1),"Complete",
    ROWS(_xlpm.missing)&gt;0,_xlpm.missing_string,
    TRUE,"Error"
  )
)</f>
        <v>Blank</v>
      </c>
      <c r="B5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3" spans="1:2" x14ac:dyDescent="0.3">
      <c r="A533" s="2" t="str" cm="1">
        <f t="array" ref="A533">_xlfn.LET(
  _xlpm.key,_xlfn.TEXTSPLIT("Email,Org,IRN,Impact",","),
  _xlpm.complete,ISBLANK(H533:K533),
  _xlpm.missing,_xlfn._xlws.FILTER(_xlpm.key,_xlpm.complete,FALSE()),
  _xlpm.missing_string,"Missing: "&amp;_xlfn.TEXTJOIN(", ",TRUE,_xlpm.missing),
  _xlfn.IFS(
    COUNTA(C533:K533)=0,"Blank",
AND(_xlpm.missing=FALSE,ROWS(_xlpm.missing)=1),"Complete",
    ROWS(_xlpm.missing)&gt;0,_xlpm.missing_string,
    TRUE,"Error"
  )
)</f>
        <v>Blank</v>
      </c>
      <c r="B5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4" spans="1:2" x14ac:dyDescent="0.3">
      <c r="A534" s="2" t="str" cm="1">
        <f t="array" ref="A534">_xlfn.LET(
  _xlpm.key,_xlfn.TEXTSPLIT("Email,Org,IRN,Impact",","),
  _xlpm.complete,ISBLANK(H534:K534),
  _xlpm.missing,_xlfn._xlws.FILTER(_xlpm.key,_xlpm.complete,FALSE()),
  _xlpm.missing_string,"Missing: "&amp;_xlfn.TEXTJOIN(", ",TRUE,_xlpm.missing),
  _xlfn.IFS(
    COUNTA(C534:K534)=0,"Blank",
AND(_xlpm.missing=FALSE,ROWS(_xlpm.missing)=1),"Complete",
    ROWS(_xlpm.missing)&gt;0,_xlpm.missing_string,
    TRUE,"Error"
  )
)</f>
        <v>Blank</v>
      </c>
      <c r="B5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5" spans="1:2" x14ac:dyDescent="0.3">
      <c r="A535" s="2" t="str" cm="1">
        <f t="array" ref="A535">_xlfn.LET(
  _xlpm.key,_xlfn.TEXTSPLIT("Email,Org,IRN,Impact",","),
  _xlpm.complete,ISBLANK(H535:K535),
  _xlpm.missing,_xlfn._xlws.FILTER(_xlpm.key,_xlpm.complete,FALSE()),
  _xlpm.missing_string,"Missing: "&amp;_xlfn.TEXTJOIN(", ",TRUE,_xlpm.missing),
  _xlfn.IFS(
    COUNTA(C535:K535)=0,"Blank",
AND(_xlpm.missing=FALSE,ROWS(_xlpm.missing)=1),"Complete",
    ROWS(_xlpm.missing)&gt;0,_xlpm.missing_string,
    TRUE,"Error"
  )
)</f>
        <v>Blank</v>
      </c>
      <c r="B5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6" spans="1:2" x14ac:dyDescent="0.3">
      <c r="A536" s="2" t="str" cm="1">
        <f t="array" ref="A536">_xlfn.LET(
  _xlpm.key,_xlfn.TEXTSPLIT("Email,Org,IRN,Impact",","),
  _xlpm.complete,ISBLANK(H536:K536),
  _xlpm.missing,_xlfn._xlws.FILTER(_xlpm.key,_xlpm.complete,FALSE()),
  _xlpm.missing_string,"Missing: "&amp;_xlfn.TEXTJOIN(", ",TRUE,_xlpm.missing),
  _xlfn.IFS(
    COUNTA(C536:K536)=0,"Blank",
AND(_xlpm.missing=FALSE,ROWS(_xlpm.missing)=1),"Complete",
    ROWS(_xlpm.missing)&gt;0,_xlpm.missing_string,
    TRUE,"Error"
  )
)</f>
        <v>Blank</v>
      </c>
      <c r="B5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7" spans="1:2" x14ac:dyDescent="0.3">
      <c r="A537" s="2" t="str" cm="1">
        <f t="array" ref="A537">_xlfn.LET(
  _xlpm.key,_xlfn.TEXTSPLIT("Email,Org,IRN,Impact",","),
  _xlpm.complete,ISBLANK(H537:K537),
  _xlpm.missing,_xlfn._xlws.FILTER(_xlpm.key,_xlpm.complete,FALSE()),
  _xlpm.missing_string,"Missing: "&amp;_xlfn.TEXTJOIN(", ",TRUE,_xlpm.missing),
  _xlfn.IFS(
    COUNTA(C537:K537)=0,"Blank",
AND(_xlpm.missing=FALSE,ROWS(_xlpm.missing)=1),"Complete",
    ROWS(_xlpm.missing)&gt;0,_xlpm.missing_string,
    TRUE,"Error"
  )
)</f>
        <v>Blank</v>
      </c>
      <c r="B5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8" spans="1:2" x14ac:dyDescent="0.3">
      <c r="A538" s="2" t="str" cm="1">
        <f t="array" ref="A538">_xlfn.LET(
  _xlpm.key,_xlfn.TEXTSPLIT("Email,Org,IRN,Impact",","),
  _xlpm.complete,ISBLANK(H538:K538),
  _xlpm.missing,_xlfn._xlws.FILTER(_xlpm.key,_xlpm.complete,FALSE()),
  _xlpm.missing_string,"Missing: "&amp;_xlfn.TEXTJOIN(", ",TRUE,_xlpm.missing),
  _xlfn.IFS(
    COUNTA(C538:K538)=0,"Blank",
AND(_xlpm.missing=FALSE,ROWS(_xlpm.missing)=1),"Complete",
    ROWS(_xlpm.missing)&gt;0,_xlpm.missing_string,
    TRUE,"Error"
  )
)</f>
        <v>Blank</v>
      </c>
      <c r="B5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39" spans="1:2" x14ac:dyDescent="0.3">
      <c r="A539" s="2" t="str" cm="1">
        <f t="array" ref="A539">_xlfn.LET(
  _xlpm.key,_xlfn.TEXTSPLIT("Email,Org,IRN,Impact",","),
  _xlpm.complete,ISBLANK(H539:K539),
  _xlpm.missing,_xlfn._xlws.FILTER(_xlpm.key,_xlpm.complete,FALSE()),
  _xlpm.missing_string,"Missing: "&amp;_xlfn.TEXTJOIN(", ",TRUE,_xlpm.missing),
  _xlfn.IFS(
    COUNTA(C539:K539)=0,"Blank",
AND(_xlpm.missing=FALSE,ROWS(_xlpm.missing)=1),"Complete",
    ROWS(_xlpm.missing)&gt;0,_xlpm.missing_string,
    TRUE,"Error"
  )
)</f>
        <v>Blank</v>
      </c>
      <c r="B5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0" spans="1:2" x14ac:dyDescent="0.3">
      <c r="A540" s="2" t="str" cm="1">
        <f t="array" ref="A540">_xlfn.LET(
  _xlpm.key,_xlfn.TEXTSPLIT("Email,Org,IRN,Impact",","),
  _xlpm.complete,ISBLANK(H540:K540),
  _xlpm.missing,_xlfn._xlws.FILTER(_xlpm.key,_xlpm.complete,FALSE()),
  _xlpm.missing_string,"Missing: "&amp;_xlfn.TEXTJOIN(", ",TRUE,_xlpm.missing),
  _xlfn.IFS(
    COUNTA(C540:K540)=0,"Blank",
AND(_xlpm.missing=FALSE,ROWS(_xlpm.missing)=1),"Complete",
    ROWS(_xlpm.missing)&gt;0,_xlpm.missing_string,
    TRUE,"Error"
  )
)</f>
        <v>Blank</v>
      </c>
      <c r="B5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1" spans="1:2" x14ac:dyDescent="0.3">
      <c r="A541" s="2" t="str" cm="1">
        <f t="array" ref="A541">_xlfn.LET(
  _xlpm.key,_xlfn.TEXTSPLIT("Email,Org,IRN,Impact",","),
  _xlpm.complete,ISBLANK(H541:K541),
  _xlpm.missing,_xlfn._xlws.FILTER(_xlpm.key,_xlpm.complete,FALSE()),
  _xlpm.missing_string,"Missing: "&amp;_xlfn.TEXTJOIN(", ",TRUE,_xlpm.missing),
  _xlfn.IFS(
    COUNTA(C541:K541)=0,"Blank",
AND(_xlpm.missing=FALSE,ROWS(_xlpm.missing)=1),"Complete",
    ROWS(_xlpm.missing)&gt;0,_xlpm.missing_string,
    TRUE,"Error"
  )
)</f>
        <v>Blank</v>
      </c>
      <c r="B5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2" spans="1:2" x14ac:dyDescent="0.3">
      <c r="A542" s="2" t="str" cm="1">
        <f t="array" ref="A542">_xlfn.LET(
  _xlpm.key,_xlfn.TEXTSPLIT("Email,Org,IRN,Impact",","),
  _xlpm.complete,ISBLANK(H542:K542),
  _xlpm.missing,_xlfn._xlws.FILTER(_xlpm.key,_xlpm.complete,FALSE()),
  _xlpm.missing_string,"Missing: "&amp;_xlfn.TEXTJOIN(", ",TRUE,_xlpm.missing),
  _xlfn.IFS(
    COUNTA(C542:K542)=0,"Blank",
AND(_xlpm.missing=FALSE,ROWS(_xlpm.missing)=1),"Complete",
    ROWS(_xlpm.missing)&gt;0,_xlpm.missing_string,
    TRUE,"Error"
  )
)</f>
        <v>Blank</v>
      </c>
      <c r="B5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3" spans="1:2" x14ac:dyDescent="0.3">
      <c r="A543" s="2" t="str" cm="1">
        <f t="array" ref="A543">_xlfn.LET(
  _xlpm.key,_xlfn.TEXTSPLIT("Email,Org,IRN,Impact",","),
  _xlpm.complete,ISBLANK(H543:K543),
  _xlpm.missing,_xlfn._xlws.FILTER(_xlpm.key,_xlpm.complete,FALSE()),
  _xlpm.missing_string,"Missing: "&amp;_xlfn.TEXTJOIN(", ",TRUE,_xlpm.missing),
  _xlfn.IFS(
    COUNTA(C543:K543)=0,"Blank",
AND(_xlpm.missing=FALSE,ROWS(_xlpm.missing)=1),"Complete",
    ROWS(_xlpm.missing)&gt;0,_xlpm.missing_string,
    TRUE,"Error"
  )
)</f>
        <v>Blank</v>
      </c>
      <c r="B5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4" spans="1:2" x14ac:dyDescent="0.3">
      <c r="A544" s="2" t="str" cm="1">
        <f t="array" ref="A544">_xlfn.LET(
  _xlpm.key,_xlfn.TEXTSPLIT("Email,Org,IRN,Impact",","),
  _xlpm.complete,ISBLANK(H544:K544),
  _xlpm.missing,_xlfn._xlws.FILTER(_xlpm.key,_xlpm.complete,FALSE()),
  _xlpm.missing_string,"Missing: "&amp;_xlfn.TEXTJOIN(", ",TRUE,_xlpm.missing),
  _xlfn.IFS(
    COUNTA(C544:K544)=0,"Blank",
AND(_xlpm.missing=FALSE,ROWS(_xlpm.missing)=1),"Complete",
    ROWS(_xlpm.missing)&gt;0,_xlpm.missing_string,
    TRUE,"Error"
  )
)</f>
        <v>Blank</v>
      </c>
      <c r="B5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5" spans="1:2" x14ac:dyDescent="0.3">
      <c r="A545" s="2" t="str" cm="1">
        <f t="array" ref="A545">_xlfn.LET(
  _xlpm.key,_xlfn.TEXTSPLIT("Email,Org,IRN,Impact",","),
  _xlpm.complete,ISBLANK(H545:K545),
  _xlpm.missing,_xlfn._xlws.FILTER(_xlpm.key,_xlpm.complete,FALSE()),
  _xlpm.missing_string,"Missing: "&amp;_xlfn.TEXTJOIN(", ",TRUE,_xlpm.missing),
  _xlfn.IFS(
    COUNTA(C545:K545)=0,"Blank",
AND(_xlpm.missing=FALSE,ROWS(_xlpm.missing)=1),"Complete",
    ROWS(_xlpm.missing)&gt;0,_xlpm.missing_string,
    TRUE,"Error"
  )
)</f>
        <v>Blank</v>
      </c>
      <c r="B5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6" spans="1:2" x14ac:dyDescent="0.3">
      <c r="A546" s="2" t="str" cm="1">
        <f t="array" ref="A546">_xlfn.LET(
  _xlpm.key,_xlfn.TEXTSPLIT("Email,Org,IRN,Impact",","),
  _xlpm.complete,ISBLANK(H546:K546),
  _xlpm.missing,_xlfn._xlws.FILTER(_xlpm.key,_xlpm.complete,FALSE()),
  _xlpm.missing_string,"Missing: "&amp;_xlfn.TEXTJOIN(", ",TRUE,_xlpm.missing),
  _xlfn.IFS(
    COUNTA(C546:K546)=0,"Blank",
AND(_xlpm.missing=FALSE,ROWS(_xlpm.missing)=1),"Complete",
    ROWS(_xlpm.missing)&gt;0,_xlpm.missing_string,
    TRUE,"Error"
  )
)</f>
        <v>Blank</v>
      </c>
      <c r="B5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7" spans="1:2" x14ac:dyDescent="0.3">
      <c r="A547" s="2" t="str" cm="1">
        <f t="array" ref="A547">_xlfn.LET(
  _xlpm.key,_xlfn.TEXTSPLIT("Email,Org,IRN,Impact",","),
  _xlpm.complete,ISBLANK(H547:K547),
  _xlpm.missing,_xlfn._xlws.FILTER(_xlpm.key,_xlpm.complete,FALSE()),
  _xlpm.missing_string,"Missing: "&amp;_xlfn.TEXTJOIN(", ",TRUE,_xlpm.missing),
  _xlfn.IFS(
    COUNTA(C547:K547)=0,"Blank",
AND(_xlpm.missing=FALSE,ROWS(_xlpm.missing)=1),"Complete",
    ROWS(_xlpm.missing)&gt;0,_xlpm.missing_string,
    TRUE,"Error"
  )
)</f>
        <v>Blank</v>
      </c>
      <c r="B5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8" spans="1:2" x14ac:dyDescent="0.3">
      <c r="A548" s="2" t="str" cm="1">
        <f t="array" ref="A548">_xlfn.LET(
  _xlpm.key,_xlfn.TEXTSPLIT("Email,Org,IRN,Impact",","),
  _xlpm.complete,ISBLANK(H548:K548),
  _xlpm.missing,_xlfn._xlws.FILTER(_xlpm.key,_xlpm.complete,FALSE()),
  _xlpm.missing_string,"Missing: "&amp;_xlfn.TEXTJOIN(", ",TRUE,_xlpm.missing),
  _xlfn.IFS(
    COUNTA(C548:K548)=0,"Blank",
AND(_xlpm.missing=FALSE,ROWS(_xlpm.missing)=1),"Complete",
    ROWS(_xlpm.missing)&gt;0,_xlpm.missing_string,
    TRUE,"Error"
  )
)</f>
        <v>Blank</v>
      </c>
      <c r="B5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49" spans="1:2" x14ac:dyDescent="0.3">
      <c r="A549" s="2" t="str" cm="1">
        <f t="array" ref="A549">_xlfn.LET(
  _xlpm.key,_xlfn.TEXTSPLIT("Email,Org,IRN,Impact",","),
  _xlpm.complete,ISBLANK(H549:K549),
  _xlpm.missing,_xlfn._xlws.FILTER(_xlpm.key,_xlpm.complete,FALSE()),
  _xlpm.missing_string,"Missing: "&amp;_xlfn.TEXTJOIN(", ",TRUE,_xlpm.missing),
  _xlfn.IFS(
    COUNTA(C549:K549)=0,"Blank",
AND(_xlpm.missing=FALSE,ROWS(_xlpm.missing)=1),"Complete",
    ROWS(_xlpm.missing)&gt;0,_xlpm.missing_string,
    TRUE,"Error"
  )
)</f>
        <v>Blank</v>
      </c>
      <c r="B5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0" spans="1:2" x14ac:dyDescent="0.3">
      <c r="A550" s="2" t="str" cm="1">
        <f t="array" ref="A550">_xlfn.LET(
  _xlpm.key,_xlfn.TEXTSPLIT("Email,Org,IRN,Impact",","),
  _xlpm.complete,ISBLANK(H550:K550),
  _xlpm.missing,_xlfn._xlws.FILTER(_xlpm.key,_xlpm.complete,FALSE()),
  _xlpm.missing_string,"Missing: "&amp;_xlfn.TEXTJOIN(", ",TRUE,_xlpm.missing),
  _xlfn.IFS(
    COUNTA(C550:K550)=0,"Blank",
AND(_xlpm.missing=FALSE,ROWS(_xlpm.missing)=1),"Complete",
    ROWS(_xlpm.missing)&gt;0,_xlpm.missing_string,
    TRUE,"Error"
  )
)</f>
        <v>Blank</v>
      </c>
      <c r="B5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1" spans="1:2" x14ac:dyDescent="0.3">
      <c r="A551" s="2" t="str" cm="1">
        <f t="array" ref="A551">_xlfn.LET(
  _xlpm.key,_xlfn.TEXTSPLIT("Email,Org,IRN,Impact",","),
  _xlpm.complete,ISBLANK(H551:K551),
  _xlpm.missing,_xlfn._xlws.FILTER(_xlpm.key,_xlpm.complete,FALSE()),
  _xlpm.missing_string,"Missing: "&amp;_xlfn.TEXTJOIN(", ",TRUE,_xlpm.missing),
  _xlfn.IFS(
    COUNTA(C551:K551)=0,"Blank",
AND(_xlpm.missing=FALSE,ROWS(_xlpm.missing)=1),"Complete",
    ROWS(_xlpm.missing)&gt;0,_xlpm.missing_string,
    TRUE,"Error"
  )
)</f>
        <v>Blank</v>
      </c>
      <c r="B5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2" spans="1:2" x14ac:dyDescent="0.3">
      <c r="A552" s="2" t="str" cm="1">
        <f t="array" ref="A552">_xlfn.LET(
  _xlpm.key,_xlfn.TEXTSPLIT("Email,Org,IRN,Impact",","),
  _xlpm.complete,ISBLANK(H552:K552),
  _xlpm.missing,_xlfn._xlws.FILTER(_xlpm.key,_xlpm.complete,FALSE()),
  _xlpm.missing_string,"Missing: "&amp;_xlfn.TEXTJOIN(", ",TRUE,_xlpm.missing),
  _xlfn.IFS(
    COUNTA(C552:K552)=0,"Blank",
AND(_xlpm.missing=FALSE,ROWS(_xlpm.missing)=1),"Complete",
    ROWS(_xlpm.missing)&gt;0,_xlpm.missing_string,
    TRUE,"Error"
  )
)</f>
        <v>Blank</v>
      </c>
      <c r="B5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3" spans="1:2" x14ac:dyDescent="0.3">
      <c r="A553" s="2" t="str" cm="1">
        <f t="array" ref="A553">_xlfn.LET(
  _xlpm.key,_xlfn.TEXTSPLIT("Email,Org,IRN,Impact",","),
  _xlpm.complete,ISBLANK(H553:K553),
  _xlpm.missing,_xlfn._xlws.FILTER(_xlpm.key,_xlpm.complete,FALSE()),
  _xlpm.missing_string,"Missing: "&amp;_xlfn.TEXTJOIN(", ",TRUE,_xlpm.missing),
  _xlfn.IFS(
    COUNTA(C553:K553)=0,"Blank",
AND(_xlpm.missing=FALSE,ROWS(_xlpm.missing)=1),"Complete",
    ROWS(_xlpm.missing)&gt;0,_xlpm.missing_string,
    TRUE,"Error"
  )
)</f>
        <v>Blank</v>
      </c>
      <c r="B5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4" spans="1:2" x14ac:dyDescent="0.3">
      <c r="A554" s="2" t="str" cm="1">
        <f t="array" ref="A554">_xlfn.LET(
  _xlpm.key,_xlfn.TEXTSPLIT("Email,Org,IRN,Impact",","),
  _xlpm.complete,ISBLANK(H554:K554),
  _xlpm.missing,_xlfn._xlws.FILTER(_xlpm.key,_xlpm.complete,FALSE()),
  _xlpm.missing_string,"Missing: "&amp;_xlfn.TEXTJOIN(", ",TRUE,_xlpm.missing),
  _xlfn.IFS(
    COUNTA(C554:K554)=0,"Blank",
AND(_xlpm.missing=FALSE,ROWS(_xlpm.missing)=1),"Complete",
    ROWS(_xlpm.missing)&gt;0,_xlpm.missing_string,
    TRUE,"Error"
  )
)</f>
        <v>Blank</v>
      </c>
      <c r="B5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5" spans="1:2" x14ac:dyDescent="0.3">
      <c r="A555" s="2" t="str" cm="1">
        <f t="array" ref="A555">_xlfn.LET(
  _xlpm.key,_xlfn.TEXTSPLIT("Email,Org,IRN,Impact",","),
  _xlpm.complete,ISBLANK(H555:K555),
  _xlpm.missing,_xlfn._xlws.FILTER(_xlpm.key,_xlpm.complete,FALSE()),
  _xlpm.missing_string,"Missing: "&amp;_xlfn.TEXTJOIN(", ",TRUE,_xlpm.missing),
  _xlfn.IFS(
    COUNTA(C555:K555)=0,"Blank",
AND(_xlpm.missing=FALSE,ROWS(_xlpm.missing)=1),"Complete",
    ROWS(_xlpm.missing)&gt;0,_xlpm.missing_string,
    TRUE,"Error"
  )
)</f>
        <v>Blank</v>
      </c>
      <c r="B5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6" spans="1:2" x14ac:dyDescent="0.3">
      <c r="A556" s="2" t="str" cm="1">
        <f t="array" ref="A556">_xlfn.LET(
  _xlpm.key,_xlfn.TEXTSPLIT("Email,Org,IRN,Impact",","),
  _xlpm.complete,ISBLANK(H556:K556),
  _xlpm.missing,_xlfn._xlws.FILTER(_xlpm.key,_xlpm.complete,FALSE()),
  _xlpm.missing_string,"Missing: "&amp;_xlfn.TEXTJOIN(", ",TRUE,_xlpm.missing),
  _xlfn.IFS(
    COUNTA(C556:K556)=0,"Blank",
AND(_xlpm.missing=FALSE,ROWS(_xlpm.missing)=1),"Complete",
    ROWS(_xlpm.missing)&gt;0,_xlpm.missing_string,
    TRUE,"Error"
  )
)</f>
        <v>Blank</v>
      </c>
      <c r="B5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7" spans="1:2" x14ac:dyDescent="0.3">
      <c r="A557" s="2" t="str" cm="1">
        <f t="array" ref="A557">_xlfn.LET(
  _xlpm.key,_xlfn.TEXTSPLIT("Email,Org,IRN,Impact",","),
  _xlpm.complete,ISBLANK(H557:K557),
  _xlpm.missing,_xlfn._xlws.FILTER(_xlpm.key,_xlpm.complete,FALSE()),
  _xlpm.missing_string,"Missing: "&amp;_xlfn.TEXTJOIN(", ",TRUE,_xlpm.missing),
  _xlfn.IFS(
    COUNTA(C557:K557)=0,"Blank",
AND(_xlpm.missing=FALSE,ROWS(_xlpm.missing)=1),"Complete",
    ROWS(_xlpm.missing)&gt;0,_xlpm.missing_string,
    TRUE,"Error"
  )
)</f>
        <v>Blank</v>
      </c>
      <c r="B5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8" spans="1:2" x14ac:dyDescent="0.3">
      <c r="A558" s="2" t="str" cm="1">
        <f t="array" ref="A558">_xlfn.LET(
  _xlpm.key,_xlfn.TEXTSPLIT("Email,Org,IRN,Impact",","),
  _xlpm.complete,ISBLANK(H558:K558),
  _xlpm.missing,_xlfn._xlws.FILTER(_xlpm.key,_xlpm.complete,FALSE()),
  _xlpm.missing_string,"Missing: "&amp;_xlfn.TEXTJOIN(", ",TRUE,_xlpm.missing),
  _xlfn.IFS(
    COUNTA(C558:K558)=0,"Blank",
AND(_xlpm.missing=FALSE,ROWS(_xlpm.missing)=1),"Complete",
    ROWS(_xlpm.missing)&gt;0,_xlpm.missing_string,
    TRUE,"Error"
  )
)</f>
        <v>Blank</v>
      </c>
      <c r="B5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59" spans="1:2" x14ac:dyDescent="0.3">
      <c r="A559" s="2" t="str" cm="1">
        <f t="array" ref="A559">_xlfn.LET(
  _xlpm.key,_xlfn.TEXTSPLIT("Email,Org,IRN,Impact",","),
  _xlpm.complete,ISBLANK(H559:K559),
  _xlpm.missing,_xlfn._xlws.FILTER(_xlpm.key,_xlpm.complete,FALSE()),
  _xlpm.missing_string,"Missing: "&amp;_xlfn.TEXTJOIN(", ",TRUE,_xlpm.missing),
  _xlfn.IFS(
    COUNTA(C559:K559)=0,"Blank",
AND(_xlpm.missing=FALSE,ROWS(_xlpm.missing)=1),"Complete",
    ROWS(_xlpm.missing)&gt;0,_xlpm.missing_string,
    TRUE,"Error"
  )
)</f>
        <v>Blank</v>
      </c>
      <c r="B5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0" spans="1:2" x14ac:dyDescent="0.3">
      <c r="A560" s="2" t="str" cm="1">
        <f t="array" ref="A560">_xlfn.LET(
  _xlpm.key,_xlfn.TEXTSPLIT("Email,Org,IRN,Impact",","),
  _xlpm.complete,ISBLANK(H560:K560),
  _xlpm.missing,_xlfn._xlws.FILTER(_xlpm.key,_xlpm.complete,FALSE()),
  _xlpm.missing_string,"Missing: "&amp;_xlfn.TEXTJOIN(", ",TRUE,_xlpm.missing),
  _xlfn.IFS(
    COUNTA(C560:K560)=0,"Blank",
AND(_xlpm.missing=FALSE,ROWS(_xlpm.missing)=1),"Complete",
    ROWS(_xlpm.missing)&gt;0,_xlpm.missing_string,
    TRUE,"Error"
  )
)</f>
        <v>Blank</v>
      </c>
      <c r="B5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1" spans="1:2" x14ac:dyDescent="0.3">
      <c r="A561" s="2" t="str" cm="1">
        <f t="array" ref="A561">_xlfn.LET(
  _xlpm.key,_xlfn.TEXTSPLIT("Email,Org,IRN,Impact",","),
  _xlpm.complete,ISBLANK(H561:K561),
  _xlpm.missing,_xlfn._xlws.FILTER(_xlpm.key,_xlpm.complete,FALSE()),
  _xlpm.missing_string,"Missing: "&amp;_xlfn.TEXTJOIN(", ",TRUE,_xlpm.missing),
  _xlfn.IFS(
    COUNTA(C561:K561)=0,"Blank",
AND(_xlpm.missing=FALSE,ROWS(_xlpm.missing)=1),"Complete",
    ROWS(_xlpm.missing)&gt;0,_xlpm.missing_string,
    TRUE,"Error"
  )
)</f>
        <v>Blank</v>
      </c>
      <c r="B5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2" spans="1:2" x14ac:dyDescent="0.3">
      <c r="A562" s="2" t="str" cm="1">
        <f t="array" ref="A562">_xlfn.LET(
  _xlpm.key,_xlfn.TEXTSPLIT("Email,Org,IRN,Impact",","),
  _xlpm.complete,ISBLANK(H562:K562),
  _xlpm.missing,_xlfn._xlws.FILTER(_xlpm.key,_xlpm.complete,FALSE()),
  _xlpm.missing_string,"Missing: "&amp;_xlfn.TEXTJOIN(", ",TRUE,_xlpm.missing),
  _xlfn.IFS(
    COUNTA(C562:K562)=0,"Blank",
AND(_xlpm.missing=FALSE,ROWS(_xlpm.missing)=1),"Complete",
    ROWS(_xlpm.missing)&gt;0,_xlpm.missing_string,
    TRUE,"Error"
  )
)</f>
        <v>Blank</v>
      </c>
      <c r="B5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3" spans="1:2" x14ac:dyDescent="0.3">
      <c r="A563" s="2" t="str" cm="1">
        <f t="array" ref="A563">_xlfn.LET(
  _xlpm.key,_xlfn.TEXTSPLIT("Email,Org,IRN,Impact",","),
  _xlpm.complete,ISBLANK(H563:K563),
  _xlpm.missing,_xlfn._xlws.FILTER(_xlpm.key,_xlpm.complete,FALSE()),
  _xlpm.missing_string,"Missing: "&amp;_xlfn.TEXTJOIN(", ",TRUE,_xlpm.missing),
  _xlfn.IFS(
    COUNTA(C563:K563)=0,"Blank",
AND(_xlpm.missing=FALSE,ROWS(_xlpm.missing)=1),"Complete",
    ROWS(_xlpm.missing)&gt;0,_xlpm.missing_string,
    TRUE,"Error"
  )
)</f>
        <v>Blank</v>
      </c>
      <c r="B5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4" spans="1:2" x14ac:dyDescent="0.3">
      <c r="A564" s="2" t="str" cm="1">
        <f t="array" ref="A564">_xlfn.LET(
  _xlpm.key,_xlfn.TEXTSPLIT("Email,Org,IRN,Impact",","),
  _xlpm.complete,ISBLANK(H564:K564),
  _xlpm.missing,_xlfn._xlws.FILTER(_xlpm.key,_xlpm.complete,FALSE()),
  _xlpm.missing_string,"Missing: "&amp;_xlfn.TEXTJOIN(", ",TRUE,_xlpm.missing),
  _xlfn.IFS(
    COUNTA(C564:K564)=0,"Blank",
AND(_xlpm.missing=FALSE,ROWS(_xlpm.missing)=1),"Complete",
    ROWS(_xlpm.missing)&gt;0,_xlpm.missing_string,
    TRUE,"Error"
  )
)</f>
        <v>Blank</v>
      </c>
      <c r="B5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5" spans="1:2" x14ac:dyDescent="0.3">
      <c r="A565" s="2" t="str" cm="1">
        <f t="array" ref="A565">_xlfn.LET(
  _xlpm.key,_xlfn.TEXTSPLIT("Email,Org,IRN,Impact",","),
  _xlpm.complete,ISBLANK(H565:K565),
  _xlpm.missing,_xlfn._xlws.FILTER(_xlpm.key,_xlpm.complete,FALSE()),
  _xlpm.missing_string,"Missing: "&amp;_xlfn.TEXTJOIN(", ",TRUE,_xlpm.missing),
  _xlfn.IFS(
    COUNTA(C565:K565)=0,"Blank",
AND(_xlpm.missing=FALSE,ROWS(_xlpm.missing)=1),"Complete",
    ROWS(_xlpm.missing)&gt;0,_xlpm.missing_string,
    TRUE,"Error"
  )
)</f>
        <v>Blank</v>
      </c>
      <c r="B5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6" spans="1:2" x14ac:dyDescent="0.3">
      <c r="A566" s="2" t="str" cm="1">
        <f t="array" ref="A566">_xlfn.LET(
  _xlpm.key,_xlfn.TEXTSPLIT("Email,Org,IRN,Impact",","),
  _xlpm.complete,ISBLANK(H566:K566),
  _xlpm.missing,_xlfn._xlws.FILTER(_xlpm.key,_xlpm.complete,FALSE()),
  _xlpm.missing_string,"Missing: "&amp;_xlfn.TEXTJOIN(", ",TRUE,_xlpm.missing),
  _xlfn.IFS(
    COUNTA(C566:K566)=0,"Blank",
AND(_xlpm.missing=FALSE,ROWS(_xlpm.missing)=1),"Complete",
    ROWS(_xlpm.missing)&gt;0,_xlpm.missing_string,
    TRUE,"Error"
  )
)</f>
        <v>Blank</v>
      </c>
      <c r="B5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7" spans="1:2" x14ac:dyDescent="0.3">
      <c r="A567" s="2" t="str" cm="1">
        <f t="array" ref="A567">_xlfn.LET(
  _xlpm.key,_xlfn.TEXTSPLIT("Email,Org,IRN,Impact",","),
  _xlpm.complete,ISBLANK(H567:K567),
  _xlpm.missing,_xlfn._xlws.FILTER(_xlpm.key,_xlpm.complete,FALSE()),
  _xlpm.missing_string,"Missing: "&amp;_xlfn.TEXTJOIN(", ",TRUE,_xlpm.missing),
  _xlfn.IFS(
    COUNTA(C567:K567)=0,"Blank",
AND(_xlpm.missing=FALSE,ROWS(_xlpm.missing)=1),"Complete",
    ROWS(_xlpm.missing)&gt;0,_xlpm.missing_string,
    TRUE,"Error"
  )
)</f>
        <v>Blank</v>
      </c>
      <c r="B5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8" spans="1:2" x14ac:dyDescent="0.3">
      <c r="A568" s="2" t="str" cm="1">
        <f t="array" ref="A568">_xlfn.LET(
  _xlpm.key,_xlfn.TEXTSPLIT("Email,Org,IRN,Impact",","),
  _xlpm.complete,ISBLANK(H568:K568),
  _xlpm.missing,_xlfn._xlws.FILTER(_xlpm.key,_xlpm.complete,FALSE()),
  _xlpm.missing_string,"Missing: "&amp;_xlfn.TEXTJOIN(", ",TRUE,_xlpm.missing),
  _xlfn.IFS(
    COUNTA(C568:K568)=0,"Blank",
AND(_xlpm.missing=FALSE,ROWS(_xlpm.missing)=1),"Complete",
    ROWS(_xlpm.missing)&gt;0,_xlpm.missing_string,
    TRUE,"Error"
  )
)</f>
        <v>Blank</v>
      </c>
      <c r="B5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69" spans="1:2" x14ac:dyDescent="0.3">
      <c r="A569" s="2" t="str" cm="1">
        <f t="array" ref="A569">_xlfn.LET(
  _xlpm.key,_xlfn.TEXTSPLIT("Email,Org,IRN,Impact",","),
  _xlpm.complete,ISBLANK(H569:K569),
  _xlpm.missing,_xlfn._xlws.FILTER(_xlpm.key,_xlpm.complete,FALSE()),
  _xlpm.missing_string,"Missing: "&amp;_xlfn.TEXTJOIN(", ",TRUE,_xlpm.missing),
  _xlfn.IFS(
    COUNTA(C569:K569)=0,"Blank",
AND(_xlpm.missing=FALSE,ROWS(_xlpm.missing)=1),"Complete",
    ROWS(_xlpm.missing)&gt;0,_xlpm.missing_string,
    TRUE,"Error"
  )
)</f>
        <v>Blank</v>
      </c>
      <c r="B5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0" spans="1:2" x14ac:dyDescent="0.3">
      <c r="A570" s="2" t="str" cm="1">
        <f t="array" ref="A570">_xlfn.LET(
  _xlpm.key,_xlfn.TEXTSPLIT("Email,Org,IRN,Impact",","),
  _xlpm.complete,ISBLANK(H570:K570),
  _xlpm.missing,_xlfn._xlws.FILTER(_xlpm.key,_xlpm.complete,FALSE()),
  _xlpm.missing_string,"Missing: "&amp;_xlfn.TEXTJOIN(", ",TRUE,_xlpm.missing),
  _xlfn.IFS(
    COUNTA(C570:K570)=0,"Blank",
AND(_xlpm.missing=FALSE,ROWS(_xlpm.missing)=1),"Complete",
    ROWS(_xlpm.missing)&gt;0,_xlpm.missing_string,
    TRUE,"Error"
  )
)</f>
        <v>Blank</v>
      </c>
      <c r="B5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1" spans="1:2" x14ac:dyDescent="0.3">
      <c r="A571" s="2" t="str" cm="1">
        <f t="array" ref="A571">_xlfn.LET(
  _xlpm.key,_xlfn.TEXTSPLIT("Email,Org,IRN,Impact",","),
  _xlpm.complete,ISBLANK(H571:K571),
  _xlpm.missing,_xlfn._xlws.FILTER(_xlpm.key,_xlpm.complete,FALSE()),
  _xlpm.missing_string,"Missing: "&amp;_xlfn.TEXTJOIN(", ",TRUE,_xlpm.missing),
  _xlfn.IFS(
    COUNTA(C571:K571)=0,"Blank",
AND(_xlpm.missing=FALSE,ROWS(_xlpm.missing)=1),"Complete",
    ROWS(_xlpm.missing)&gt;0,_xlpm.missing_string,
    TRUE,"Error"
  )
)</f>
        <v>Blank</v>
      </c>
      <c r="B5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2" spans="1:2" x14ac:dyDescent="0.3">
      <c r="A572" s="2" t="str" cm="1">
        <f t="array" ref="A572">_xlfn.LET(
  _xlpm.key,_xlfn.TEXTSPLIT("Email,Org,IRN,Impact",","),
  _xlpm.complete,ISBLANK(H572:K572),
  _xlpm.missing,_xlfn._xlws.FILTER(_xlpm.key,_xlpm.complete,FALSE()),
  _xlpm.missing_string,"Missing: "&amp;_xlfn.TEXTJOIN(", ",TRUE,_xlpm.missing),
  _xlfn.IFS(
    COUNTA(C572:K572)=0,"Blank",
AND(_xlpm.missing=FALSE,ROWS(_xlpm.missing)=1),"Complete",
    ROWS(_xlpm.missing)&gt;0,_xlpm.missing_string,
    TRUE,"Error"
  )
)</f>
        <v>Blank</v>
      </c>
      <c r="B5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3" spans="1:2" x14ac:dyDescent="0.3">
      <c r="A573" s="2" t="str" cm="1">
        <f t="array" ref="A573">_xlfn.LET(
  _xlpm.key,_xlfn.TEXTSPLIT("Email,Org,IRN,Impact",","),
  _xlpm.complete,ISBLANK(H573:K573),
  _xlpm.missing,_xlfn._xlws.FILTER(_xlpm.key,_xlpm.complete,FALSE()),
  _xlpm.missing_string,"Missing: "&amp;_xlfn.TEXTJOIN(", ",TRUE,_xlpm.missing),
  _xlfn.IFS(
    COUNTA(C573:K573)=0,"Blank",
AND(_xlpm.missing=FALSE,ROWS(_xlpm.missing)=1),"Complete",
    ROWS(_xlpm.missing)&gt;0,_xlpm.missing_string,
    TRUE,"Error"
  )
)</f>
        <v>Blank</v>
      </c>
      <c r="B5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4" spans="1:2" x14ac:dyDescent="0.3">
      <c r="A574" s="2" t="str" cm="1">
        <f t="array" ref="A574">_xlfn.LET(
  _xlpm.key,_xlfn.TEXTSPLIT("Email,Org,IRN,Impact",","),
  _xlpm.complete,ISBLANK(H574:K574),
  _xlpm.missing,_xlfn._xlws.FILTER(_xlpm.key,_xlpm.complete,FALSE()),
  _xlpm.missing_string,"Missing: "&amp;_xlfn.TEXTJOIN(", ",TRUE,_xlpm.missing),
  _xlfn.IFS(
    COUNTA(C574:K574)=0,"Blank",
AND(_xlpm.missing=FALSE,ROWS(_xlpm.missing)=1),"Complete",
    ROWS(_xlpm.missing)&gt;0,_xlpm.missing_string,
    TRUE,"Error"
  )
)</f>
        <v>Blank</v>
      </c>
      <c r="B5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5" spans="1:2" x14ac:dyDescent="0.3">
      <c r="A575" s="2" t="str" cm="1">
        <f t="array" ref="A575">_xlfn.LET(
  _xlpm.key,_xlfn.TEXTSPLIT("Email,Org,IRN,Impact",","),
  _xlpm.complete,ISBLANK(H575:K575),
  _xlpm.missing,_xlfn._xlws.FILTER(_xlpm.key,_xlpm.complete,FALSE()),
  _xlpm.missing_string,"Missing: "&amp;_xlfn.TEXTJOIN(", ",TRUE,_xlpm.missing),
  _xlfn.IFS(
    COUNTA(C575:K575)=0,"Blank",
AND(_xlpm.missing=FALSE,ROWS(_xlpm.missing)=1),"Complete",
    ROWS(_xlpm.missing)&gt;0,_xlpm.missing_string,
    TRUE,"Error"
  )
)</f>
        <v>Blank</v>
      </c>
      <c r="B5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6" spans="1:2" x14ac:dyDescent="0.3">
      <c r="A576" s="2" t="str" cm="1">
        <f t="array" ref="A576">_xlfn.LET(
  _xlpm.key,_xlfn.TEXTSPLIT("Email,Org,IRN,Impact",","),
  _xlpm.complete,ISBLANK(H576:K576),
  _xlpm.missing,_xlfn._xlws.FILTER(_xlpm.key,_xlpm.complete,FALSE()),
  _xlpm.missing_string,"Missing: "&amp;_xlfn.TEXTJOIN(", ",TRUE,_xlpm.missing),
  _xlfn.IFS(
    COUNTA(C576:K576)=0,"Blank",
AND(_xlpm.missing=FALSE,ROWS(_xlpm.missing)=1),"Complete",
    ROWS(_xlpm.missing)&gt;0,_xlpm.missing_string,
    TRUE,"Error"
  )
)</f>
        <v>Blank</v>
      </c>
      <c r="B5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7" spans="1:2" x14ac:dyDescent="0.3">
      <c r="A577" s="2" t="str" cm="1">
        <f t="array" ref="A577">_xlfn.LET(
  _xlpm.key,_xlfn.TEXTSPLIT("Email,Org,IRN,Impact",","),
  _xlpm.complete,ISBLANK(H577:K577),
  _xlpm.missing,_xlfn._xlws.FILTER(_xlpm.key,_xlpm.complete,FALSE()),
  _xlpm.missing_string,"Missing: "&amp;_xlfn.TEXTJOIN(", ",TRUE,_xlpm.missing),
  _xlfn.IFS(
    COUNTA(C577:K577)=0,"Blank",
AND(_xlpm.missing=FALSE,ROWS(_xlpm.missing)=1),"Complete",
    ROWS(_xlpm.missing)&gt;0,_xlpm.missing_string,
    TRUE,"Error"
  )
)</f>
        <v>Blank</v>
      </c>
      <c r="B5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8" spans="1:2" x14ac:dyDescent="0.3">
      <c r="A578" s="2" t="str" cm="1">
        <f t="array" ref="A578">_xlfn.LET(
  _xlpm.key,_xlfn.TEXTSPLIT("Email,Org,IRN,Impact",","),
  _xlpm.complete,ISBLANK(H578:K578),
  _xlpm.missing,_xlfn._xlws.FILTER(_xlpm.key,_xlpm.complete,FALSE()),
  _xlpm.missing_string,"Missing: "&amp;_xlfn.TEXTJOIN(", ",TRUE,_xlpm.missing),
  _xlfn.IFS(
    COUNTA(C578:K578)=0,"Blank",
AND(_xlpm.missing=FALSE,ROWS(_xlpm.missing)=1),"Complete",
    ROWS(_xlpm.missing)&gt;0,_xlpm.missing_string,
    TRUE,"Error"
  )
)</f>
        <v>Blank</v>
      </c>
      <c r="B5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79" spans="1:2" x14ac:dyDescent="0.3">
      <c r="A579" s="2" t="str" cm="1">
        <f t="array" ref="A579">_xlfn.LET(
  _xlpm.key,_xlfn.TEXTSPLIT("Email,Org,IRN,Impact",","),
  _xlpm.complete,ISBLANK(H579:K579),
  _xlpm.missing,_xlfn._xlws.FILTER(_xlpm.key,_xlpm.complete,FALSE()),
  _xlpm.missing_string,"Missing: "&amp;_xlfn.TEXTJOIN(", ",TRUE,_xlpm.missing),
  _xlfn.IFS(
    COUNTA(C579:K579)=0,"Blank",
AND(_xlpm.missing=FALSE,ROWS(_xlpm.missing)=1),"Complete",
    ROWS(_xlpm.missing)&gt;0,_xlpm.missing_string,
    TRUE,"Error"
  )
)</f>
        <v>Blank</v>
      </c>
      <c r="B5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0" spans="1:2" x14ac:dyDescent="0.3">
      <c r="A580" s="2" t="str" cm="1">
        <f t="array" ref="A580">_xlfn.LET(
  _xlpm.key,_xlfn.TEXTSPLIT("Email,Org,IRN,Impact",","),
  _xlpm.complete,ISBLANK(H580:K580),
  _xlpm.missing,_xlfn._xlws.FILTER(_xlpm.key,_xlpm.complete,FALSE()),
  _xlpm.missing_string,"Missing: "&amp;_xlfn.TEXTJOIN(", ",TRUE,_xlpm.missing),
  _xlfn.IFS(
    COUNTA(C580:K580)=0,"Blank",
AND(_xlpm.missing=FALSE,ROWS(_xlpm.missing)=1),"Complete",
    ROWS(_xlpm.missing)&gt;0,_xlpm.missing_string,
    TRUE,"Error"
  )
)</f>
        <v>Blank</v>
      </c>
      <c r="B5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1" spans="1:2" x14ac:dyDescent="0.3">
      <c r="A581" s="2" t="str" cm="1">
        <f t="array" ref="A581">_xlfn.LET(
  _xlpm.key,_xlfn.TEXTSPLIT("Email,Org,IRN,Impact",","),
  _xlpm.complete,ISBLANK(H581:K581),
  _xlpm.missing,_xlfn._xlws.FILTER(_xlpm.key,_xlpm.complete,FALSE()),
  _xlpm.missing_string,"Missing: "&amp;_xlfn.TEXTJOIN(", ",TRUE,_xlpm.missing),
  _xlfn.IFS(
    COUNTA(C581:K581)=0,"Blank",
AND(_xlpm.missing=FALSE,ROWS(_xlpm.missing)=1),"Complete",
    ROWS(_xlpm.missing)&gt;0,_xlpm.missing_string,
    TRUE,"Error"
  )
)</f>
        <v>Blank</v>
      </c>
      <c r="B5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2" spans="1:2" x14ac:dyDescent="0.3">
      <c r="A582" s="2" t="str" cm="1">
        <f t="array" ref="A582">_xlfn.LET(
  _xlpm.key,_xlfn.TEXTSPLIT("Email,Org,IRN,Impact",","),
  _xlpm.complete,ISBLANK(H582:K582),
  _xlpm.missing,_xlfn._xlws.FILTER(_xlpm.key,_xlpm.complete,FALSE()),
  _xlpm.missing_string,"Missing: "&amp;_xlfn.TEXTJOIN(", ",TRUE,_xlpm.missing),
  _xlfn.IFS(
    COUNTA(C582:K582)=0,"Blank",
AND(_xlpm.missing=FALSE,ROWS(_xlpm.missing)=1),"Complete",
    ROWS(_xlpm.missing)&gt;0,_xlpm.missing_string,
    TRUE,"Error"
  )
)</f>
        <v>Blank</v>
      </c>
      <c r="B5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3" spans="1:2" x14ac:dyDescent="0.3">
      <c r="A583" s="2" t="str" cm="1">
        <f t="array" ref="A583">_xlfn.LET(
  _xlpm.key,_xlfn.TEXTSPLIT("Email,Org,IRN,Impact",","),
  _xlpm.complete,ISBLANK(H583:K583),
  _xlpm.missing,_xlfn._xlws.FILTER(_xlpm.key,_xlpm.complete,FALSE()),
  _xlpm.missing_string,"Missing: "&amp;_xlfn.TEXTJOIN(", ",TRUE,_xlpm.missing),
  _xlfn.IFS(
    COUNTA(C583:K583)=0,"Blank",
AND(_xlpm.missing=FALSE,ROWS(_xlpm.missing)=1),"Complete",
    ROWS(_xlpm.missing)&gt;0,_xlpm.missing_string,
    TRUE,"Error"
  )
)</f>
        <v>Blank</v>
      </c>
      <c r="B5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4" spans="1:2" x14ac:dyDescent="0.3">
      <c r="A584" s="2" t="str" cm="1">
        <f t="array" ref="A584">_xlfn.LET(
  _xlpm.key,_xlfn.TEXTSPLIT("Email,Org,IRN,Impact",","),
  _xlpm.complete,ISBLANK(H584:K584),
  _xlpm.missing,_xlfn._xlws.FILTER(_xlpm.key,_xlpm.complete,FALSE()),
  _xlpm.missing_string,"Missing: "&amp;_xlfn.TEXTJOIN(", ",TRUE,_xlpm.missing),
  _xlfn.IFS(
    COUNTA(C584:K584)=0,"Blank",
AND(_xlpm.missing=FALSE,ROWS(_xlpm.missing)=1),"Complete",
    ROWS(_xlpm.missing)&gt;0,_xlpm.missing_string,
    TRUE,"Error"
  )
)</f>
        <v>Blank</v>
      </c>
      <c r="B5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5" spans="1:2" x14ac:dyDescent="0.3">
      <c r="A585" s="2" t="str" cm="1">
        <f t="array" ref="A585">_xlfn.LET(
  _xlpm.key,_xlfn.TEXTSPLIT("Email,Org,IRN,Impact",","),
  _xlpm.complete,ISBLANK(H585:K585),
  _xlpm.missing,_xlfn._xlws.FILTER(_xlpm.key,_xlpm.complete,FALSE()),
  _xlpm.missing_string,"Missing: "&amp;_xlfn.TEXTJOIN(", ",TRUE,_xlpm.missing),
  _xlfn.IFS(
    COUNTA(C585:K585)=0,"Blank",
AND(_xlpm.missing=FALSE,ROWS(_xlpm.missing)=1),"Complete",
    ROWS(_xlpm.missing)&gt;0,_xlpm.missing_string,
    TRUE,"Error"
  )
)</f>
        <v>Blank</v>
      </c>
      <c r="B5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6" spans="1:2" x14ac:dyDescent="0.3">
      <c r="A586" s="2" t="str" cm="1">
        <f t="array" ref="A586">_xlfn.LET(
  _xlpm.key,_xlfn.TEXTSPLIT("Email,Org,IRN,Impact",","),
  _xlpm.complete,ISBLANK(H586:K586),
  _xlpm.missing,_xlfn._xlws.FILTER(_xlpm.key,_xlpm.complete,FALSE()),
  _xlpm.missing_string,"Missing: "&amp;_xlfn.TEXTJOIN(", ",TRUE,_xlpm.missing),
  _xlfn.IFS(
    COUNTA(C586:K586)=0,"Blank",
AND(_xlpm.missing=FALSE,ROWS(_xlpm.missing)=1),"Complete",
    ROWS(_xlpm.missing)&gt;0,_xlpm.missing_string,
    TRUE,"Error"
  )
)</f>
        <v>Blank</v>
      </c>
      <c r="B5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7" spans="1:2" x14ac:dyDescent="0.3">
      <c r="A587" s="2" t="str" cm="1">
        <f t="array" ref="A587">_xlfn.LET(
  _xlpm.key,_xlfn.TEXTSPLIT("Email,Org,IRN,Impact",","),
  _xlpm.complete,ISBLANK(H587:K587),
  _xlpm.missing,_xlfn._xlws.FILTER(_xlpm.key,_xlpm.complete,FALSE()),
  _xlpm.missing_string,"Missing: "&amp;_xlfn.TEXTJOIN(", ",TRUE,_xlpm.missing),
  _xlfn.IFS(
    COUNTA(C587:K587)=0,"Blank",
AND(_xlpm.missing=FALSE,ROWS(_xlpm.missing)=1),"Complete",
    ROWS(_xlpm.missing)&gt;0,_xlpm.missing_string,
    TRUE,"Error"
  )
)</f>
        <v>Blank</v>
      </c>
      <c r="B5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8" spans="1:2" x14ac:dyDescent="0.3">
      <c r="A588" s="2" t="str" cm="1">
        <f t="array" ref="A588">_xlfn.LET(
  _xlpm.key,_xlfn.TEXTSPLIT("Email,Org,IRN,Impact",","),
  _xlpm.complete,ISBLANK(H588:K588),
  _xlpm.missing,_xlfn._xlws.FILTER(_xlpm.key,_xlpm.complete,FALSE()),
  _xlpm.missing_string,"Missing: "&amp;_xlfn.TEXTJOIN(", ",TRUE,_xlpm.missing),
  _xlfn.IFS(
    COUNTA(C588:K588)=0,"Blank",
AND(_xlpm.missing=FALSE,ROWS(_xlpm.missing)=1),"Complete",
    ROWS(_xlpm.missing)&gt;0,_xlpm.missing_string,
    TRUE,"Error"
  )
)</f>
        <v>Blank</v>
      </c>
      <c r="B5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89" spans="1:2" x14ac:dyDescent="0.3">
      <c r="A589" s="2" t="str" cm="1">
        <f t="array" ref="A589">_xlfn.LET(
  _xlpm.key,_xlfn.TEXTSPLIT("Email,Org,IRN,Impact",","),
  _xlpm.complete,ISBLANK(H589:K589),
  _xlpm.missing,_xlfn._xlws.FILTER(_xlpm.key,_xlpm.complete,FALSE()),
  _xlpm.missing_string,"Missing: "&amp;_xlfn.TEXTJOIN(", ",TRUE,_xlpm.missing),
  _xlfn.IFS(
    COUNTA(C589:K589)=0,"Blank",
AND(_xlpm.missing=FALSE,ROWS(_xlpm.missing)=1),"Complete",
    ROWS(_xlpm.missing)&gt;0,_xlpm.missing_string,
    TRUE,"Error"
  )
)</f>
        <v>Blank</v>
      </c>
      <c r="B5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0" spans="1:2" x14ac:dyDescent="0.3">
      <c r="A590" s="2" t="str" cm="1">
        <f t="array" ref="A590">_xlfn.LET(
  _xlpm.key,_xlfn.TEXTSPLIT("Email,Org,IRN,Impact",","),
  _xlpm.complete,ISBLANK(H590:K590),
  _xlpm.missing,_xlfn._xlws.FILTER(_xlpm.key,_xlpm.complete,FALSE()),
  _xlpm.missing_string,"Missing: "&amp;_xlfn.TEXTJOIN(", ",TRUE,_xlpm.missing),
  _xlfn.IFS(
    COUNTA(C590:K590)=0,"Blank",
AND(_xlpm.missing=FALSE,ROWS(_xlpm.missing)=1),"Complete",
    ROWS(_xlpm.missing)&gt;0,_xlpm.missing_string,
    TRUE,"Error"
  )
)</f>
        <v>Blank</v>
      </c>
      <c r="B5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1" spans="1:2" x14ac:dyDescent="0.3">
      <c r="A591" s="2" t="str" cm="1">
        <f t="array" ref="A591">_xlfn.LET(
  _xlpm.key,_xlfn.TEXTSPLIT("Email,Org,IRN,Impact",","),
  _xlpm.complete,ISBLANK(H591:K591),
  _xlpm.missing,_xlfn._xlws.FILTER(_xlpm.key,_xlpm.complete,FALSE()),
  _xlpm.missing_string,"Missing: "&amp;_xlfn.TEXTJOIN(", ",TRUE,_xlpm.missing),
  _xlfn.IFS(
    COUNTA(C591:K591)=0,"Blank",
AND(_xlpm.missing=FALSE,ROWS(_xlpm.missing)=1),"Complete",
    ROWS(_xlpm.missing)&gt;0,_xlpm.missing_string,
    TRUE,"Error"
  )
)</f>
        <v>Blank</v>
      </c>
      <c r="B5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2" spans="1:2" x14ac:dyDescent="0.3">
      <c r="A592" s="2" t="str" cm="1">
        <f t="array" ref="A592">_xlfn.LET(
  _xlpm.key,_xlfn.TEXTSPLIT("Email,Org,IRN,Impact",","),
  _xlpm.complete,ISBLANK(H592:K592),
  _xlpm.missing,_xlfn._xlws.FILTER(_xlpm.key,_xlpm.complete,FALSE()),
  _xlpm.missing_string,"Missing: "&amp;_xlfn.TEXTJOIN(", ",TRUE,_xlpm.missing),
  _xlfn.IFS(
    COUNTA(C592:K592)=0,"Blank",
AND(_xlpm.missing=FALSE,ROWS(_xlpm.missing)=1),"Complete",
    ROWS(_xlpm.missing)&gt;0,_xlpm.missing_string,
    TRUE,"Error"
  )
)</f>
        <v>Blank</v>
      </c>
      <c r="B5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3" spans="1:2" x14ac:dyDescent="0.3">
      <c r="A593" s="2" t="str" cm="1">
        <f t="array" ref="A593">_xlfn.LET(
  _xlpm.key,_xlfn.TEXTSPLIT("Email,Org,IRN,Impact",","),
  _xlpm.complete,ISBLANK(H593:K593),
  _xlpm.missing,_xlfn._xlws.FILTER(_xlpm.key,_xlpm.complete,FALSE()),
  _xlpm.missing_string,"Missing: "&amp;_xlfn.TEXTJOIN(", ",TRUE,_xlpm.missing),
  _xlfn.IFS(
    COUNTA(C593:K593)=0,"Blank",
AND(_xlpm.missing=FALSE,ROWS(_xlpm.missing)=1),"Complete",
    ROWS(_xlpm.missing)&gt;0,_xlpm.missing_string,
    TRUE,"Error"
  )
)</f>
        <v>Blank</v>
      </c>
      <c r="B5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4" spans="1:2" x14ac:dyDescent="0.3">
      <c r="A594" s="2" t="str" cm="1">
        <f t="array" ref="A594">_xlfn.LET(
  _xlpm.key,_xlfn.TEXTSPLIT("Email,Org,IRN,Impact",","),
  _xlpm.complete,ISBLANK(H594:K594),
  _xlpm.missing,_xlfn._xlws.FILTER(_xlpm.key,_xlpm.complete,FALSE()),
  _xlpm.missing_string,"Missing: "&amp;_xlfn.TEXTJOIN(", ",TRUE,_xlpm.missing),
  _xlfn.IFS(
    COUNTA(C594:K594)=0,"Blank",
AND(_xlpm.missing=FALSE,ROWS(_xlpm.missing)=1),"Complete",
    ROWS(_xlpm.missing)&gt;0,_xlpm.missing_string,
    TRUE,"Error"
  )
)</f>
        <v>Blank</v>
      </c>
      <c r="B5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5" spans="1:2" x14ac:dyDescent="0.3">
      <c r="A595" s="2" t="str" cm="1">
        <f t="array" ref="A595">_xlfn.LET(
  _xlpm.key,_xlfn.TEXTSPLIT("Email,Org,IRN,Impact",","),
  _xlpm.complete,ISBLANK(H595:K595),
  _xlpm.missing,_xlfn._xlws.FILTER(_xlpm.key,_xlpm.complete,FALSE()),
  _xlpm.missing_string,"Missing: "&amp;_xlfn.TEXTJOIN(", ",TRUE,_xlpm.missing),
  _xlfn.IFS(
    COUNTA(C595:K595)=0,"Blank",
AND(_xlpm.missing=FALSE,ROWS(_xlpm.missing)=1),"Complete",
    ROWS(_xlpm.missing)&gt;0,_xlpm.missing_string,
    TRUE,"Error"
  )
)</f>
        <v>Blank</v>
      </c>
      <c r="B5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6" spans="1:2" x14ac:dyDescent="0.3">
      <c r="A596" s="2" t="str" cm="1">
        <f t="array" ref="A596">_xlfn.LET(
  _xlpm.key,_xlfn.TEXTSPLIT("Email,Org,IRN,Impact",","),
  _xlpm.complete,ISBLANK(H596:K596),
  _xlpm.missing,_xlfn._xlws.FILTER(_xlpm.key,_xlpm.complete,FALSE()),
  _xlpm.missing_string,"Missing: "&amp;_xlfn.TEXTJOIN(", ",TRUE,_xlpm.missing),
  _xlfn.IFS(
    COUNTA(C596:K596)=0,"Blank",
AND(_xlpm.missing=FALSE,ROWS(_xlpm.missing)=1),"Complete",
    ROWS(_xlpm.missing)&gt;0,_xlpm.missing_string,
    TRUE,"Error"
  )
)</f>
        <v>Blank</v>
      </c>
      <c r="B5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7" spans="1:2" x14ac:dyDescent="0.3">
      <c r="A597" s="2" t="str" cm="1">
        <f t="array" ref="A597">_xlfn.LET(
  _xlpm.key,_xlfn.TEXTSPLIT("Email,Org,IRN,Impact",","),
  _xlpm.complete,ISBLANK(H597:K597),
  _xlpm.missing,_xlfn._xlws.FILTER(_xlpm.key,_xlpm.complete,FALSE()),
  _xlpm.missing_string,"Missing: "&amp;_xlfn.TEXTJOIN(", ",TRUE,_xlpm.missing),
  _xlfn.IFS(
    COUNTA(C597:K597)=0,"Blank",
AND(_xlpm.missing=FALSE,ROWS(_xlpm.missing)=1),"Complete",
    ROWS(_xlpm.missing)&gt;0,_xlpm.missing_string,
    TRUE,"Error"
  )
)</f>
        <v>Blank</v>
      </c>
      <c r="B5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8" spans="1:2" x14ac:dyDescent="0.3">
      <c r="A598" s="2" t="str" cm="1">
        <f t="array" ref="A598">_xlfn.LET(
  _xlpm.key,_xlfn.TEXTSPLIT("Email,Org,IRN,Impact",","),
  _xlpm.complete,ISBLANK(H598:K598),
  _xlpm.missing,_xlfn._xlws.FILTER(_xlpm.key,_xlpm.complete,FALSE()),
  _xlpm.missing_string,"Missing: "&amp;_xlfn.TEXTJOIN(", ",TRUE,_xlpm.missing),
  _xlfn.IFS(
    COUNTA(C598:K598)=0,"Blank",
AND(_xlpm.missing=FALSE,ROWS(_xlpm.missing)=1),"Complete",
    ROWS(_xlpm.missing)&gt;0,_xlpm.missing_string,
    TRUE,"Error"
  )
)</f>
        <v>Blank</v>
      </c>
      <c r="B5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599" spans="1:2" x14ac:dyDescent="0.3">
      <c r="A599" s="2" t="str" cm="1">
        <f t="array" ref="A599">_xlfn.LET(
  _xlpm.key,_xlfn.TEXTSPLIT("Email,Org,IRN,Impact",","),
  _xlpm.complete,ISBLANK(H599:K599),
  _xlpm.missing,_xlfn._xlws.FILTER(_xlpm.key,_xlpm.complete,FALSE()),
  _xlpm.missing_string,"Missing: "&amp;_xlfn.TEXTJOIN(", ",TRUE,_xlpm.missing),
  _xlfn.IFS(
    COUNTA(C599:K599)=0,"Blank",
AND(_xlpm.missing=FALSE,ROWS(_xlpm.missing)=1),"Complete",
    ROWS(_xlpm.missing)&gt;0,_xlpm.missing_string,
    TRUE,"Error"
  )
)</f>
        <v>Blank</v>
      </c>
      <c r="B5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0" spans="1:2" x14ac:dyDescent="0.3">
      <c r="A600" s="2" t="str" cm="1">
        <f t="array" ref="A600">_xlfn.LET(
  _xlpm.key,_xlfn.TEXTSPLIT("Email,Org,IRN,Impact",","),
  _xlpm.complete,ISBLANK(H600:K600),
  _xlpm.missing,_xlfn._xlws.FILTER(_xlpm.key,_xlpm.complete,FALSE()),
  _xlpm.missing_string,"Missing: "&amp;_xlfn.TEXTJOIN(", ",TRUE,_xlpm.missing),
  _xlfn.IFS(
    COUNTA(C600:K600)=0,"Blank",
AND(_xlpm.missing=FALSE,ROWS(_xlpm.missing)=1),"Complete",
    ROWS(_xlpm.missing)&gt;0,_xlpm.missing_string,
    TRUE,"Error"
  )
)</f>
        <v>Blank</v>
      </c>
      <c r="B6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1" spans="1:2" x14ac:dyDescent="0.3">
      <c r="A601" s="2" t="str" cm="1">
        <f t="array" ref="A601">_xlfn.LET(
  _xlpm.key,_xlfn.TEXTSPLIT("Email,Org,IRN,Impact",","),
  _xlpm.complete,ISBLANK(H601:K601),
  _xlpm.missing,_xlfn._xlws.FILTER(_xlpm.key,_xlpm.complete,FALSE()),
  _xlpm.missing_string,"Missing: "&amp;_xlfn.TEXTJOIN(", ",TRUE,_xlpm.missing),
  _xlfn.IFS(
    COUNTA(C601:K601)=0,"Blank",
AND(_xlpm.missing=FALSE,ROWS(_xlpm.missing)=1),"Complete",
    ROWS(_xlpm.missing)&gt;0,_xlpm.missing_string,
    TRUE,"Error"
  )
)</f>
        <v>Blank</v>
      </c>
      <c r="B6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2" spans="1:2" x14ac:dyDescent="0.3">
      <c r="A602" s="2" t="str" cm="1">
        <f t="array" ref="A602">_xlfn.LET(
  _xlpm.key,_xlfn.TEXTSPLIT("Email,Org,IRN,Impact",","),
  _xlpm.complete,ISBLANK(H602:K602),
  _xlpm.missing,_xlfn._xlws.FILTER(_xlpm.key,_xlpm.complete,FALSE()),
  _xlpm.missing_string,"Missing: "&amp;_xlfn.TEXTJOIN(", ",TRUE,_xlpm.missing),
  _xlfn.IFS(
    COUNTA(C602:K602)=0,"Blank",
AND(_xlpm.missing=FALSE,ROWS(_xlpm.missing)=1),"Complete",
    ROWS(_xlpm.missing)&gt;0,_xlpm.missing_string,
    TRUE,"Error"
  )
)</f>
        <v>Blank</v>
      </c>
      <c r="B6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3" spans="1:2" x14ac:dyDescent="0.3">
      <c r="A603" s="2" t="str" cm="1">
        <f t="array" ref="A603">_xlfn.LET(
  _xlpm.key,_xlfn.TEXTSPLIT("Email,Org,IRN,Impact",","),
  _xlpm.complete,ISBLANK(H603:K603),
  _xlpm.missing,_xlfn._xlws.FILTER(_xlpm.key,_xlpm.complete,FALSE()),
  _xlpm.missing_string,"Missing: "&amp;_xlfn.TEXTJOIN(", ",TRUE,_xlpm.missing),
  _xlfn.IFS(
    COUNTA(C603:K603)=0,"Blank",
AND(_xlpm.missing=FALSE,ROWS(_xlpm.missing)=1),"Complete",
    ROWS(_xlpm.missing)&gt;0,_xlpm.missing_string,
    TRUE,"Error"
  )
)</f>
        <v>Blank</v>
      </c>
      <c r="B6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4" spans="1:2" x14ac:dyDescent="0.3">
      <c r="A604" s="2" t="str" cm="1">
        <f t="array" ref="A604">_xlfn.LET(
  _xlpm.key,_xlfn.TEXTSPLIT("Email,Org,IRN,Impact",","),
  _xlpm.complete,ISBLANK(H604:K604),
  _xlpm.missing,_xlfn._xlws.FILTER(_xlpm.key,_xlpm.complete,FALSE()),
  _xlpm.missing_string,"Missing: "&amp;_xlfn.TEXTJOIN(", ",TRUE,_xlpm.missing),
  _xlfn.IFS(
    COUNTA(C604:K604)=0,"Blank",
AND(_xlpm.missing=FALSE,ROWS(_xlpm.missing)=1),"Complete",
    ROWS(_xlpm.missing)&gt;0,_xlpm.missing_string,
    TRUE,"Error"
  )
)</f>
        <v>Blank</v>
      </c>
      <c r="B6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5" spans="1:2" x14ac:dyDescent="0.3">
      <c r="A605" s="2" t="str" cm="1">
        <f t="array" ref="A605">_xlfn.LET(
  _xlpm.key,_xlfn.TEXTSPLIT("Email,Org,IRN,Impact",","),
  _xlpm.complete,ISBLANK(H605:K605),
  _xlpm.missing,_xlfn._xlws.FILTER(_xlpm.key,_xlpm.complete,FALSE()),
  _xlpm.missing_string,"Missing: "&amp;_xlfn.TEXTJOIN(", ",TRUE,_xlpm.missing),
  _xlfn.IFS(
    COUNTA(C605:K605)=0,"Blank",
AND(_xlpm.missing=FALSE,ROWS(_xlpm.missing)=1),"Complete",
    ROWS(_xlpm.missing)&gt;0,_xlpm.missing_string,
    TRUE,"Error"
  )
)</f>
        <v>Blank</v>
      </c>
      <c r="B6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6" spans="1:2" x14ac:dyDescent="0.3">
      <c r="A606" s="2" t="str" cm="1">
        <f t="array" ref="A606">_xlfn.LET(
  _xlpm.key,_xlfn.TEXTSPLIT("Email,Org,IRN,Impact",","),
  _xlpm.complete,ISBLANK(H606:K606),
  _xlpm.missing,_xlfn._xlws.FILTER(_xlpm.key,_xlpm.complete,FALSE()),
  _xlpm.missing_string,"Missing: "&amp;_xlfn.TEXTJOIN(", ",TRUE,_xlpm.missing),
  _xlfn.IFS(
    COUNTA(C606:K606)=0,"Blank",
AND(_xlpm.missing=FALSE,ROWS(_xlpm.missing)=1),"Complete",
    ROWS(_xlpm.missing)&gt;0,_xlpm.missing_string,
    TRUE,"Error"
  )
)</f>
        <v>Blank</v>
      </c>
      <c r="B6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7" spans="1:2" x14ac:dyDescent="0.3">
      <c r="A607" s="2" t="str" cm="1">
        <f t="array" ref="A607">_xlfn.LET(
  _xlpm.key,_xlfn.TEXTSPLIT("Email,Org,IRN,Impact",","),
  _xlpm.complete,ISBLANK(H607:K607),
  _xlpm.missing,_xlfn._xlws.FILTER(_xlpm.key,_xlpm.complete,FALSE()),
  _xlpm.missing_string,"Missing: "&amp;_xlfn.TEXTJOIN(", ",TRUE,_xlpm.missing),
  _xlfn.IFS(
    COUNTA(C607:K607)=0,"Blank",
AND(_xlpm.missing=FALSE,ROWS(_xlpm.missing)=1),"Complete",
    ROWS(_xlpm.missing)&gt;0,_xlpm.missing_string,
    TRUE,"Error"
  )
)</f>
        <v>Blank</v>
      </c>
      <c r="B6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8" spans="1:2" x14ac:dyDescent="0.3">
      <c r="A608" s="2" t="str" cm="1">
        <f t="array" ref="A608">_xlfn.LET(
  _xlpm.key,_xlfn.TEXTSPLIT("Email,Org,IRN,Impact",","),
  _xlpm.complete,ISBLANK(H608:K608),
  _xlpm.missing,_xlfn._xlws.FILTER(_xlpm.key,_xlpm.complete,FALSE()),
  _xlpm.missing_string,"Missing: "&amp;_xlfn.TEXTJOIN(", ",TRUE,_xlpm.missing),
  _xlfn.IFS(
    COUNTA(C608:K608)=0,"Blank",
AND(_xlpm.missing=FALSE,ROWS(_xlpm.missing)=1),"Complete",
    ROWS(_xlpm.missing)&gt;0,_xlpm.missing_string,
    TRUE,"Error"
  )
)</f>
        <v>Blank</v>
      </c>
      <c r="B6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09" spans="1:2" x14ac:dyDescent="0.3">
      <c r="A609" s="2" t="str" cm="1">
        <f t="array" ref="A609">_xlfn.LET(
  _xlpm.key,_xlfn.TEXTSPLIT("Email,Org,IRN,Impact",","),
  _xlpm.complete,ISBLANK(H609:K609),
  _xlpm.missing,_xlfn._xlws.FILTER(_xlpm.key,_xlpm.complete,FALSE()),
  _xlpm.missing_string,"Missing: "&amp;_xlfn.TEXTJOIN(", ",TRUE,_xlpm.missing),
  _xlfn.IFS(
    COUNTA(C609:K609)=0,"Blank",
AND(_xlpm.missing=FALSE,ROWS(_xlpm.missing)=1),"Complete",
    ROWS(_xlpm.missing)&gt;0,_xlpm.missing_string,
    TRUE,"Error"
  )
)</f>
        <v>Blank</v>
      </c>
      <c r="B6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0" spans="1:2" x14ac:dyDescent="0.3">
      <c r="A610" s="2" t="str" cm="1">
        <f t="array" ref="A610">_xlfn.LET(
  _xlpm.key,_xlfn.TEXTSPLIT("Email,Org,IRN,Impact",","),
  _xlpm.complete,ISBLANK(H610:K610),
  _xlpm.missing,_xlfn._xlws.FILTER(_xlpm.key,_xlpm.complete,FALSE()),
  _xlpm.missing_string,"Missing: "&amp;_xlfn.TEXTJOIN(", ",TRUE,_xlpm.missing),
  _xlfn.IFS(
    COUNTA(C610:K610)=0,"Blank",
AND(_xlpm.missing=FALSE,ROWS(_xlpm.missing)=1),"Complete",
    ROWS(_xlpm.missing)&gt;0,_xlpm.missing_string,
    TRUE,"Error"
  )
)</f>
        <v>Blank</v>
      </c>
      <c r="B6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1" spans="1:2" x14ac:dyDescent="0.3">
      <c r="A611" s="2" t="str" cm="1">
        <f t="array" ref="A611">_xlfn.LET(
  _xlpm.key,_xlfn.TEXTSPLIT("Email,Org,IRN,Impact",","),
  _xlpm.complete,ISBLANK(H611:K611),
  _xlpm.missing,_xlfn._xlws.FILTER(_xlpm.key,_xlpm.complete,FALSE()),
  _xlpm.missing_string,"Missing: "&amp;_xlfn.TEXTJOIN(", ",TRUE,_xlpm.missing),
  _xlfn.IFS(
    COUNTA(C611:K611)=0,"Blank",
AND(_xlpm.missing=FALSE,ROWS(_xlpm.missing)=1),"Complete",
    ROWS(_xlpm.missing)&gt;0,_xlpm.missing_string,
    TRUE,"Error"
  )
)</f>
        <v>Blank</v>
      </c>
      <c r="B6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2" spans="1:2" x14ac:dyDescent="0.3">
      <c r="A612" s="2" t="str" cm="1">
        <f t="array" ref="A612">_xlfn.LET(
  _xlpm.key,_xlfn.TEXTSPLIT("Email,Org,IRN,Impact",","),
  _xlpm.complete,ISBLANK(H612:K612),
  _xlpm.missing,_xlfn._xlws.FILTER(_xlpm.key,_xlpm.complete,FALSE()),
  _xlpm.missing_string,"Missing: "&amp;_xlfn.TEXTJOIN(", ",TRUE,_xlpm.missing),
  _xlfn.IFS(
    COUNTA(C612:K612)=0,"Blank",
AND(_xlpm.missing=FALSE,ROWS(_xlpm.missing)=1),"Complete",
    ROWS(_xlpm.missing)&gt;0,_xlpm.missing_string,
    TRUE,"Error"
  )
)</f>
        <v>Blank</v>
      </c>
      <c r="B6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3" spans="1:2" x14ac:dyDescent="0.3">
      <c r="A613" s="2" t="str" cm="1">
        <f t="array" ref="A613">_xlfn.LET(
  _xlpm.key,_xlfn.TEXTSPLIT("Email,Org,IRN,Impact",","),
  _xlpm.complete,ISBLANK(H613:K613),
  _xlpm.missing,_xlfn._xlws.FILTER(_xlpm.key,_xlpm.complete,FALSE()),
  _xlpm.missing_string,"Missing: "&amp;_xlfn.TEXTJOIN(", ",TRUE,_xlpm.missing),
  _xlfn.IFS(
    COUNTA(C613:K613)=0,"Blank",
AND(_xlpm.missing=FALSE,ROWS(_xlpm.missing)=1),"Complete",
    ROWS(_xlpm.missing)&gt;0,_xlpm.missing_string,
    TRUE,"Error"
  )
)</f>
        <v>Blank</v>
      </c>
      <c r="B6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4" spans="1:2" x14ac:dyDescent="0.3">
      <c r="A614" s="2" t="str" cm="1">
        <f t="array" ref="A614">_xlfn.LET(
  _xlpm.key,_xlfn.TEXTSPLIT("Email,Org,IRN,Impact",","),
  _xlpm.complete,ISBLANK(H614:K614),
  _xlpm.missing,_xlfn._xlws.FILTER(_xlpm.key,_xlpm.complete,FALSE()),
  _xlpm.missing_string,"Missing: "&amp;_xlfn.TEXTJOIN(", ",TRUE,_xlpm.missing),
  _xlfn.IFS(
    COUNTA(C614:K614)=0,"Blank",
AND(_xlpm.missing=FALSE,ROWS(_xlpm.missing)=1),"Complete",
    ROWS(_xlpm.missing)&gt;0,_xlpm.missing_string,
    TRUE,"Error"
  )
)</f>
        <v>Blank</v>
      </c>
      <c r="B6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5" spans="1:2" x14ac:dyDescent="0.3">
      <c r="A615" s="2" t="str" cm="1">
        <f t="array" ref="A615">_xlfn.LET(
  _xlpm.key,_xlfn.TEXTSPLIT("Email,Org,IRN,Impact",","),
  _xlpm.complete,ISBLANK(H615:K615),
  _xlpm.missing,_xlfn._xlws.FILTER(_xlpm.key,_xlpm.complete,FALSE()),
  _xlpm.missing_string,"Missing: "&amp;_xlfn.TEXTJOIN(", ",TRUE,_xlpm.missing),
  _xlfn.IFS(
    COUNTA(C615:K615)=0,"Blank",
AND(_xlpm.missing=FALSE,ROWS(_xlpm.missing)=1),"Complete",
    ROWS(_xlpm.missing)&gt;0,_xlpm.missing_string,
    TRUE,"Error"
  )
)</f>
        <v>Blank</v>
      </c>
      <c r="B6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6" spans="1:2" x14ac:dyDescent="0.3">
      <c r="A616" s="2" t="str" cm="1">
        <f t="array" ref="A616">_xlfn.LET(
  _xlpm.key,_xlfn.TEXTSPLIT("Email,Org,IRN,Impact",","),
  _xlpm.complete,ISBLANK(H616:K616),
  _xlpm.missing,_xlfn._xlws.FILTER(_xlpm.key,_xlpm.complete,FALSE()),
  _xlpm.missing_string,"Missing: "&amp;_xlfn.TEXTJOIN(", ",TRUE,_xlpm.missing),
  _xlfn.IFS(
    COUNTA(C616:K616)=0,"Blank",
AND(_xlpm.missing=FALSE,ROWS(_xlpm.missing)=1),"Complete",
    ROWS(_xlpm.missing)&gt;0,_xlpm.missing_string,
    TRUE,"Error"
  )
)</f>
        <v>Blank</v>
      </c>
      <c r="B6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7" spans="1:2" x14ac:dyDescent="0.3">
      <c r="A617" s="2" t="str" cm="1">
        <f t="array" ref="A617">_xlfn.LET(
  _xlpm.key,_xlfn.TEXTSPLIT("Email,Org,IRN,Impact",","),
  _xlpm.complete,ISBLANK(H617:K617),
  _xlpm.missing,_xlfn._xlws.FILTER(_xlpm.key,_xlpm.complete,FALSE()),
  _xlpm.missing_string,"Missing: "&amp;_xlfn.TEXTJOIN(", ",TRUE,_xlpm.missing),
  _xlfn.IFS(
    COUNTA(C617:K617)=0,"Blank",
AND(_xlpm.missing=FALSE,ROWS(_xlpm.missing)=1),"Complete",
    ROWS(_xlpm.missing)&gt;0,_xlpm.missing_string,
    TRUE,"Error"
  )
)</f>
        <v>Blank</v>
      </c>
      <c r="B6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8" spans="1:2" x14ac:dyDescent="0.3">
      <c r="A618" s="2" t="str" cm="1">
        <f t="array" ref="A618">_xlfn.LET(
  _xlpm.key,_xlfn.TEXTSPLIT("Email,Org,IRN,Impact",","),
  _xlpm.complete,ISBLANK(H618:K618),
  _xlpm.missing,_xlfn._xlws.FILTER(_xlpm.key,_xlpm.complete,FALSE()),
  _xlpm.missing_string,"Missing: "&amp;_xlfn.TEXTJOIN(", ",TRUE,_xlpm.missing),
  _xlfn.IFS(
    COUNTA(C618:K618)=0,"Blank",
AND(_xlpm.missing=FALSE,ROWS(_xlpm.missing)=1),"Complete",
    ROWS(_xlpm.missing)&gt;0,_xlpm.missing_string,
    TRUE,"Error"
  )
)</f>
        <v>Blank</v>
      </c>
      <c r="B6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19" spans="1:2" x14ac:dyDescent="0.3">
      <c r="A619" s="2" t="str" cm="1">
        <f t="array" ref="A619">_xlfn.LET(
  _xlpm.key,_xlfn.TEXTSPLIT("Email,Org,IRN,Impact",","),
  _xlpm.complete,ISBLANK(H619:K619),
  _xlpm.missing,_xlfn._xlws.FILTER(_xlpm.key,_xlpm.complete,FALSE()),
  _xlpm.missing_string,"Missing: "&amp;_xlfn.TEXTJOIN(", ",TRUE,_xlpm.missing),
  _xlfn.IFS(
    COUNTA(C619:K619)=0,"Blank",
AND(_xlpm.missing=FALSE,ROWS(_xlpm.missing)=1),"Complete",
    ROWS(_xlpm.missing)&gt;0,_xlpm.missing_string,
    TRUE,"Error"
  )
)</f>
        <v>Blank</v>
      </c>
      <c r="B6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0" spans="1:2" x14ac:dyDescent="0.3">
      <c r="A620" s="2" t="str" cm="1">
        <f t="array" ref="A620">_xlfn.LET(
  _xlpm.key,_xlfn.TEXTSPLIT("Email,Org,IRN,Impact",","),
  _xlpm.complete,ISBLANK(H620:K620),
  _xlpm.missing,_xlfn._xlws.FILTER(_xlpm.key,_xlpm.complete,FALSE()),
  _xlpm.missing_string,"Missing: "&amp;_xlfn.TEXTJOIN(", ",TRUE,_xlpm.missing),
  _xlfn.IFS(
    COUNTA(C620:K620)=0,"Blank",
AND(_xlpm.missing=FALSE,ROWS(_xlpm.missing)=1),"Complete",
    ROWS(_xlpm.missing)&gt;0,_xlpm.missing_string,
    TRUE,"Error"
  )
)</f>
        <v>Blank</v>
      </c>
      <c r="B6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1" spans="1:2" x14ac:dyDescent="0.3">
      <c r="A621" s="2" t="str" cm="1">
        <f t="array" ref="A621">_xlfn.LET(
  _xlpm.key,_xlfn.TEXTSPLIT("Email,Org,IRN,Impact",","),
  _xlpm.complete,ISBLANK(H621:K621),
  _xlpm.missing,_xlfn._xlws.FILTER(_xlpm.key,_xlpm.complete,FALSE()),
  _xlpm.missing_string,"Missing: "&amp;_xlfn.TEXTJOIN(", ",TRUE,_xlpm.missing),
  _xlfn.IFS(
    COUNTA(C621:K621)=0,"Blank",
AND(_xlpm.missing=FALSE,ROWS(_xlpm.missing)=1),"Complete",
    ROWS(_xlpm.missing)&gt;0,_xlpm.missing_string,
    TRUE,"Error"
  )
)</f>
        <v>Blank</v>
      </c>
      <c r="B6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2" spans="1:2" x14ac:dyDescent="0.3">
      <c r="A622" s="2" t="str" cm="1">
        <f t="array" ref="A622">_xlfn.LET(
  _xlpm.key,_xlfn.TEXTSPLIT("Email,Org,IRN,Impact",","),
  _xlpm.complete,ISBLANK(H622:K622),
  _xlpm.missing,_xlfn._xlws.FILTER(_xlpm.key,_xlpm.complete,FALSE()),
  _xlpm.missing_string,"Missing: "&amp;_xlfn.TEXTJOIN(", ",TRUE,_xlpm.missing),
  _xlfn.IFS(
    COUNTA(C622:K622)=0,"Blank",
AND(_xlpm.missing=FALSE,ROWS(_xlpm.missing)=1),"Complete",
    ROWS(_xlpm.missing)&gt;0,_xlpm.missing_string,
    TRUE,"Error"
  )
)</f>
        <v>Blank</v>
      </c>
      <c r="B6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3" spans="1:2" x14ac:dyDescent="0.3">
      <c r="A623" s="2" t="str" cm="1">
        <f t="array" ref="A623">_xlfn.LET(
  _xlpm.key,_xlfn.TEXTSPLIT("Email,Org,IRN,Impact",","),
  _xlpm.complete,ISBLANK(H623:K623),
  _xlpm.missing,_xlfn._xlws.FILTER(_xlpm.key,_xlpm.complete,FALSE()),
  _xlpm.missing_string,"Missing: "&amp;_xlfn.TEXTJOIN(", ",TRUE,_xlpm.missing),
  _xlfn.IFS(
    COUNTA(C623:K623)=0,"Blank",
AND(_xlpm.missing=FALSE,ROWS(_xlpm.missing)=1),"Complete",
    ROWS(_xlpm.missing)&gt;0,_xlpm.missing_string,
    TRUE,"Error"
  )
)</f>
        <v>Blank</v>
      </c>
      <c r="B6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4" spans="1:2" x14ac:dyDescent="0.3">
      <c r="A624" s="2" t="str" cm="1">
        <f t="array" ref="A624">_xlfn.LET(
  _xlpm.key,_xlfn.TEXTSPLIT("Email,Org,IRN,Impact",","),
  _xlpm.complete,ISBLANK(H624:K624),
  _xlpm.missing,_xlfn._xlws.FILTER(_xlpm.key,_xlpm.complete,FALSE()),
  _xlpm.missing_string,"Missing: "&amp;_xlfn.TEXTJOIN(", ",TRUE,_xlpm.missing),
  _xlfn.IFS(
    COUNTA(C624:K624)=0,"Blank",
AND(_xlpm.missing=FALSE,ROWS(_xlpm.missing)=1),"Complete",
    ROWS(_xlpm.missing)&gt;0,_xlpm.missing_string,
    TRUE,"Error"
  )
)</f>
        <v>Blank</v>
      </c>
      <c r="B6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5" spans="1:2" x14ac:dyDescent="0.3">
      <c r="A625" s="2" t="str" cm="1">
        <f t="array" ref="A625">_xlfn.LET(
  _xlpm.key,_xlfn.TEXTSPLIT("Email,Org,IRN,Impact",","),
  _xlpm.complete,ISBLANK(H625:K625),
  _xlpm.missing,_xlfn._xlws.FILTER(_xlpm.key,_xlpm.complete,FALSE()),
  _xlpm.missing_string,"Missing: "&amp;_xlfn.TEXTJOIN(", ",TRUE,_xlpm.missing),
  _xlfn.IFS(
    COUNTA(C625:K625)=0,"Blank",
AND(_xlpm.missing=FALSE,ROWS(_xlpm.missing)=1),"Complete",
    ROWS(_xlpm.missing)&gt;0,_xlpm.missing_string,
    TRUE,"Error"
  )
)</f>
        <v>Blank</v>
      </c>
      <c r="B6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6" spans="1:2" x14ac:dyDescent="0.3">
      <c r="A626" s="2" t="str" cm="1">
        <f t="array" ref="A626">_xlfn.LET(
  _xlpm.key,_xlfn.TEXTSPLIT("Email,Org,IRN,Impact",","),
  _xlpm.complete,ISBLANK(H626:K626),
  _xlpm.missing,_xlfn._xlws.FILTER(_xlpm.key,_xlpm.complete,FALSE()),
  _xlpm.missing_string,"Missing: "&amp;_xlfn.TEXTJOIN(", ",TRUE,_xlpm.missing),
  _xlfn.IFS(
    COUNTA(C626:K626)=0,"Blank",
AND(_xlpm.missing=FALSE,ROWS(_xlpm.missing)=1),"Complete",
    ROWS(_xlpm.missing)&gt;0,_xlpm.missing_string,
    TRUE,"Error"
  )
)</f>
        <v>Blank</v>
      </c>
      <c r="B6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7" spans="1:2" x14ac:dyDescent="0.3">
      <c r="A627" s="2" t="str" cm="1">
        <f t="array" ref="A627">_xlfn.LET(
  _xlpm.key,_xlfn.TEXTSPLIT("Email,Org,IRN,Impact",","),
  _xlpm.complete,ISBLANK(H627:K627),
  _xlpm.missing,_xlfn._xlws.FILTER(_xlpm.key,_xlpm.complete,FALSE()),
  _xlpm.missing_string,"Missing: "&amp;_xlfn.TEXTJOIN(", ",TRUE,_xlpm.missing),
  _xlfn.IFS(
    COUNTA(C627:K627)=0,"Blank",
AND(_xlpm.missing=FALSE,ROWS(_xlpm.missing)=1),"Complete",
    ROWS(_xlpm.missing)&gt;0,_xlpm.missing_string,
    TRUE,"Error"
  )
)</f>
        <v>Blank</v>
      </c>
      <c r="B6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8" spans="1:2" x14ac:dyDescent="0.3">
      <c r="A628" s="2" t="str" cm="1">
        <f t="array" ref="A628">_xlfn.LET(
  _xlpm.key,_xlfn.TEXTSPLIT("Email,Org,IRN,Impact",","),
  _xlpm.complete,ISBLANK(H628:K628),
  _xlpm.missing,_xlfn._xlws.FILTER(_xlpm.key,_xlpm.complete,FALSE()),
  _xlpm.missing_string,"Missing: "&amp;_xlfn.TEXTJOIN(", ",TRUE,_xlpm.missing),
  _xlfn.IFS(
    COUNTA(C628:K628)=0,"Blank",
AND(_xlpm.missing=FALSE,ROWS(_xlpm.missing)=1),"Complete",
    ROWS(_xlpm.missing)&gt;0,_xlpm.missing_string,
    TRUE,"Error"
  )
)</f>
        <v>Blank</v>
      </c>
      <c r="B6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29" spans="1:2" x14ac:dyDescent="0.3">
      <c r="A629" s="2" t="str" cm="1">
        <f t="array" ref="A629">_xlfn.LET(
  _xlpm.key,_xlfn.TEXTSPLIT("Email,Org,IRN,Impact",","),
  _xlpm.complete,ISBLANK(H629:K629),
  _xlpm.missing,_xlfn._xlws.FILTER(_xlpm.key,_xlpm.complete,FALSE()),
  _xlpm.missing_string,"Missing: "&amp;_xlfn.TEXTJOIN(", ",TRUE,_xlpm.missing),
  _xlfn.IFS(
    COUNTA(C629:K629)=0,"Blank",
AND(_xlpm.missing=FALSE,ROWS(_xlpm.missing)=1),"Complete",
    ROWS(_xlpm.missing)&gt;0,_xlpm.missing_string,
    TRUE,"Error"
  )
)</f>
        <v>Blank</v>
      </c>
      <c r="B6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0" spans="1:2" x14ac:dyDescent="0.3">
      <c r="A630" s="2" t="str" cm="1">
        <f t="array" ref="A630">_xlfn.LET(
  _xlpm.key,_xlfn.TEXTSPLIT("Email,Org,IRN,Impact",","),
  _xlpm.complete,ISBLANK(H630:K630),
  _xlpm.missing,_xlfn._xlws.FILTER(_xlpm.key,_xlpm.complete,FALSE()),
  _xlpm.missing_string,"Missing: "&amp;_xlfn.TEXTJOIN(", ",TRUE,_xlpm.missing),
  _xlfn.IFS(
    COUNTA(C630:K630)=0,"Blank",
AND(_xlpm.missing=FALSE,ROWS(_xlpm.missing)=1),"Complete",
    ROWS(_xlpm.missing)&gt;0,_xlpm.missing_string,
    TRUE,"Error"
  )
)</f>
        <v>Blank</v>
      </c>
      <c r="B6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1" spans="1:2" x14ac:dyDescent="0.3">
      <c r="A631" s="2" t="str" cm="1">
        <f t="array" ref="A631">_xlfn.LET(
  _xlpm.key,_xlfn.TEXTSPLIT("Email,Org,IRN,Impact",","),
  _xlpm.complete,ISBLANK(H631:K631),
  _xlpm.missing,_xlfn._xlws.FILTER(_xlpm.key,_xlpm.complete,FALSE()),
  _xlpm.missing_string,"Missing: "&amp;_xlfn.TEXTJOIN(", ",TRUE,_xlpm.missing),
  _xlfn.IFS(
    COUNTA(C631:K631)=0,"Blank",
AND(_xlpm.missing=FALSE,ROWS(_xlpm.missing)=1),"Complete",
    ROWS(_xlpm.missing)&gt;0,_xlpm.missing_string,
    TRUE,"Error"
  )
)</f>
        <v>Blank</v>
      </c>
      <c r="B6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2" spans="1:2" x14ac:dyDescent="0.3">
      <c r="A632" s="2" t="str" cm="1">
        <f t="array" ref="A632">_xlfn.LET(
  _xlpm.key,_xlfn.TEXTSPLIT("Email,Org,IRN,Impact",","),
  _xlpm.complete,ISBLANK(H632:K632),
  _xlpm.missing,_xlfn._xlws.FILTER(_xlpm.key,_xlpm.complete,FALSE()),
  _xlpm.missing_string,"Missing: "&amp;_xlfn.TEXTJOIN(", ",TRUE,_xlpm.missing),
  _xlfn.IFS(
    COUNTA(C632:K632)=0,"Blank",
AND(_xlpm.missing=FALSE,ROWS(_xlpm.missing)=1),"Complete",
    ROWS(_xlpm.missing)&gt;0,_xlpm.missing_string,
    TRUE,"Error"
  )
)</f>
        <v>Blank</v>
      </c>
      <c r="B6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3" spans="1:2" x14ac:dyDescent="0.3">
      <c r="A633" s="2" t="str" cm="1">
        <f t="array" ref="A633">_xlfn.LET(
  _xlpm.key,_xlfn.TEXTSPLIT("Email,Org,IRN,Impact",","),
  _xlpm.complete,ISBLANK(H633:K633),
  _xlpm.missing,_xlfn._xlws.FILTER(_xlpm.key,_xlpm.complete,FALSE()),
  _xlpm.missing_string,"Missing: "&amp;_xlfn.TEXTJOIN(", ",TRUE,_xlpm.missing),
  _xlfn.IFS(
    COUNTA(C633:K633)=0,"Blank",
AND(_xlpm.missing=FALSE,ROWS(_xlpm.missing)=1),"Complete",
    ROWS(_xlpm.missing)&gt;0,_xlpm.missing_string,
    TRUE,"Error"
  )
)</f>
        <v>Blank</v>
      </c>
      <c r="B6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4" spans="1:2" x14ac:dyDescent="0.3">
      <c r="A634" s="2" t="str" cm="1">
        <f t="array" ref="A634">_xlfn.LET(
  _xlpm.key,_xlfn.TEXTSPLIT("Email,Org,IRN,Impact",","),
  _xlpm.complete,ISBLANK(H634:K634),
  _xlpm.missing,_xlfn._xlws.FILTER(_xlpm.key,_xlpm.complete,FALSE()),
  _xlpm.missing_string,"Missing: "&amp;_xlfn.TEXTJOIN(", ",TRUE,_xlpm.missing),
  _xlfn.IFS(
    COUNTA(C634:K634)=0,"Blank",
AND(_xlpm.missing=FALSE,ROWS(_xlpm.missing)=1),"Complete",
    ROWS(_xlpm.missing)&gt;0,_xlpm.missing_string,
    TRUE,"Error"
  )
)</f>
        <v>Blank</v>
      </c>
      <c r="B6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5" spans="1:2" x14ac:dyDescent="0.3">
      <c r="A635" s="2" t="str" cm="1">
        <f t="array" ref="A635">_xlfn.LET(
  _xlpm.key,_xlfn.TEXTSPLIT("Email,Org,IRN,Impact",","),
  _xlpm.complete,ISBLANK(H635:K635),
  _xlpm.missing,_xlfn._xlws.FILTER(_xlpm.key,_xlpm.complete,FALSE()),
  _xlpm.missing_string,"Missing: "&amp;_xlfn.TEXTJOIN(", ",TRUE,_xlpm.missing),
  _xlfn.IFS(
    COUNTA(C635:K635)=0,"Blank",
AND(_xlpm.missing=FALSE,ROWS(_xlpm.missing)=1),"Complete",
    ROWS(_xlpm.missing)&gt;0,_xlpm.missing_string,
    TRUE,"Error"
  )
)</f>
        <v>Blank</v>
      </c>
      <c r="B6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6" spans="1:2" x14ac:dyDescent="0.3">
      <c r="A636" s="2" t="str" cm="1">
        <f t="array" ref="A636">_xlfn.LET(
  _xlpm.key,_xlfn.TEXTSPLIT("Email,Org,IRN,Impact",","),
  _xlpm.complete,ISBLANK(H636:K636),
  _xlpm.missing,_xlfn._xlws.FILTER(_xlpm.key,_xlpm.complete,FALSE()),
  _xlpm.missing_string,"Missing: "&amp;_xlfn.TEXTJOIN(", ",TRUE,_xlpm.missing),
  _xlfn.IFS(
    COUNTA(C636:K636)=0,"Blank",
AND(_xlpm.missing=FALSE,ROWS(_xlpm.missing)=1),"Complete",
    ROWS(_xlpm.missing)&gt;0,_xlpm.missing_string,
    TRUE,"Error"
  )
)</f>
        <v>Blank</v>
      </c>
      <c r="B6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7" spans="1:2" x14ac:dyDescent="0.3">
      <c r="A637" s="2" t="str" cm="1">
        <f t="array" ref="A637">_xlfn.LET(
  _xlpm.key,_xlfn.TEXTSPLIT("Email,Org,IRN,Impact",","),
  _xlpm.complete,ISBLANK(H637:K637),
  _xlpm.missing,_xlfn._xlws.FILTER(_xlpm.key,_xlpm.complete,FALSE()),
  _xlpm.missing_string,"Missing: "&amp;_xlfn.TEXTJOIN(", ",TRUE,_xlpm.missing),
  _xlfn.IFS(
    COUNTA(C637:K637)=0,"Blank",
AND(_xlpm.missing=FALSE,ROWS(_xlpm.missing)=1),"Complete",
    ROWS(_xlpm.missing)&gt;0,_xlpm.missing_string,
    TRUE,"Error"
  )
)</f>
        <v>Blank</v>
      </c>
      <c r="B6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8" spans="1:2" x14ac:dyDescent="0.3">
      <c r="A638" s="2" t="str" cm="1">
        <f t="array" ref="A638">_xlfn.LET(
  _xlpm.key,_xlfn.TEXTSPLIT("Email,Org,IRN,Impact",","),
  _xlpm.complete,ISBLANK(H638:K638),
  _xlpm.missing,_xlfn._xlws.FILTER(_xlpm.key,_xlpm.complete,FALSE()),
  _xlpm.missing_string,"Missing: "&amp;_xlfn.TEXTJOIN(", ",TRUE,_xlpm.missing),
  _xlfn.IFS(
    COUNTA(C638:K638)=0,"Blank",
AND(_xlpm.missing=FALSE,ROWS(_xlpm.missing)=1),"Complete",
    ROWS(_xlpm.missing)&gt;0,_xlpm.missing_string,
    TRUE,"Error"
  )
)</f>
        <v>Blank</v>
      </c>
      <c r="B6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39" spans="1:2" x14ac:dyDescent="0.3">
      <c r="A639" s="2" t="str" cm="1">
        <f t="array" ref="A639">_xlfn.LET(
  _xlpm.key,_xlfn.TEXTSPLIT("Email,Org,IRN,Impact",","),
  _xlpm.complete,ISBLANK(H639:K639),
  _xlpm.missing,_xlfn._xlws.FILTER(_xlpm.key,_xlpm.complete,FALSE()),
  _xlpm.missing_string,"Missing: "&amp;_xlfn.TEXTJOIN(", ",TRUE,_xlpm.missing),
  _xlfn.IFS(
    COUNTA(C639:K639)=0,"Blank",
AND(_xlpm.missing=FALSE,ROWS(_xlpm.missing)=1),"Complete",
    ROWS(_xlpm.missing)&gt;0,_xlpm.missing_string,
    TRUE,"Error"
  )
)</f>
        <v>Blank</v>
      </c>
      <c r="B6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0" spans="1:2" x14ac:dyDescent="0.3">
      <c r="A640" s="2" t="str" cm="1">
        <f t="array" ref="A640">_xlfn.LET(
  _xlpm.key,_xlfn.TEXTSPLIT("Email,Org,IRN,Impact",","),
  _xlpm.complete,ISBLANK(H640:K640),
  _xlpm.missing,_xlfn._xlws.FILTER(_xlpm.key,_xlpm.complete,FALSE()),
  _xlpm.missing_string,"Missing: "&amp;_xlfn.TEXTJOIN(", ",TRUE,_xlpm.missing),
  _xlfn.IFS(
    COUNTA(C640:K640)=0,"Blank",
AND(_xlpm.missing=FALSE,ROWS(_xlpm.missing)=1),"Complete",
    ROWS(_xlpm.missing)&gt;0,_xlpm.missing_string,
    TRUE,"Error"
  )
)</f>
        <v>Blank</v>
      </c>
      <c r="B6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1" spans="1:2" x14ac:dyDescent="0.3">
      <c r="A641" s="2" t="str" cm="1">
        <f t="array" ref="A641">_xlfn.LET(
  _xlpm.key,_xlfn.TEXTSPLIT("Email,Org,IRN,Impact",","),
  _xlpm.complete,ISBLANK(H641:K641),
  _xlpm.missing,_xlfn._xlws.FILTER(_xlpm.key,_xlpm.complete,FALSE()),
  _xlpm.missing_string,"Missing: "&amp;_xlfn.TEXTJOIN(", ",TRUE,_xlpm.missing),
  _xlfn.IFS(
    COUNTA(C641:K641)=0,"Blank",
AND(_xlpm.missing=FALSE,ROWS(_xlpm.missing)=1),"Complete",
    ROWS(_xlpm.missing)&gt;0,_xlpm.missing_string,
    TRUE,"Error"
  )
)</f>
        <v>Blank</v>
      </c>
      <c r="B6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2" spans="1:2" x14ac:dyDescent="0.3">
      <c r="A642" s="2" t="str" cm="1">
        <f t="array" ref="A642">_xlfn.LET(
  _xlpm.key,_xlfn.TEXTSPLIT("Email,Org,IRN,Impact",","),
  _xlpm.complete,ISBLANK(H642:K642),
  _xlpm.missing,_xlfn._xlws.FILTER(_xlpm.key,_xlpm.complete,FALSE()),
  _xlpm.missing_string,"Missing: "&amp;_xlfn.TEXTJOIN(", ",TRUE,_xlpm.missing),
  _xlfn.IFS(
    COUNTA(C642:K642)=0,"Blank",
AND(_xlpm.missing=FALSE,ROWS(_xlpm.missing)=1),"Complete",
    ROWS(_xlpm.missing)&gt;0,_xlpm.missing_string,
    TRUE,"Error"
  )
)</f>
        <v>Blank</v>
      </c>
      <c r="B6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3" spans="1:2" x14ac:dyDescent="0.3">
      <c r="A643" s="2" t="str" cm="1">
        <f t="array" ref="A643">_xlfn.LET(
  _xlpm.key,_xlfn.TEXTSPLIT("Email,Org,IRN,Impact",","),
  _xlpm.complete,ISBLANK(H643:K643),
  _xlpm.missing,_xlfn._xlws.FILTER(_xlpm.key,_xlpm.complete,FALSE()),
  _xlpm.missing_string,"Missing: "&amp;_xlfn.TEXTJOIN(", ",TRUE,_xlpm.missing),
  _xlfn.IFS(
    COUNTA(C643:K643)=0,"Blank",
AND(_xlpm.missing=FALSE,ROWS(_xlpm.missing)=1),"Complete",
    ROWS(_xlpm.missing)&gt;0,_xlpm.missing_string,
    TRUE,"Error"
  )
)</f>
        <v>Blank</v>
      </c>
      <c r="B6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4" spans="1:2" x14ac:dyDescent="0.3">
      <c r="A644" s="2" t="str" cm="1">
        <f t="array" ref="A644">_xlfn.LET(
  _xlpm.key,_xlfn.TEXTSPLIT("Email,Org,IRN,Impact",","),
  _xlpm.complete,ISBLANK(H644:K644),
  _xlpm.missing,_xlfn._xlws.FILTER(_xlpm.key,_xlpm.complete,FALSE()),
  _xlpm.missing_string,"Missing: "&amp;_xlfn.TEXTJOIN(", ",TRUE,_xlpm.missing),
  _xlfn.IFS(
    COUNTA(C644:K644)=0,"Blank",
AND(_xlpm.missing=FALSE,ROWS(_xlpm.missing)=1),"Complete",
    ROWS(_xlpm.missing)&gt;0,_xlpm.missing_string,
    TRUE,"Error"
  )
)</f>
        <v>Blank</v>
      </c>
      <c r="B6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5" spans="1:2" x14ac:dyDescent="0.3">
      <c r="A645" s="2" t="str" cm="1">
        <f t="array" ref="A645">_xlfn.LET(
  _xlpm.key,_xlfn.TEXTSPLIT("Email,Org,IRN,Impact",","),
  _xlpm.complete,ISBLANK(H645:K645),
  _xlpm.missing,_xlfn._xlws.FILTER(_xlpm.key,_xlpm.complete,FALSE()),
  _xlpm.missing_string,"Missing: "&amp;_xlfn.TEXTJOIN(", ",TRUE,_xlpm.missing),
  _xlfn.IFS(
    COUNTA(C645:K645)=0,"Blank",
AND(_xlpm.missing=FALSE,ROWS(_xlpm.missing)=1),"Complete",
    ROWS(_xlpm.missing)&gt;0,_xlpm.missing_string,
    TRUE,"Error"
  )
)</f>
        <v>Blank</v>
      </c>
      <c r="B6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6" spans="1:2" x14ac:dyDescent="0.3">
      <c r="A646" s="2" t="str" cm="1">
        <f t="array" ref="A646">_xlfn.LET(
  _xlpm.key,_xlfn.TEXTSPLIT("Email,Org,IRN,Impact",","),
  _xlpm.complete,ISBLANK(H646:K646),
  _xlpm.missing,_xlfn._xlws.FILTER(_xlpm.key,_xlpm.complete,FALSE()),
  _xlpm.missing_string,"Missing: "&amp;_xlfn.TEXTJOIN(", ",TRUE,_xlpm.missing),
  _xlfn.IFS(
    COUNTA(C646:K646)=0,"Blank",
AND(_xlpm.missing=FALSE,ROWS(_xlpm.missing)=1),"Complete",
    ROWS(_xlpm.missing)&gt;0,_xlpm.missing_string,
    TRUE,"Error"
  )
)</f>
        <v>Blank</v>
      </c>
      <c r="B6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7" spans="1:2" x14ac:dyDescent="0.3">
      <c r="A647" s="2" t="str" cm="1">
        <f t="array" ref="A647">_xlfn.LET(
  _xlpm.key,_xlfn.TEXTSPLIT("Email,Org,IRN,Impact",","),
  _xlpm.complete,ISBLANK(H647:K647),
  _xlpm.missing,_xlfn._xlws.FILTER(_xlpm.key,_xlpm.complete,FALSE()),
  _xlpm.missing_string,"Missing: "&amp;_xlfn.TEXTJOIN(", ",TRUE,_xlpm.missing),
  _xlfn.IFS(
    COUNTA(C647:K647)=0,"Blank",
AND(_xlpm.missing=FALSE,ROWS(_xlpm.missing)=1),"Complete",
    ROWS(_xlpm.missing)&gt;0,_xlpm.missing_string,
    TRUE,"Error"
  )
)</f>
        <v>Blank</v>
      </c>
      <c r="B6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8" spans="1:2" x14ac:dyDescent="0.3">
      <c r="A648" s="2" t="str" cm="1">
        <f t="array" ref="A648">_xlfn.LET(
  _xlpm.key,_xlfn.TEXTSPLIT("Email,Org,IRN,Impact",","),
  _xlpm.complete,ISBLANK(H648:K648),
  _xlpm.missing,_xlfn._xlws.FILTER(_xlpm.key,_xlpm.complete,FALSE()),
  _xlpm.missing_string,"Missing: "&amp;_xlfn.TEXTJOIN(", ",TRUE,_xlpm.missing),
  _xlfn.IFS(
    COUNTA(C648:K648)=0,"Blank",
AND(_xlpm.missing=FALSE,ROWS(_xlpm.missing)=1),"Complete",
    ROWS(_xlpm.missing)&gt;0,_xlpm.missing_string,
    TRUE,"Error"
  )
)</f>
        <v>Blank</v>
      </c>
      <c r="B6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49" spans="1:2" x14ac:dyDescent="0.3">
      <c r="A649" s="2" t="str" cm="1">
        <f t="array" ref="A649">_xlfn.LET(
  _xlpm.key,_xlfn.TEXTSPLIT("Email,Org,IRN,Impact",","),
  _xlpm.complete,ISBLANK(H649:K649),
  _xlpm.missing,_xlfn._xlws.FILTER(_xlpm.key,_xlpm.complete,FALSE()),
  _xlpm.missing_string,"Missing: "&amp;_xlfn.TEXTJOIN(", ",TRUE,_xlpm.missing),
  _xlfn.IFS(
    COUNTA(C649:K649)=0,"Blank",
AND(_xlpm.missing=FALSE,ROWS(_xlpm.missing)=1),"Complete",
    ROWS(_xlpm.missing)&gt;0,_xlpm.missing_string,
    TRUE,"Error"
  )
)</f>
        <v>Blank</v>
      </c>
      <c r="B6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0" spans="1:2" x14ac:dyDescent="0.3">
      <c r="A650" s="2" t="str" cm="1">
        <f t="array" ref="A650">_xlfn.LET(
  _xlpm.key,_xlfn.TEXTSPLIT("Email,Org,IRN,Impact",","),
  _xlpm.complete,ISBLANK(H650:K650),
  _xlpm.missing,_xlfn._xlws.FILTER(_xlpm.key,_xlpm.complete,FALSE()),
  _xlpm.missing_string,"Missing: "&amp;_xlfn.TEXTJOIN(", ",TRUE,_xlpm.missing),
  _xlfn.IFS(
    COUNTA(C650:K650)=0,"Blank",
AND(_xlpm.missing=FALSE,ROWS(_xlpm.missing)=1),"Complete",
    ROWS(_xlpm.missing)&gt;0,_xlpm.missing_string,
    TRUE,"Error"
  )
)</f>
        <v>Blank</v>
      </c>
      <c r="B6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1" spans="1:2" x14ac:dyDescent="0.3">
      <c r="A651" s="2" t="str" cm="1">
        <f t="array" ref="A651">_xlfn.LET(
  _xlpm.key,_xlfn.TEXTSPLIT("Email,Org,IRN,Impact",","),
  _xlpm.complete,ISBLANK(H651:K651),
  _xlpm.missing,_xlfn._xlws.FILTER(_xlpm.key,_xlpm.complete,FALSE()),
  _xlpm.missing_string,"Missing: "&amp;_xlfn.TEXTJOIN(", ",TRUE,_xlpm.missing),
  _xlfn.IFS(
    COUNTA(C651:K651)=0,"Blank",
AND(_xlpm.missing=FALSE,ROWS(_xlpm.missing)=1),"Complete",
    ROWS(_xlpm.missing)&gt;0,_xlpm.missing_string,
    TRUE,"Error"
  )
)</f>
        <v>Blank</v>
      </c>
      <c r="B6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2" spans="1:2" x14ac:dyDescent="0.3">
      <c r="A652" s="2" t="str" cm="1">
        <f t="array" ref="A652">_xlfn.LET(
  _xlpm.key,_xlfn.TEXTSPLIT("Email,Org,IRN,Impact",","),
  _xlpm.complete,ISBLANK(H652:K652),
  _xlpm.missing,_xlfn._xlws.FILTER(_xlpm.key,_xlpm.complete,FALSE()),
  _xlpm.missing_string,"Missing: "&amp;_xlfn.TEXTJOIN(", ",TRUE,_xlpm.missing),
  _xlfn.IFS(
    COUNTA(C652:K652)=0,"Blank",
AND(_xlpm.missing=FALSE,ROWS(_xlpm.missing)=1),"Complete",
    ROWS(_xlpm.missing)&gt;0,_xlpm.missing_string,
    TRUE,"Error"
  )
)</f>
        <v>Blank</v>
      </c>
      <c r="B6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3" spans="1:2" x14ac:dyDescent="0.3">
      <c r="A653" s="2" t="str" cm="1">
        <f t="array" ref="A653">_xlfn.LET(
  _xlpm.key,_xlfn.TEXTSPLIT("Email,Org,IRN,Impact",","),
  _xlpm.complete,ISBLANK(H653:K653),
  _xlpm.missing,_xlfn._xlws.FILTER(_xlpm.key,_xlpm.complete,FALSE()),
  _xlpm.missing_string,"Missing: "&amp;_xlfn.TEXTJOIN(", ",TRUE,_xlpm.missing),
  _xlfn.IFS(
    COUNTA(C653:K653)=0,"Blank",
AND(_xlpm.missing=FALSE,ROWS(_xlpm.missing)=1),"Complete",
    ROWS(_xlpm.missing)&gt;0,_xlpm.missing_string,
    TRUE,"Error"
  )
)</f>
        <v>Blank</v>
      </c>
      <c r="B6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4" spans="1:2" x14ac:dyDescent="0.3">
      <c r="A654" s="2" t="str" cm="1">
        <f t="array" ref="A654">_xlfn.LET(
  _xlpm.key,_xlfn.TEXTSPLIT("Email,Org,IRN,Impact",","),
  _xlpm.complete,ISBLANK(H654:K654),
  _xlpm.missing,_xlfn._xlws.FILTER(_xlpm.key,_xlpm.complete,FALSE()),
  _xlpm.missing_string,"Missing: "&amp;_xlfn.TEXTJOIN(", ",TRUE,_xlpm.missing),
  _xlfn.IFS(
    COUNTA(C654:K654)=0,"Blank",
AND(_xlpm.missing=FALSE,ROWS(_xlpm.missing)=1),"Complete",
    ROWS(_xlpm.missing)&gt;0,_xlpm.missing_string,
    TRUE,"Error"
  )
)</f>
        <v>Blank</v>
      </c>
      <c r="B6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5" spans="1:2" x14ac:dyDescent="0.3">
      <c r="A655" s="2" t="str" cm="1">
        <f t="array" ref="A655">_xlfn.LET(
  _xlpm.key,_xlfn.TEXTSPLIT("Email,Org,IRN,Impact",","),
  _xlpm.complete,ISBLANK(H655:K655),
  _xlpm.missing,_xlfn._xlws.FILTER(_xlpm.key,_xlpm.complete,FALSE()),
  _xlpm.missing_string,"Missing: "&amp;_xlfn.TEXTJOIN(", ",TRUE,_xlpm.missing),
  _xlfn.IFS(
    COUNTA(C655:K655)=0,"Blank",
AND(_xlpm.missing=FALSE,ROWS(_xlpm.missing)=1),"Complete",
    ROWS(_xlpm.missing)&gt;0,_xlpm.missing_string,
    TRUE,"Error"
  )
)</f>
        <v>Blank</v>
      </c>
      <c r="B6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6" spans="1:2" x14ac:dyDescent="0.3">
      <c r="A656" s="2" t="str" cm="1">
        <f t="array" ref="A656">_xlfn.LET(
  _xlpm.key,_xlfn.TEXTSPLIT("Email,Org,IRN,Impact",","),
  _xlpm.complete,ISBLANK(H656:K656),
  _xlpm.missing,_xlfn._xlws.FILTER(_xlpm.key,_xlpm.complete,FALSE()),
  _xlpm.missing_string,"Missing: "&amp;_xlfn.TEXTJOIN(", ",TRUE,_xlpm.missing),
  _xlfn.IFS(
    COUNTA(C656:K656)=0,"Blank",
AND(_xlpm.missing=FALSE,ROWS(_xlpm.missing)=1),"Complete",
    ROWS(_xlpm.missing)&gt;0,_xlpm.missing_string,
    TRUE,"Error"
  )
)</f>
        <v>Blank</v>
      </c>
      <c r="B6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7" spans="1:2" x14ac:dyDescent="0.3">
      <c r="A657" s="2" t="str" cm="1">
        <f t="array" ref="A657">_xlfn.LET(
  _xlpm.key,_xlfn.TEXTSPLIT("Email,Org,IRN,Impact",","),
  _xlpm.complete,ISBLANK(H657:K657),
  _xlpm.missing,_xlfn._xlws.FILTER(_xlpm.key,_xlpm.complete,FALSE()),
  _xlpm.missing_string,"Missing: "&amp;_xlfn.TEXTJOIN(", ",TRUE,_xlpm.missing),
  _xlfn.IFS(
    COUNTA(C657:K657)=0,"Blank",
AND(_xlpm.missing=FALSE,ROWS(_xlpm.missing)=1),"Complete",
    ROWS(_xlpm.missing)&gt;0,_xlpm.missing_string,
    TRUE,"Error"
  )
)</f>
        <v>Blank</v>
      </c>
      <c r="B6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8" spans="1:2" x14ac:dyDescent="0.3">
      <c r="A658" s="2" t="str" cm="1">
        <f t="array" ref="A658">_xlfn.LET(
  _xlpm.key,_xlfn.TEXTSPLIT("Email,Org,IRN,Impact",","),
  _xlpm.complete,ISBLANK(H658:K658),
  _xlpm.missing,_xlfn._xlws.FILTER(_xlpm.key,_xlpm.complete,FALSE()),
  _xlpm.missing_string,"Missing: "&amp;_xlfn.TEXTJOIN(", ",TRUE,_xlpm.missing),
  _xlfn.IFS(
    COUNTA(C658:K658)=0,"Blank",
AND(_xlpm.missing=FALSE,ROWS(_xlpm.missing)=1),"Complete",
    ROWS(_xlpm.missing)&gt;0,_xlpm.missing_string,
    TRUE,"Error"
  )
)</f>
        <v>Blank</v>
      </c>
      <c r="B6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59" spans="1:2" x14ac:dyDescent="0.3">
      <c r="A659" s="2" t="str" cm="1">
        <f t="array" ref="A659">_xlfn.LET(
  _xlpm.key,_xlfn.TEXTSPLIT("Email,Org,IRN,Impact",","),
  _xlpm.complete,ISBLANK(H659:K659),
  _xlpm.missing,_xlfn._xlws.FILTER(_xlpm.key,_xlpm.complete,FALSE()),
  _xlpm.missing_string,"Missing: "&amp;_xlfn.TEXTJOIN(", ",TRUE,_xlpm.missing),
  _xlfn.IFS(
    COUNTA(C659:K659)=0,"Blank",
AND(_xlpm.missing=FALSE,ROWS(_xlpm.missing)=1),"Complete",
    ROWS(_xlpm.missing)&gt;0,_xlpm.missing_string,
    TRUE,"Error"
  )
)</f>
        <v>Blank</v>
      </c>
      <c r="B6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0" spans="1:2" x14ac:dyDescent="0.3">
      <c r="A660" s="2" t="str" cm="1">
        <f t="array" ref="A660">_xlfn.LET(
  _xlpm.key,_xlfn.TEXTSPLIT("Email,Org,IRN,Impact",","),
  _xlpm.complete,ISBLANK(H660:K660),
  _xlpm.missing,_xlfn._xlws.FILTER(_xlpm.key,_xlpm.complete,FALSE()),
  _xlpm.missing_string,"Missing: "&amp;_xlfn.TEXTJOIN(", ",TRUE,_xlpm.missing),
  _xlfn.IFS(
    COUNTA(C660:K660)=0,"Blank",
AND(_xlpm.missing=FALSE,ROWS(_xlpm.missing)=1),"Complete",
    ROWS(_xlpm.missing)&gt;0,_xlpm.missing_string,
    TRUE,"Error"
  )
)</f>
        <v>Blank</v>
      </c>
      <c r="B6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1" spans="1:2" x14ac:dyDescent="0.3">
      <c r="A661" s="2" t="str" cm="1">
        <f t="array" ref="A661">_xlfn.LET(
  _xlpm.key,_xlfn.TEXTSPLIT("Email,Org,IRN,Impact",","),
  _xlpm.complete,ISBLANK(H661:K661),
  _xlpm.missing,_xlfn._xlws.FILTER(_xlpm.key,_xlpm.complete,FALSE()),
  _xlpm.missing_string,"Missing: "&amp;_xlfn.TEXTJOIN(", ",TRUE,_xlpm.missing),
  _xlfn.IFS(
    COUNTA(C661:K661)=0,"Blank",
AND(_xlpm.missing=FALSE,ROWS(_xlpm.missing)=1),"Complete",
    ROWS(_xlpm.missing)&gt;0,_xlpm.missing_string,
    TRUE,"Error"
  )
)</f>
        <v>Blank</v>
      </c>
      <c r="B6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2" spans="1:2" x14ac:dyDescent="0.3">
      <c r="A662" s="2" t="str" cm="1">
        <f t="array" ref="A662">_xlfn.LET(
  _xlpm.key,_xlfn.TEXTSPLIT("Email,Org,IRN,Impact",","),
  _xlpm.complete,ISBLANK(H662:K662),
  _xlpm.missing,_xlfn._xlws.FILTER(_xlpm.key,_xlpm.complete,FALSE()),
  _xlpm.missing_string,"Missing: "&amp;_xlfn.TEXTJOIN(", ",TRUE,_xlpm.missing),
  _xlfn.IFS(
    COUNTA(C662:K662)=0,"Blank",
AND(_xlpm.missing=FALSE,ROWS(_xlpm.missing)=1),"Complete",
    ROWS(_xlpm.missing)&gt;0,_xlpm.missing_string,
    TRUE,"Error"
  )
)</f>
        <v>Blank</v>
      </c>
      <c r="B6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3" spans="1:2" x14ac:dyDescent="0.3">
      <c r="A663" s="2" t="str" cm="1">
        <f t="array" ref="A663">_xlfn.LET(
  _xlpm.key,_xlfn.TEXTSPLIT("Email,Org,IRN,Impact",","),
  _xlpm.complete,ISBLANK(H663:K663),
  _xlpm.missing,_xlfn._xlws.FILTER(_xlpm.key,_xlpm.complete,FALSE()),
  _xlpm.missing_string,"Missing: "&amp;_xlfn.TEXTJOIN(", ",TRUE,_xlpm.missing),
  _xlfn.IFS(
    COUNTA(C663:K663)=0,"Blank",
AND(_xlpm.missing=FALSE,ROWS(_xlpm.missing)=1),"Complete",
    ROWS(_xlpm.missing)&gt;0,_xlpm.missing_string,
    TRUE,"Error"
  )
)</f>
        <v>Blank</v>
      </c>
      <c r="B6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4" spans="1:2" x14ac:dyDescent="0.3">
      <c r="A664" s="2" t="str" cm="1">
        <f t="array" ref="A664">_xlfn.LET(
  _xlpm.key,_xlfn.TEXTSPLIT("Email,Org,IRN,Impact",","),
  _xlpm.complete,ISBLANK(H664:K664),
  _xlpm.missing,_xlfn._xlws.FILTER(_xlpm.key,_xlpm.complete,FALSE()),
  _xlpm.missing_string,"Missing: "&amp;_xlfn.TEXTJOIN(", ",TRUE,_xlpm.missing),
  _xlfn.IFS(
    COUNTA(C664:K664)=0,"Blank",
AND(_xlpm.missing=FALSE,ROWS(_xlpm.missing)=1),"Complete",
    ROWS(_xlpm.missing)&gt;0,_xlpm.missing_string,
    TRUE,"Error"
  )
)</f>
        <v>Blank</v>
      </c>
      <c r="B6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5" spans="1:2" x14ac:dyDescent="0.3">
      <c r="A665" s="2" t="str" cm="1">
        <f t="array" ref="A665">_xlfn.LET(
  _xlpm.key,_xlfn.TEXTSPLIT("Email,Org,IRN,Impact",","),
  _xlpm.complete,ISBLANK(H665:K665),
  _xlpm.missing,_xlfn._xlws.FILTER(_xlpm.key,_xlpm.complete,FALSE()),
  _xlpm.missing_string,"Missing: "&amp;_xlfn.TEXTJOIN(", ",TRUE,_xlpm.missing),
  _xlfn.IFS(
    COUNTA(C665:K665)=0,"Blank",
AND(_xlpm.missing=FALSE,ROWS(_xlpm.missing)=1),"Complete",
    ROWS(_xlpm.missing)&gt;0,_xlpm.missing_string,
    TRUE,"Error"
  )
)</f>
        <v>Blank</v>
      </c>
      <c r="B6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6" spans="1:2" x14ac:dyDescent="0.3">
      <c r="A666" s="2" t="str" cm="1">
        <f t="array" ref="A666">_xlfn.LET(
  _xlpm.key,_xlfn.TEXTSPLIT("Email,Org,IRN,Impact",","),
  _xlpm.complete,ISBLANK(H666:K666),
  _xlpm.missing,_xlfn._xlws.FILTER(_xlpm.key,_xlpm.complete,FALSE()),
  _xlpm.missing_string,"Missing: "&amp;_xlfn.TEXTJOIN(", ",TRUE,_xlpm.missing),
  _xlfn.IFS(
    COUNTA(C666:K666)=0,"Blank",
AND(_xlpm.missing=FALSE,ROWS(_xlpm.missing)=1),"Complete",
    ROWS(_xlpm.missing)&gt;0,_xlpm.missing_string,
    TRUE,"Error"
  )
)</f>
        <v>Blank</v>
      </c>
      <c r="B6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7" spans="1:2" x14ac:dyDescent="0.3">
      <c r="A667" s="2" t="str" cm="1">
        <f t="array" ref="A667">_xlfn.LET(
  _xlpm.key,_xlfn.TEXTSPLIT("Email,Org,IRN,Impact",","),
  _xlpm.complete,ISBLANK(H667:K667),
  _xlpm.missing,_xlfn._xlws.FILTER(_xlpm.key,_xlpm.complete,FALSE()),
  _xlpm.missing_string,"Missing: "&amp;_xlfn.TEXTJOIN(", ",TRUE,_xlpm.missing),
  _xlfn.IFS(
    COUNTA(C667:K667)=0,"Blank",
AND(_xlpm.missing=FALSE,ROWS(_xlpm.missing)=1),"Complete",
    ROWS(_xlpm.missing)&gt;0,_xlpm.missing_string,
    TRUE,"Error"
  )
)</f>
        <v>Blank</v>
      </c>
      <c r="B6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8" spans="1:2" x14ac:dyDescent="0.3">
      <c r="A668" s="2" t="str" cm="1">
        <f t="array" ref="A668">_xlfn.LET(
  _xlpm.key,_xlfn.TEXTSPLIT("Email,Org,IRN,Impact",","),
  _xlpm.complete,ISBLANK(H668:K668),
  _xlpm.missing,_xlfn._xlws.FILTER(_xlpm.key,_xlpm.complete,FALSE()),
  _xlpm.missing_string,"Missing: "&amp;_xlfn.TEXTJOIN(", ",TRUE,_xlpm.missing),
  _xlfn.IFS(
    COUNTA(C668:K668)=0,"Blank",
AND(_xlpm.missing=FALSE,ROWS(_xlpm.missing)=1),"Complete",
    ROWS(_xlpm.missing)&gt;0,_xlpm.missing_string,
    TRUE,"Error"
  )
)</f>
        <v>Blank</v>
      </c>
      <c r="B6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69" spans="1:2" x14ac:dyDescent="0.3">
      <c r="A669" s="2" t="str" cm="1">
        <f t="array" ref="A669">_xlfn.LET(
  _xlpm.key,_xlfn.TEXTSPLIT("Email,Org,IRN,Impact",","),
  _xlpm.complete,ISBLANK(H669:K669),
  _xlpm.missing,_xlfn._xlws.FILTER(_xlpm.key,_xlpm.complete,FALSE()),
  _xlpm.missing_string,"Missing: "&amp;_xlfn.TEXTJOIN(", ",TRUE,_xlpm.missing),
  _xlfn.IFS(
    COUNTA(C669:K669)=0,"Blank",
AND(_xlpm.missing=FALSE,ROWS(_xlpm.missing)=1),"Complete",
    ROWS(_xlpm.missing)&gt;0,_xlpm.missing_string,
    TRUE,"Error"
  )
)</f>
        <v>Blank</v>
      </c>
      <c r="B6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0" spans="1:2" x14ac:dyDescent="0.3">
      <c r="A670" s="2" t="str" cm="1">
        <f t="array" ref="A670">_xlfn.LET(
  _xlpm.key,_xlfn.TEXTSPLIT("Email,Org,IRN,Impact",","),
  _xlpm.complete,ISBLANK(H670:K670),
  _xlpm.missing,_xlfn._xlws.FILTER(_xlpm.key,_xlpm.complete,FALSE()),
  _xlpm.missing_string,"Missing: "&amp;_xlfn.TEXTJOIN(", ",TRUE,_xlpm.missing),
  _xlfn.IFS(
    COUNTA(C670:K670)=0,"Blank",
AND(_xlpm.missing=FALSE,ROWS(_xlpm.missing)=1),"Complete",
    ROWS(_xlpm.missing)&gt;0,_xlpm.missing_string,
    TRUE,"Error"
  )
)</f>
        <v>Blank</v>
      </c>
      <c r="B6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1" spans="1:2" x14ac:dyDescent="0.3">
      <c r="A671" s="2" t="str" cm="1">
        <f t="array" ref="A671">_xlfn.LET(
  _xlpm.key,_xlfn.TEXTSPLIT("Email,Org,IRN,Impact",","),
  _xlpm.complete,ISBLANK(H671:K671),
  _xlpm.missing,_xlfn._xlws.FILTER(_xlpm.key,_xlpm.complete,FALSE()),
  _xlpm.missing_string,"Missing: "&amp;_xlfn.TEXTJOIN(", ",TRUE,_xlpm.missing),
  _xlfn.IFS(
    COUNTA(C671:K671)=0,"Blank",
AND(_xlpm.missing=FALSE,ROWS(_xlpm.missing)=1),"Complete",
    ROWS(_xlpm.missing)&gt;0,_xlpm.missing_string,
    TRUE,"Error"
  )
)</f>
        <v>Blank</v>
      </c>
      <c r="B6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2" spans="1:2" x14ac:dyDescent="0.3">
      <c r="A672" s="2" t="str" cm="1">
        <f t="array" ref="A672">_xlfn.LET(
  _xlpm.key,_xlfn.TEXTSPLIT("Email,Org,IRN,Impact",","),
  _xlpm.complete,ISBLANK(H672:K672),
  _xlpm.missing,_xlfn._xlws.FILTER(_xlpm.key,_xlpm.complete,FALSE()),
  _xlpm.missing_string,"Missing: "&amp;_xlfn.TEXTJOIN(", ",TRUE,_xlpm.missing),
  _xlfn.IFS(
    COUNTA(C672:K672)=0,"Blank",
AND(_xlpm.missing=FALSE,ROWS(_xlpm.missing)=1),"Complete",
    ROWS(_xlpm.missing)&gt;0,_xlpm.missing_string,
    TRUE,"Error"
  )
)</f>
        <v>Blank</v>
      </c>
      <c r="B6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3" spans="1:2" x14ac:dyDescent="0.3">
      <c r="A673" s="2" t="str" cm="1">
        <f t="array" ref="A673">_xlfn.LET(
  _xlpm.key,_xlfn.TEXTSPLIT("Email,Org,IRN,Impact",","),
  _xlpm.complete,ISBLANK(H673:K673),
  _xlpm.missing,_xlfn._xlws.FILTER(_xlpm.key,_xlpm.complete,FALSE()),
  _xlpm.missing_string,"Missing: "&amp;_xlfn.TEXTJOIN(", ",TRUE,_xlpm.missing),
  _xlfn.IFS(
    COUNTA(C673:K673)=0,"Blank",
AND(_xlpm.missing=FALSE,ROWS(_xlpm.missing)=1),"Complete",
    ROWS(_xlpm.missing)&gt;0,_xlpm.missing_string,
    TRUE,"Error"
  )
)</f>
        <v>Blank</v>
      </c>
      <c r="B6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4" spans="1:2" x14ac:dyDescent="0.3">
      <c r="A674" s="2" t="str" cm="1">
        <f t="array" ref="A674">_xlfn.LET(
  _xlpm.key,_xlfn.TEXTSPLIT("Email,Org,IRN,Impact",","),
  _xlpm.complete,ISBLANK(H674:K674),
  _xlpm.missing,_xlfn._xlws.FILTER(_xlpm.key,_xlpm.complete,FALSE()),
  _xlpm.missing_string,"Missing: "&amp;_xlfn.TEXTJOIN(", ",TRUE,_xlpm.missing),
  _xlfn.IFS(
    COUNTA(C674:K674)=0,"Blank",
AND(_xlpm.missing=FALSE,ROWS(_xlpm.missing)=1),"Complete",
    ROWS(_xlpm.missing)&gt;0,_xlpm.missing_string,
    TRUE,"Error"
  )
)</f>
        <v>Blank</v>
      </c>
      <c r="B6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5" spans="1:2" x14ac:dyDescent="0.3">
      <c r="A675" s="2" t="str" cm="1">
        <f t="array" ref="A675">_xlfn.LET(
  _xlpm.key,_xlfn.TEXTSPLIT("Email,Org,IRN,Impact",","),
  _xlpm.complete,ISBLANK(H675:K675),
  _xlpm.missing,_xlfn._xlws.FILTER(_xlpm.key,_xlpm.complete,FALSE()),
  _xlpm.missing_string,"Missing: "&amp;_xlfn.TEXTJOIN(", ",TRUE,_xlpm.missing),
  _xlfn.IFS(
    COUNTA(C675:K675)=0,"Blank",
AND(_xlpm.missing=FALSE,ROWS(_xlpm.missing)=1),"Complete",
    ROWS(_xlpm.missing)&gt;0,_xlpm.missing_string,
    TRUE,"Error"
  )
)</f>
        <v>Blank</v>
      </c>
      <c r="B6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6" spans="1:2" x14ac:dyDescent="0.3">
      <c r="A676" s="2" t="str" cm="1">
        <f t="array" ref="A676">_xlfn.LET(
  _xlpm.key,_xlfn.TEXTSPLIT("Email,Org,IRN,Impact",","),
  _xlpm.complete,ISBLANK(H676:K676),
  _xlpm.missing,_xlfn._xlws.FILTER(_xlpm.key,_xlpm.complete,FALSE()),
  _xlpm.missing_string,"Missing: "&amp;_xlfn.TEXTJOIN(", ",TRUE,_xlpm.missing),
  _xlfn.IFS(
    COUNTA(C676:K676)=0,"Blank",
AND(_xlpm.missing=FALSE,ROWS(_xlpm.missing)=1),"Complete",
    ROWS(_xlpm.missing)&gt;0,_xlpm.missing_string,
    TRUE,"Error"
  )
)</f>
        <v>Blank</v>
      </c>
      <c r="B6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7" spans="1:2" x14ac:dyDescent="0.3">
      <c r="A677" s="2" t="str" cm="1">
        <f t="array" ref="A677">_xlfn.LET(
  _xlpm.key,_xlfn.TEXTSPLIT("Email,Org,IRN,Impact",","),
  _xlpm.complete,ISBLANK(H677:K677),
  _xlpm.missing,_xlfn._xlws.FILTER(_xlpm.key,_xlpm.complete,FALSE()),
  _xlpm.missing_string,"Missing: "&amp;_xlfn.TEXTJOIN(", ",TRUE,_xlpm.missing),
  _xlfn.IFS(
    COUNTA(C677:K677)=0,"Blank",
AND(_xlpm.missing=FALSE,ROWS(_xlpm.missing)=1),"Complete",
    ROWS(_xlpm.missing)&gt;0,_xlpm.missing_string,
    TRUE,"Error"
  )
)</f>
        <v>Blank</v>
      </c>
      <c r="B6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8" spans="1:2" x14ac:dyDescent="0.3">
      <c r="A678" s="2" t="str" cm="1">
        <f t="array" ref="A678">_xlfn.LET(
  _xlpm.key,_xlfn.TEXTSPLIT("Email,Org,IRN,Impact",","),
  _xlpm.complete,ISBLANK(H678:K678),
  _xlpm.missing,_xlfn._xlws.FILTER(_xlpm.key,_xlpm.complete,FALSE()),
  _xlpm.missing_string,"Missing: "&amp;_xlfn.TEXTJOIN(", ",TRUE,_xlpm.missing),
  _xlfn.IFS(
    COUNTA(C678:K678)=0,"Blank",
AND(_xlpm.missing=FALSE,ROWS(_xlpm.missing)=1),"Complete",
    ROWS(_xlpm.missing)&gt;0,_xlpm.missing_string,
    TRUE,"Error"
  )
)</f>
        <v>Blank</v>
      </c>
      <c r="B6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79" spans="1:2" x14ac:dyDescent="0.3">
      <c r="A679" s="2" t="str" cm="1">
        <f t="array" ref="A679">_xlfn.LET(
  _xlpm.key,_xlfn.TEXTSPLIT("Email,Org,IRN,Impact",","),
  _xlpm.complete,ISBLANK(H679:K679),
  _xlpm.missing,_xlfn._xlws.FILTER(_xlpm.key,_xlpm.complete,FALSE()),
  _xlpm.missing_string,"Missing: "&amp;_xlfn.TEXTJOIN(", ",TRUE,_xlpm.missing),
  _xlfn.IFS(
    COUNTA(C679:K679)=0,"Blank",
AND(_xlpm.missing=FALSE,ROWS(_xlpm.missing)=1),"Complete",
    ROWS(_xlpm.missing)&gt;0,_xlpm.missing_string,
    TRUE,"Error"
  )
)</f>
        <v>Blank</v>
      </c>
      <c r="B6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0" spans="1:2" x14ac:dyDescent="0.3">
      <c r="A680" s="2" t="str" cm="1">
        <f t="array" ref="A680">_xlfn.LET(
  _xlpm.key,_xlfn.TEXTSPLIT("Email,Org,IRN,Impact",","),
  _xlpm.complete,ISBLANK(H680:K680),
  _xlpm.missing,_xlfn._xlws.FILTER(_xlpm.key,_xlpm.complete,FALSE()),
  _xlpm.missing_string,"Missing: "&amp;_xlfn.TEXTJOIN(", ",TRUE,_xlpm.missing),
  _xlfn.IFS(
    COUNTA(C680:K680)=0,"Blank",
AND(_xlpm.missing=FALSE,ROWS(_xlpm.missing)=1),"Complete",
    ROWS(_xlpm.missing)&gt;0,_xlpm.missing_string,
    TRUE,"Error"
  )
)</f>
        <v>Blank</v>
      </c>
      <c r="B6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1" spans="1:2" x14ac:dyDescent="0.3">
      <c r="A681" s="2" t="str" cm="1">
        <f t="array" ref="A681">_xlfn.LET(
  _xlpm.key,_xlfn.TEXTSPLIT("Email,Org,IRN,Impact",","),
  _xlpm.complete,ISBLANK(H681:K681),
  _xlpm.missing,_xlfn._xlws.FILTER(_xlpm.key,_xlpm.complete,FALSE()),
  _xlpm.missing_string,"Missing: "&amp;_xlfn.TEXTJOIN(", ",TRUE,_xlpm.missing),
  _xlfn.IFS(
    COUNTA(C681:K681)=0,"Blank",
AND(_xlpm.missing=FALSE,ROWS(_xlpm.missing)=1),"Complete",
    ROWS(_xlpm.missing)&gt;0,_xlpm.missing_string,
    TRUE,"Error"
  )
)</f>
        <v>Blank</v>
      </c>
      <c r="B6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2" spans="1:2" x14ac:dyDescent="0.3">
      <c r="A682" s="2" t="str" cm="1">
        <f t="array" ref="A682">_xlfn.LET(
  _xlpm.key,_xlfn.TEXTSPLIT("Email,Org,IRN,Impact",","),
  _xlpm.complete,ISBLANK(H682:K682),
  _xlpm.missing,_xlfn._xlws.FILTER(_xlpm.key,_xlpm.complete,FALSE()),
  _xlpm.missing_string,"Missing: "&amp;_xlfn.TEXTJOIN(", ",TRUE,_xlpm.missing),
  _xlfn.IFS(
    COUNTA(C682:K682)=0,"Blank",
AND(_xlpm.missing=FALSE,ROWS(_xlpm.missing)=1),"Complete",
    ROWS(_xlpm.missing)&gt;0,_xlpm.missing_string,
    TRUE,"Error"
  )
)</f>
        <v>Blank</v>
      </c>
      <c r="B6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3" spans="1:2" x14ac:dyDescent="0.3">
      <c r="A683" s="2" t="str" cm="1">
        <f t="array" ref="A683">_xlfn.LET(
  _xlpm.key,_xlfn.TEXTSPLIT("Email,Org,IRN,Impact",","),
  _xlpm.complete,ISBLANK(H683:K683),
  _xlpm.missing,_xlfn._xlws.FILTER(_xlpm.key,_xlpm.complete,FALSE()),
  _xlpm.missing_string,"Missing: "&amp;_xlfn.TEXTJOIN(", ",TRUE,_xlpm.missing),
  _xlfn.IFS(
    COUNTA(C683:K683)=0,"Blank",
AND(_xlpm.missing=FALSE,ROWS(_xlpm.missing)=1),"Complete",
    ROWS(_xlpm.missing)&gt;0,_xlpm.missing_string,
    TRUE,"Error"
  )
)</f>
        <v>Blank</v>
      </c>
      <c r="B6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4" spans="1:2" x14ac:dyDescent="0.3">
      <c r="A684" s="2" t="str" cm="1">
        <f t="array" ref="A684">_xlfn.LET(
  _xlpm.key,_xlfn.TEXTSPLIT("Email,Org,IRN,Impact",","),
  _xlpm.complete,ISBLANK(H684:K684),
  _xlpm.missing,_xlfn._xlws.FILTER(_xlpm.key,_xlpm.complete,FALSE()),
  _xlpm.missing_string,"Missing: "&amp;_xlfn.TEXTJOIN(", ",TRUE,_xlpm.missing),
  _xlfn.IFS(
    COUNTA(C684:K684)=0,"Blank",
AND(_xlpm.missing=FALSE,ROWS(_xlpm.missing)=1),"Complete",
    ROWS(_xlpm.missing)&gt;0,_xlpm.missing_string,
    TRUE,"Error"
  )
)</f>
        <v>Blank</v>
      </c>
      <c r="B6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5" spans="1:2" x14ac:dyDescent="0.3">
      <c r="A685" s="2" t="str" cm="1">
        <f t="array" ref="A685">_xlfn.LET(
  _xlpm.key,_xlfn.TEXTSPLIT("Email,Org,IRN,Impact",","),
  _xlpm.complete,ISBLANK(H685:K685),
  _xlpm.missing,_xlfn._xlws.FILTER(_xlpm.key,_xlpm.complete,FALSE()),
  _xlpm.missing_string,"Missing: "&amp;_xlfn.TEXTJOIN(", ",TRUE,_xlpm.missing),
  _xlfn.IFS(
    COUNTA(C685:K685)=0,"Blank",
AND(_xlpm.missing=FALSE,ROWS(_xlpm.missing)=1),"Complete",
    ROWS(_xlpm.missing)&gt;0,_xlpm.missing_string,
    TRUE,"Error"
  )
)</f>
        <v>Blank</v>
      </c>
      <c r="B6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6" spans="1:2" x14ac:dyDescent="0.3">
      <c r="A686" s="2" t="str" cm="1">
        <f t="array" ref="A686">_xlfn.LET(
  _xlpm.key,_xlfn.TEXTSPLIT("Email,Org,IRN,Impact",","),
  _xlpm.complete,ISBLANK(H686:K686),
  _xlpm.missing,_xlfn._xlws.FILTER(_xlpm.key,_xlpm.complete,FALSE()),
  _xlpm.missing_string,"Missing: "&amp;_xlfn.TEXTJOIN(", ",TRUE,_xlpm.missing),
  _xlfn.IFS(
    COUNTA(C686:K686)=0,"Blank",
AND(_xlpm.missing=FALSE,ROWS(_xlpm.missing)=1),"Complete",
    ROWS(_xlpm.missing)&gt;0,_xlpm.missing_string,
    TRUE,"Error"
  )
)</f>
        <v>Blank</v>
      </c>
      <c r="B6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7" spans="1:2" x14ac:dyDescent="0.3">
      <c r="A687" s="2" t="str" cm="1">
        <f t="array" ref="A687">_xlfn.LET(
  _xlpm.key,_xlfn.TEXTSPLIT("Email,Org,IRN,Impact",","),
  _xlpm.complete,ISBLANK(H687:K687),
  _xlpm.missing,_xlfn._xlws.FILTER(_xlpm.key,_xlpm.complete,FALSE()),
  _xlpm.missing_string,"Missing: "&amp;_xlfn.TEXTJOIN(", ",TRUE,_xlpm.missing),
  _xlfn.IFS(
    COUNTA(C687:K687)=0,"Blank",
AND(_xlpm.missing=FALSE,ROWS(_xlpm.missing)=1),"Complete",
    ROWS(_xlpm.missing)&gt;0,_xlpm.missing_string,
    TRUE,"Error"
  )
)</f>
        <v>Blank</v>
      </c>
      <c r="B6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8" spans="1:2" x14ac:dyDescent="0.3">
      <c r="A688" s="2" t="str" cm="1">
        <f t="array" ref="A688">_xlfn.LET(
  _xlpm.key,_xlfn.TEXTSPLIT("Email,Org,IRN,Impact",","),
  _xlpm.complete,ISBLANK(H688:K688),
  _xlpm.missing,_xlfn._xlws.FILTER(_xlpm.key,_xlpm.complete,FALSE()),
  _xlpm.missing_string,"Missing: "&amp;_xlfn.TEXTJOIN(", ",TRUE,_xlpm.missing),
  _xlfn.IFS(
    COUNTA(C688:K688)=0,"Blank",
AND(_xlpm.missing=FALSE,ROWS(_xlpm.missing)=1),"Complete",
    ROWS(_xlpm.missing)&gt;0,_xlpm.missing_string,
    TRUE,"Error"
  )
)</f>
        <v>Blank</v>
      </c>
      <c r="B6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89" spans="1:2" x14ac:dyDescent="0.3">
      <c r="A689" s="2" t="str" cm="1">
        <f t="array" ref="A689">_xlfn.LET(
  _xlpm.key,_xlfn.TEXTSPLIT("Email,Org,IRN,Impact",","),
  _xlpm.complete,ISBLANK(H689:K689),
  _xlpm.missing,_xlfn._xlws.FILTER(_xlpm.key,_xlpm.complete,FALSE()),
  _xlpm.missing_string,"Missing: "&amp;_xlfn.TEXTJOIN(", ",TRUE,_xlpm.missing),
  _xlfn.IFS(
    COUNTA(C689:K689)=0,"Blank",
AND(_xlpm.missing=FALSE,ROWS(_xlpm.missing)=1),"Complete",
    ROWS(_xlpm.missing)&gt;0,_xlpm.missing_string,
    TRUE,"Error"
  )
)</f>
        <v>Blank</v>
      </c>
      <c r="B6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0" spans="1:2" x14ac:dyDescent="0.3">
      <c r="A690" s="2" t="str" cm="1">
        <f t="array" ref="A690">_xlfn.LET(
  _xlpm.key,_xlfn.TEXTSPLIT("Email,Org,IRN,Impact",","),
  _xlpm.complete,ISBLANK(H690:K690),
  _xlpm.missing,_xlfn._xlws.FILTER(_xlpm.key,_xlpm.complete,FALSE()),
  _xlpm.missing_string,"Missing: "&amp;_xlfn.TEXTJOIN(", ",TRUE,_xlpm.missing),
  _xlfn.IFS(
    COUNTA(C690:K690)=0,"Blank",
AND(_xlpm.missing=FALSE,ROWS(_xlpm.missing)=1),"Complete",
    ROWS(_xlpm.missing)&gt;0,_xlpm.missing_string,
    TRUE,"Error"
  )
)</f>
        <v>Blank</v>
      </c>
      <c r="B6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1" spans="1:2" x14ac:dyDescent="0.3">
      <c r="A691" s="2" t="str" cm="1">
        <f t="array" ref="A691">_xlfn.LET(
  _xlpm.key,_xlfn.TEXTSPLIT("Email,Org,IRN,Impact",","),
  _xlpm.complete,ISBLANK(H691:K691),
  _xlpm.missing,_xlfn._xlws.FILTER(_xlpm.key,_xlpm.complete,FALSE()),
  _xlpm.missing_string,"Missing: "&amp;_xlfn.TEXTJOIN(", ",TRUE,_xlpm.missing),
  _xlfn.IFS(
    COUNTA(C691:K691)=0,"Blank",
AND(_xlpm.missing=FALSE,ROWS(_xlpm.missing)=1),"Complete",
    ROWS(_xlpm.missing)&gt;0,_xlpm.missing_string,
    TRUE,"Error"
  )
)</f>
        <v>Blank</v>
      </c>
      <c r="B6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2" spans="1:2" x14ac:dyDescent="0.3">
      <c r="A692" s="2" t="str" cm="1">
        <f t="array" ref="A692">_xlfn.LET(
  _xlpm.key,_xlfn.TEXTSPLIT("Email,Org,IRN,Impact",","),
  _xlpm.complete,ISBLANK(H692:K692),
  _xlpm.missing,_xlfn._xlws.FILTER(_xlpm.key,_xlpm.complete,FALSE()),
  _xlpm.missing_string,"Missing: "&amp;_xlfn.TEXTJOIN(", ",TRUE,_xlpm.missing),
  _xlfn.IFS(
    COUNTA(C692:K692)=0,"Blank",
AND(_xlpm.missing=FALSE,ROWS(_xlpm.missing)=1),"Complete",
    ROWS(_xlpm.missing)&gt;0,_xlpm.missing_string,
    TRUE,"Error"
  )
)</f>
        <v>Blank</v>
      </c>
      <c r="B6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3" spans="1:2" x14ac:dyDescent="0.3">
      <c r="A693" s="2" t="str" cm="1">
        <f t="array" ref="A693">_xlfn.LET(
  _xlpm.key,_xlfn.TEXTSPLIT("Email,Org,IRN,Impact",","),
  _xlpm.complete,ISBLANK(H693:K693),
  _xlpm.missing,_xlfn._xlws.FILTER(_xlpm.key,_xlpm.complete,FALSE()),
  _xlpm.missing_string,"Missing: "&amp;_xlfn.TEXTJOIN(", ",TRUE,_xlpm.missing),
  _xlfn.IFS(
    COUNTA(C693:K693)=0,"Blank",
AND(_xlpm.missing=FALSE,ROWS(_xlpm.missing)=1),"Complete",
    ROWS(_xlpm.missing)&gt;0,_xlpm.missing_string,
    TRUE,"Error"
  )
)</f>
        <v>Blank</v>
      </c>
      <c r="B6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4" spans="1:2" x14ac:dyDescent="0.3">
      <c r="A694" s="2" t="str" cm="1">
        <f t="array" ref="A694">_xlfn.LET(
  _xlpm.key,_xlfn.TEXTSPLIT("Email,Org,IRN,Impact",","),
  _xlpm.complete,ISBLANK(H694:K694),
  _xlpm.missing,_xlfn._xlws.FILTER(_xlpm.key,_xlpm.complete,FALSE()),
  _xlpm.missing_string,"Missing: "&amp;_xlfn.TEXTJOIN(", ",TRUE,_xlpm.missing),
  _xlfn.IFS(
    COUNTA(C694:K694)=0,"Blank",
AND(_xlpm.missing=FALSE,ROWS(_xlpm.missing)=1),"Complete",
    ROWS(_xlpm.missing)&gt;0,_xlpm.missing_string,
    TRUE,"Error"
  )
)</f>
        <v>Blank</v>
      </c>
      <c r="B6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5" spans="1:2" x14ac:dyDescent="0.3">
      <c r="A695" s="2" t="str" cm="1">
        <f t="array" ref="A695">_xlfn.LET(
  _xlpm.key,_xlfn.TEXTSPLIT("Email,Org,IRN,Impact",","),
  _xlpm.complete,ISBLANK(H695:K695),
  _xlpm.missing,_xlfn._xlws.FILTER(_xlpm.key,_xlpm.complete,FALSE()),
  _xlpm.missing_string,"Missing: "&amp;_xlfn.TEXTJOIN(", ",TRUE,_xlpm.missing),
  _xlfn.IFS(
    COUNTA(C695:K695)=0,"Blank",
AND(_xlpm.missing=FALSE,ROWS(_xlpm.missing)=1),"Complete",
    ROWS(_xlpm.missing)&gt;0,_xlpm.missing_string,
    TRUE,"Error"
  )
)</f>
        <v>Blank</v>
      </c>
      <c r="B6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6" spans="1:2" x14ac:dyDescent="0.3">
      <c r="A696" s="2" t="str" cm="1">
        <f t="array" ref="A696">_xlfn.LET(
  _xlpm.key,_xlfn.TEXTSPLIT("Email,Org,IRN,Impact",","),
  _xlpm.complete,ISBLANK(H696:K696),
  _xlpm.missing,_xlfn._xlws.FILTER(_xlpm.key,_xlpm.complete,FALSE()),
  _xlpm.missing_string,"Missing: "&amp;_xlfn.TEXTJOIN(", ",TRUE,_xlpm.missing),
  _xlfn.IFS(
    COUNTA(C696:K696)=0,"Blank",
AND(_xlpm.missing=FALSE,ROWS(_xlpm.missing)=1),"Complete",
    ROWS(_xlpm.missing)&gt;0,_xlpm.missing_string,
    TRUE,"Error"
  )
)</f>
        <v>Blank</v>
      </c>
      <c r="B6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7" spans="1:2" x14ac:dyDescent="0.3">
      <c r="A697" s="2" t="str" cm="1">
        <f t="array" ref="A697">_xlfn.LET(
  _xlpm.key,_xlfn.TEXTSPLIT("Email,Org,IRN,Impact",","),
  _xlpm.complete,ISBLANK(H697:K697),
  _xlpm.missing,_xlfn._xlws.FILTER(_xlpm.key,_xlpm.complete,FALSE()),
  _xlpm.missing_string,"Missing: "&amp;_xlfn.TEXTJOIN(", ",TRUE,_xlpm.missing),
  _xlfn.IFS(
    COUNTA(C697:K697)=0,"Blank",
AND(_xlpm.missing=FALSE,ROWS(_xlpm.missing)=1),"Complete",
    ROWS(_xlpm.missing)&gt;0,_xlpm.missing_string,
    TRUE,"Error"
  )
)</f>
        <v>Blank</v>
      </c>
      <c r="B6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8" spans="1:2" x14ac:dyDescent="0.3">
      <c r="A698" s="2" t="str" cm="1">
        <f t="array" ref="A698">_xlfn.LET(
  _xlpm.key,_xlfn.TEXTSPLIT("Email,Org,IRN,Impact",","),
  _xlpm.complete,ISBLANK(H698:K698),
  _xlpm.missing,_xlfn._xlws.FILTER(_xlpm.key,_xlpm.complete,FALSE()),
  _xlpm.missing_string,"Missing: "&amp;_xlfn.TEXTJOIN(", ",TRUE,_xlpm.missing),
  _xlfn.IFS(
    COUNTA(C698:K698)=0,"Blank",
AND(_xlpm.missing=FALSE,ROWS(_xlpm.missing)=1),"Complete",
    ROWS(_xlpm.missing)&gt;0,_xlpm.missing_string,
    TRUE,"Error"
  )
)</f>
        <v>Blank</v>
      </c>
      <c r="B6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699" spans="1:2" x14ac:dyDescent="0.3">
      <c r="A699" s="2" t="str" cm="1">
        <f t="array" ref="A699">_xlfn.LET(
  _xlpm.key,_xlfn.TEXTSPLIT("Email,Org,IRN,Impact",","),
  _xlpm.complete,ISBLANK(H699:K699),
  _xlpm.missing,_xlfn._xlws.FILTER(_xlpm.key,_xlpm.complete,FALSE()),
  _xlpm.missing_string,"Missing: "&amp;_xlfn.TEXTJOIN(", ",TRUE,_xlpm.missing),
  _xlfn.IFS(
    COUNTA(C699:K699)=0,"Blank",
AND(_xlpm.missing=FALSE,ROWS(_xlpm.missing)=1),"Complete",
    ROWS(_xlpm.missing)&gt;0,_xlpm.missing_string,
    TRUE,"Error"
  )
)</f>
        <v>Blank</v>
      </c>
      <c r="B6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0" spans="1:2" x14ac:dyDescent="0.3">
      <c r="A700" s="2" t="str" cm="1">
        <f t="array" ref="A700">_xlfn.LET(
  _xlpm.key,_xlfn.TEXTSPLIT("Email,Org,IRN,Impact",","),
  _xlpm.complete,ISBLANK(H700:K700),
  _xlpm.missing,_xlfn._xlws.FILTER(_xlpm.key,_xlpm.complete,FALSE()),
  _xlpm.missing_string,"Missing: "&amp;_xlfn.TEXTJOIN(", ",TRUE,_xlpm.missing),
  _xlfn.IFS(
    COUNTA(C700:K700)=0,"Blank",
AND(_xlpm.missing=FALSE,ROWS(_xlpm.missing)=1),"Complete",
    ROWS(_xlpm.missing)&gt;0,_xlpm.missing_string,
    TRUE,"Error"
  )
)</f>
        <v>Blank</v>
      </c>
      <c r="B7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1" spans="1:2" x14ac:dyDescent="0.3">
      <c r="A701" s="2" t="str" cm="1">
        <f t="array" ref="A701">_xlfn.LET(
  _xlpm.key,_xlfn.TEXTSPLIT("Email,Org,IRN,Impact",","),
  _xlpm.complete,ISBLANK(H701:K701),
  _xlpm.missing,_xlfn._xlws.FILTER(_xlpm.key,_xlpm.complete,FALSE()),
  _xlpm.missing_string,"Missing: "&amp;_xlfn.TEXTJOIN(", ",TRUE,_xlpm.missing),
  _xlfn.IFS(
    COUNTA(C701:K701)=0,"Blank",
AND(_xlpm.missing=FALSE,ROWS(_xlpm.missing)=1),"Complete",
    ROWS(_xlpm.missing)&gt;0,_xlpm.missing_string,
    TRUE,"Error"
  )
)</f>
        <v>Blank</v>
      </c>
      <c r="B7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2" spans="1:2" x14ac:dyDescent="0.3">
      <c r="A702" s="2" t="str" cm="1">
        <f t="array" ref="A702">_xlfn.LET(
  _xlpm.key,_xlfn.TEXTSPLIT("Email,Org,IRN,Impact",","),
  _xlpm.complete,ISBLANK(H702:K702),
  _xlpm.missing,_xlfn._xlws.FILTER(_xlpm.key,_xlpm.complete,FALSE()),
  _xlpm.missing_string,"Missing: "&amp;_xlfn.TEXTJOIN(", ",TRUE,_xlpm.missing),
  _xlfn.IFS(
    COUNTA(C702:K702)=0,"Blank",
AND(_xlpm.missing=FALSE,ROWS(_xlpm.missing)=1),"Complete",
    ROWS(_xlpm.missing)&gt;0,_xlpm.missing_string,
    TRUE,"Error"
  )
)</f>
        <v>Blank</v>
      </c>
      <c r="B7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3" spans="1:2" x14ac:dyDescent="0.3">
      <c r="A703" s="2" t="str" cm="1">
        <f t="array" ref="A703">_xlfn.LET(
  _xlpm.key,_xlfn.TEXTSPLIT("Email,Org,IRN,Impact",","),
  _xlpm.complete,ISBLANK(H703:K703),
  _xlpm.missing,_xlfn._xlws.FILTER(_xlpm.key,_xlpm.complete,FALSE()),
  _xlpm.missing_string,"Missing: "&amp;_xlfn.TEXTJOIN(", ",TRUE,_xlpm.missing),
  _xlfn.IFS(
    COUNTA(C703:K703)=0,"Blank",
AND(_xlpm.missing=FALSE,ROWS(_xlpm.missing)=1),"Complete",
    ROWS(_xlpm.missing)&gt;0,_xlpm.missing_string,
    TRUE,"Error"
  )
)</f>
        <v>Blank</v>
      </c>
      <c r="B7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4" spans="1:2" x14ac:dyDescent="0.3">
      <c r="A704" s="2" t="str" cm="1">
        <f t="array" ref="A704">_xlfn.LET(
  _xlpm.key,_xlfn.TEXTSPLIT("Email,Org,IRN,Impact",","),
  _xlpm.complete,ISBLANK(H704:K704),
  _xlpm.missing,_xlfn._xlws.FILTER(_xlpm.key,_xlpm.complete,FALSE()),
  _xlpm.missing_string,"Missing: "&amp;_xlfn.TEXTJOIN(", ",TRUE,_xlpm.missing),
  _xlfn.IFS(
    COUNTA(C704:K704)=0,"Blank",
AND(_xlpm.missing=FALSE,ROWS(_xlpm.missing)=1),"Complete",
    ROWS(_xlpm.missing)&gt;0,_xlpm.missing_string,
    TRUE,"Error"
  )
)</f>
        <v>Blank</v>
      </c>
      <c r="B7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5" spans="1:2" x14ac:dyDescent="0.3">
      <c r="A705" s="2" t="str" cm="1">
        <f t="array" ref="A705">_xlfn.LET(
  _xlpm.key,_xlfn.TEXTSPLIT("Email,Org,IRN,Impact",","),
  _xlpm.complete,ISBLANK(H705:K705),
  _xlpm.missing,_xlfn._xlws.FILTER(_xlpm.key,_xlpm.complete,FALSE()),
  _xlpm.missing_string,"Missing: "&amp;_xlfn.TEXTJOIN(", ",TRUE,_xlpm.missing),
  _xlfn.IFS(
    COUNTA(C705:K705)=0,"Blank",
AND(_xlpm.missing=FALSE,ROWS(_xlpm.missing)=1),"Complete",
    ROWS(_xlpm.missing)&gt;0,_xlpm.missing_string,
    TRUE,"Error"
  )
)</f>
        <v>Blank</v>
      </c>
      <c r="B7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6" spans="1:2" x14ac:dyDescent="0.3">
      <c r="A706" s="2" t="str" cm="1">
        <f t="array" ref="A706">_xlfn.LET(
  _xlpm.key,_xlfn.TEXTSPLIT("Email,Org,IRN,Impact",","),
  _xlpm.complete,ISBLANK(H706:K706),
  _xlpm.missing,_xlfn._xlws.FILTER(_xlpm.key,_xlpm.complete,FALSE()),
  _xlpm.missing_string,"Missing: "&amp;_xlfn.TEXTJOIN(", ",TRUE,_xlpm.missing),
  _xlfn.IFS(
    COUNTA(C706:K706)=0,"Blank",
AND(_xlpm.missing=FALSE,ROWS(_xlpm.missing)=1),"Complete",
    ROWS(_xlpm.missing)&gt;0,_xlpm.missing_string,
    TRUE,"Error"
  )
)</f>
        <v>Blank</v>
      </c>
      <c r="B7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7" spans="1:2" x14ac:dyDescent="0.3">
      <c r="A707" s="2" t="str" cm="1">
        <f t="array" ref="A707">_xlfn.LET(
  _xlpm.key,_xlfn.TEXTSPLIT("Email,Org,IRN,Impact",","),
  _xlpm.complete,ISBLANK(H707:K707),
  _xlpm.missing,_xlfn._xlws.FILTER(_xlpm.key,_xlpm.complete,FALSE()),
  _xlpm.missing_string,"Missing: "&amp;_xlfn.TEXTJOIN(", ",TRUE,_xlpm.missing),
  _xlfn.IFS(
    COUNTA(C707:K707)=0,"Blank",
AND(_xlpm.missing=FALSE,ROWS(_xlpm.missing)=1),"Complete",
    ROWS(_xlpm.missing)&gt;0,_xlpm.missing_string,
    TRUE,"Error"
  )
)</f>
        <v>Blank</v>
      </c>
      <c r="B7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8" spans="1:2" x14ac:dyDescent="0.3">
      <c r="A708" s="2" t="str" cm="1">
        <f t="array" ref="A708">_xlfn.LET(
  _xlpm.key,_xlfn.TEXTSPLIT("Email,Org,IRN,Impact",","),
  _xlpm.complete,ISBLANK(H708:K708),
  _xlpm.missing,_xlfn._xlws.FILTER(_xlpm.key,_xlpm.complete,FALSE()),
  _xlpm.missing_string,"Missing: "&amp;_xlfn.TEXTJOIN(", ",TRUE,_xlpm.missing),
  _xlfn.IFS(
    COUNTA(C708:K708)=0,"Blank",
AND(_xlpm.missing=FALSE,ROWS(_xlpm.missing)=1),"Complete",
    ROWS(_xlpm.missing)&gt;0,_xlpm.missing_string,
    TRUE,"Error"
  )
)</f>
        <v>Blank</v>
      </c>
      <c r="B7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09" spans="1:2" x14ac:dyDescent="0.3">
      <c r="A709" s="2" t="str" cm="1">
        <f t="array" ref="A709">_xlfn.LET(
  _xlpm.key,_xlfn.TEXTSPLIT("Email,Org,IRN,Impact",","),
  _xlpm.complete,ISBLANK(H709:K709),
  _xlpm.missing,_xlfn._xlws.FILTER(_xlpm.key,_xlpm.complete,FALSE()),
  _xlpm.missing_string,"Missing: "&amp;_xlfn.TEXTJOIN(", ",TRUE,_xlpm.missing),
  _xlfn.IFS(
    COUNTA(C709:K709)=0,"Blank",
AND(_xlpm.missing=FALSE,ROWS(_xlpm.missing)=1),"Complete",
    ROWS(_xlpm.missing)&gt;0,_xlpm.missing_string,
    TRUE,"Error"
  )
)</f>
        <v>Blank</v>
      </c>
      <c r="B7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0" spans="1:2" x14ac:dyDescent="0.3">
      <c r="A710" s="2" t="str" cm="1">
        <f t="array" ref="A710">_xlfn.LET(
  _xlpm.key,_xlfn.TEXTSPLIT("Email,Org,IRN,Impact",","),
  _xlpm.complete,ISBLANK(H710:K710),
  _xlpm.missing,_xlfn._xlws.FILTER(_xlpm.key,_xlpm.complete,FALSE()),
  _xlpm.missing_string,"Missing: "&amp;_xlfn.TEXTJOIN(", ",TRUE,_xlpm.missing),
  _xlfn.IFS(
    COUNTA(C710:K710)=0,"Blank",
AND(_xlpm.missing=FALSE,ROWS(_xlpm.missing)=1),"Complete",
    ROWS(_xlpm.missing)&gt;0,_xlpm.missing_string,
    TRUE,"Error"
  )
)</f>
        <v>Blank</v>
      </c>
      <c r="B7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1" spans="1:2" x14ac:dyDescent="0.3">
      <c r="A711" s="2" t="str" cm="1">
        <f t="array" ref="A711">_xlfn.LET(
  _xlpm.key,_xlfn.TEXTSPLIT("Email,Org,IRN,Impact",","),
  _xlpm.complete,ISBLANK(H711:K711),
  _xlpm.missing,_xlfn._xlws.FILTER(_xlpm.key,_xlpm.complete,FALSE()),
  _xlpm.missing_string,"Missing: "&amp;_xlfn.TEXTJOIN(", ",TRUE,_xlpm.missing),
  _xlfn.IFS(
    COUNTA(C711:K711)=0,"Blank",
AND(_xlpm.missing=FALSE,ROWS(_xlpm.missing)=1),"Complete",
    ROWS(_xlpm.missing)&gt;0,_xlpm.missing_string,
    TRUE,"Error"
  )
)</f>
        <v>Blank</v>
      </c>
      <c r="B7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2" spans="1:2" x14ac:dyDescent="0.3">
      <c r="A712" s="2" t="str" cm="1">
        <f t="array" ref="A712">_xlfn.LET(
  _xlpm.key,_xlfn.TEXTSPLIT("Email,Org,IRN,Impact",","),
  _xlpm.complete,ISBLANK(H712:K712),
  _xlpm.missing,_xlfn._xlws.FILTER(_xlpm.key,_xlpm.complete,FALSE()),
  _xlpm.missing_string,"Missing: "&amp;_xlfn.TEXTJOIN(", ",TRUE,_xlpm.missing),
  _xlfn.IFS(
    COUNTA(C712:K712)=0,"Blank",
AND(_xlpm.missing=FALSE,ROWS(_xlpm.missing)=1),"Complete",
    ROWS(_xlpm.missing)&gt;0,_xlpm.missing_string,
    TRUE,"Error"
  )
)</f>
        <v>Blank</v>
      </c>
      <c r="B7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3" spans="1:2" x14ac:dyDescent="0.3">
      <c r="A713" s="2" t="str" cm="1">
        <f t="array" ref="A713">_xlfn.LET(
  _xlpm.key,_xlfn.TEXTSPLIT("Email,Org,IRN,Impact",","),
  _xlpm.complete,ISBLANK(H713:K713),
  _xlpm.missing,_xlfn._xlws.FILTER(_xlpm.key,_xlpm.complete,FALSE()),
  _xlpm.missing_string,"Missing: "&amp;_xlfn.TEXTJOIN(", ",TRUE,_xlpm.missing),
  _xlfn.IFS(
    COUNTA(C713:K713)=0,"Blank",
AND(_xlpm.missing=FALSE,ROWS(_xlpm.missing)=1),"Complete",
    ROWS(_xlpm.missing)&gt;0,_xlpm.missing_string,
    TRUE,"Error"
  )
)</f>
        <v>Blank</v>
      </c>
      <c r="B7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4" spans="1:2" x14ac:dyDescent="0.3">
      <c r="A714" s="2" t="str" cm="1">
        <f t="array" ref="A714">_xlfn.LET(
  _xlpm.key,_xlfn.TEXTSPLIT("Email,Org,IRN,Impact",","),
  _xlpm.complete,ISBLANK(H714:K714),
  _xlpm.missing,_xlfn._xlws.FILTER(_xlpm.key,_xlpm.complete,FALSE()),
  _xlpm.missing_string,"Missing: "&amp;_xlfn.TEXTJOIN(", ",TRUE,_xlpm.missing),
  _xlfn.IFS(
    COUNTA(C714:K714)=0,"Blank",
AND(_xlpm.missing=FALSE,ROWS(_xlpm.missing)=1),"Complete",
    ROWS(_xlpm.missing)&gt;0,_xlpm.missing_string,
    TRUE,"Error"
  )
)</f>
        <v>Blank</v>
      </c>
      <c r="B7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5" spans="1:2" x14ac:dyDescent="0.3">
      <c r="A715" s="2" t="str" cm="1">
        <f t="array" ref="A715">_xlfn.LET(
  _xlpm.key,_xlfn.TEXTSPLIT("Email,Org,IRN,Impact",","),
  _xlpm.complete,ISBLANK(H715:K715),
  _xlpm.missing,_xlfn._xlws.FILTER(_xlpm.key,_xlpm.complete,FALSE()),
  _xlpm.missing_string,"Missing: "&amp;_xlfn.TEXTJOIN(", ",TRUE,_xlpm.missing),
  _xlfn.IFS(
    COUNTA(C715:K715)=0,"Blank",
AND(_xlpm.missing=FALSE,ROWS(_xlpm.missing)=1),"Complete",
    ROWS(_xlpm.missing)&gt;0,_xlpm.missing_string,
    TRUE,"Error"
  )
)</f>
        <v>Blank</v>
      </c>
      <c r="B7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6" spans="1:2" x14ac:dyDescent="0.3">
      <c r="A716" s="2" t="str" cm="1">
        <f t="array" ref="A716">_xlfn.LET(
  _xlpm.key,_xlfn.TEXTSPLIT("Email,Org,IRN,Impact",","),
  _xlpm.complete,ISBLANK(H716:K716),
  _xlpm.missing,_xlfn._xlws.FILTER(_xlpm.key,_xlpm.complete,FALSE()),
  _xlpm.missing_string,"Missing: "&amp;_xlfn.TEXTJOIN(", ",TRUE,_xlpm.missing),
  _xlfn.IFS(
    COUNTA(C716:K716)=0,"Blank",
AND(_xlpm.missing=FALSE,ROWS(_xlpm.missing)=1),"Complete",
    ROWS(_xlpm.missing)&gt;0,_xlpm.missing_string,
    TRUE,"Error"
  )
)</f>
        <v>Blank</v>
      </c>
      <c r="B7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7" spans="1:2" x14ac:dyDescent="0.3">
      <c r="A717" s="2" t="str" cm="1">
        <f t="array" ref="A717">_xlfn.LET(
  _xlpm.key,_xlfn.TEXTSPLIT("Email,Org,IRN,Impact",","),
  _xlpm.complete,ISBLANK(H717:K717),
  _xlpm.missing,_xlfn._xlws.FILTER(_xlpm.key,_xlpm.complete,FALSE()),
  _xlpm.missing_string,"Missing: "&amp;_xlfn.TEXTJOIN(", ",TRUE,_xlpm.missing),
  _xlfn.IFS(
    COUNTA(C717:K717)=0,"Blank",
AND(_xlpm.missing=FALSE,ROWS(_xlpm.missing)=1),"Complete",
    ROWS(_xlpm.missing)&gt;0,_xlpm.missing_string,
    TRUE,"Error"
  )
)</f>
        <v>Blank</v>
      </c>
      <c r="B7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8" spans="1:2" x14ac:dyDescent="0.3">
      <c r="A718" s="2" t="str" cm="1">
        <f t="array" ref="A718">_xlfn.LET(
  _xlpm.key,_xlfn.TEXTSPLIT("Email,Org,IRN,Impact",","),
  _xlpm.complete,ISBLANK(H718:K718),
  _xlpm.missing,_xlfn._xlws.FILTER(_xlpm.key,_xlpm.complete,FALSE()),
  _xlpm.missing_string,"Missing: "&amp;_xlfn.TEXTJOIN(", ",TRUE,_xlpm.missing),
  _xlfn.IFS(
    COUNTA(C718:K718)=0,"Blank",
AND(_xlpm.missing=FALSE,ROWS(_xlpm.missing)=1),"Complete",
    ROWS(_xlpm.missing)&gt;0,_xlpm.missing_string,
    TRUE,"Error"
  )
)</f>
        <v>Blank</v>
      </c>
      <c r="B7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19" spans="1:2" x14ac:dyDescent="0.3">
      <c r="A719" s="2" t="str" cm="1">
        <f t="array" ref="A719">_xlfn.LET(
  _xlpm.key,_xlfn.TEXTSPLIT("Email,Org,IRN,Impact",","),
  _xlpm.complete,ISBLANK(H719:K719),
  _xlpm.missing,_xlfn._xlws.FILTER(_xlpm.key,_xlpm.complete,FALSE()),
  _xlpm.missing_string,"Missing: "&amp;_xlfn.TEXTJOIN(", ",TRUE,_xlpm.missing),
  _xlfn.IFS(
    COUNTA(C719:K719)=0,"Blank",
AND(_xlpm.missing=FALSE,ROWS(_xlpm.missing)=1),"Complete",
    ROWS(_xlpm.missing)&gt;0,_xlpm.missing_string,
    TRUE,"Error"
  )
)</f>
        <v>Blank</v>
      </c>
      <c r="B7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0" spans="1:2" x14ac:dyDescent="0.3">
      <c r="A720" s="2" t="str" cm="1">
        <f t="array" ref="A720">_xlfn.LET(
  _xlpm.key,_xlfn.TEXTSPLIT("Email,Org,IRN,Impact",","),
  _xlpm.complete,ISBLANK(H720:K720),
  _xlpm.missing,_xlfn._xlws.FILTER(_xlpm.key,_xlpm.complete,FALSE()),
  _xlpm.missing_string,"Missing: "&amp;_xlfn.TEXTJOIN(", ",TRUE,_xlpm.missing),
  _xlfn.IFS(
    COUNTA(C720:K720)=0,"Blank",
AND(_xlpm.missing=FALSE,ROWS(_xlpm.missing)=1),"Complete",
    ROWS(_xlpm.missing)&gt;0,_xlpm.missing_string,
    TRUE,"Error"
  )
)</f>
        <v>Blank</v>
      </c>
      <c r="B7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1" spans="1:2" x14ac:dyDescent="0.3">
      <c r="A721" s="2" t="str" cm="1">
        <f t="array" ref="A721">_xlfn.LET(
  _xlpm.key,_xlfn.TEXTSPLIT("Email,Org,IRN,Impact",","),
  _xlpm.complete,ISBLANK(H721:K721),
  _xlpm.missing,_xlfn._xlws.FILTER(_xlpm.key,_xlpm.complete,FALSE()),
  _xlpm.missing_string,"Missing: "&amp;_xlfn.TEXTJOIN(", ",TRUE,_xlpm.missing),
  _xlfn.IFS(
    COUNTA(C721:K721)=0,"Blank",
AND(_xlpm.missing=FALSE,ROWS(_xlpm.missing)=1),"Complete",
    ROWS(_xlpm.missing)&gt;0,_xlpm.missing_string,
    TRUE,"Error"
  )
)</f>
        <v>Blank</v>
      </c>
      <c r="B7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2" spans="1:2" x14ac:dyDescent="0.3">
      <c r="A722" s="2" t="str" cm="1">
        <f t="array" ref="A722">_xlfn.LET(
  _xlpm.key,_xlfn.TEXTSPLIT("Email,Org,IRN,Impact",","),
  _xlpm.complete,ISBLANK(H722:K722),
  _xlpm.missing,_xlfn._xlws.FILTER(_xlpm.key,_xlpm.complete,FALSE()),
  _xlpm.missing_string,"Missing: "&amp;_xlfn.TEXTJOIN(", ",TRUE,_xlpm.missing),
  _xlfn.IFS(
    COUNTA(C722:K722)=0,"Blank",
AND(_xlpm.missing=FALSE,ROWS(_xlpm.missing)=1),"Complete",
    ROWS(_xlpm.missing)&gt;0,_xlpm.missing_string,
    TRUE,"Error"
  )
)</f>
        <v>Blank</v>
      </c>
      <c r="B7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3" spans="1:2" x14ac:dyDescent="0.3">
      <c r="A723" s="2" t="str" cm="1">
        <f t="array" ref="A723">_xlfn.LET(
  _xlpm.key,_xlfn.TEXTSPLIT("Email,Org,IRN,Impact",","),
  _xlpm.complete,ISBLANK(H723:K723),
  _xlpm.missing,_xlfn._xlws.FILTER(_xlpm.key,_xlpm.complete,FALSE()),
  _xlpm.missing_string,"Missing: "&amp;_xlfn.TEXTJOIN(", ",TRUE,_xlpm.missing),
  _xlfn.IFS(
    COUNTA(C723:K723)=0,"Blank",
AND(_xlpm.missing=FALSE,ROWS(_xlpm.missing)=1),"Complete",
    ROWS(_xlpm.missing)&gt;0,_xlpm.missing_string,
    TRUE,"Error"
  )
)</f>
        <v>Blank</v>
      </c>
      <c r="B7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4" spans="1:2" x14ac:dyDescent="0.3">
      <c r="A724" s="2" t="str" cm="1">
        <f t="array" ref="A724">_xlfn.LET(
  _xlpm.key,_xlfn.TEXTSPLIT("Email,Org,IRN,Impact",","),
  _xlpm.complete,ISBLANK(H724:K724),
  _xlpm.missing,_xlfn._xlws.FILTER(_xlpm.key,_xlpm.complete,FALSE()),
  _xlpm.missing_string,"Missing: "&amp;_xlfn.TEXTJOIN(", ",TRUE,_xlpm.missing),
  _xlfn.IFS(
    COUNTA(C724:K724)=0,"Blank",
AND(_xlpm.missing=FALSE,ROWS(_xlpm.missing)=1),"Complete",
    ROWS(_xlpm.missing)&gt;0,_xlpm.missing_string,
    TRUE,"Error"
  )
)</f>
        <v>Blank</v>
      </c>
      <c r="B7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5" spans="1:2" x14ac:dyDescent="0.3">
      <c r="A725" s="2" t="str" cm="1">
        <f t="array" ref="A725">_xlfn.LET(
  _xlpm.key,_xlfn.TEXTSPLIT("Email,Org,IRN,Impact",","),
  _xlpm.complete,ISBLANK(H725:K725),
  _xlpm.missing,_xlfn._xlws.FILTER(_xlpm.key,_xlpm.complete,FALSE()),
  _xlpm.missing_string,"Missing: "&amp;_xlfn.TEXTJOIN(", ",TRUE,_xlpm.missing),
  _xlfn.IFS(
    COUNTA(C725:K725)=0,"Blank",
AND(_xlpm.missing=FALSE,ROWS(_xlpm.missing)=1),"Complete",
    ROWS(_xlpm.missing)&gt;0,_xlpm.missing_string,
    TRUE,"Error"
  )
)</f>
        <v>Blank</v>
      </c>
      <c r="B7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6" spans="1:2" x14ac:dyDescent="0.3">
      <c r="A726" s="2" t="str" cm="1">
        <f t="array" ref="A726">_xlfn.LET(
  _xlpm.key,_xlfn.TEXTSPLIT("Email,Org,IRN,Impact",","),
  _xlpm.complete,ISBLANK(H726:K726),
  _xlpm.missing,_xlfn._xlws.FILTER(_xlpm.key,_xlpm.complete,FALSE()),
  _xlpm.missing_string,"Missing: "&amp;_xlfn.TEXTJOIN(", ",TRUE,_xlpm.missing),
  _xlfn.IFS(
    COUNTA(C726:K726)=0,"Blank",
AND(_xlpm.missing=FALSE,ROWS(_xlpm.missing)=1),"Complete",
    ROWS(_xlpm.missing)&gt;0,_xlpm.missing_string,
    TRUE,"Error"
  )
)</f>
        <v>Blank</v>
      </c>
      <c r="B7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7" spans="1:2" x14ac:dyDescent="0.3">
      <c r="A727" s="2" t="str" cm="1">
        <f t="array" ref="A727">_xlfn.LET(
  _xlpm.key,_xlfn.TEXTSPLIT("Email,Org,IRN,Impact",","),
  _xlpm.complete,ISBLANK(H727:K727),
  _xlpm.missing,_xlfn._xlws.FILTER(_xlpm.key,_xlpm.complete,FALSE()),
  _xlpm.missing_string,"Missing: "&amp;_xlfn.TEXTJOIN(", ",TRUE,_xlpm.missing),
  _xlfn.IFS(
    COUNTA(C727:K727)=0,"Blank",
AND(_xlpm.missing=FALSE,ROWS(_xlpm.missing)=1),"Complete",
    ROWS(_xlpm.missing)&gt;0,_xlpm.missing_string,
    TRUE,"Error"
  )
)</f>
        <v>Blank</v>
      </c>
      <c r="B7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8" spans="1:2" x14ac:dyDescent="0.3">
      <c r="A728" s="2" t="str" cm="1">
        <f t="array" ref="A728">_xlfn.LET(
  _xlpm.key,_xlfn.TEXTSPLIT("Email,Org,IRN,Impact",","),
  _xlpm.complete,ISBLANK(H728:K728),
  _xlpm.missing,_xlfn._xlws.FILTER(_xlpm.key,_xlpm.complete,FALSE()),
  _xlpm.missing_string,"Missing: "&amp;_xlfn.TEXTJOIN(", ",TRUE,_xlpm.missing),
  _xlfn.IFS(
    COUNTA(C728:K728)=0,"Blank",
AND(_xlpm.missing=FALSE,ROWS(_xlpm.missing)=1),"Complete",
    ROWS(_xlpm.missing)&gt;0,_xlpm.missing_string,
    TRUE,"Error"
  )
)</f>
        <v>Blank</v>
      </c>
      <c r="B7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29" spans="1:2" x14ac:dyDescent="0.3">
      <c r="A729" s="2" t="str" cm="1">
        <f t="array" ref="A729">_xlfn.LET(
  _xlpm.key,_xlfn.TEXTSPLIT("Email,Org,IRN,Impact",","),
  _xlpm.complete,ISBLANK(H729:K729),
  _xlpm.missing,_xlfn._xlws.FILTER(_xlpm.key,_xlpm.complete,FALSE()),
  _xlpm.missing_string,"Missing: "&amp;_xlfn.TEXTJOIN(", ",TRUE,_xlpm.missing),
  _xlfn.IFS(
    COUNTA(C729:K729)=0,"Blank",
AND(_xlpm.missing=FALSE,ROWS(_xlpm.missing)=1),"Complete",
    ROWS(_xlpm.missing)&gt;0,_xlpm.missing_string,
    TRUE,"Error"
  )
)</f>
        <v>Blank</v>
      </c>
      <c r="B7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0" spans="1:2" x14ac:dyDescent="0.3">
      <c r="A730" s="2" t="str" cm="1">
        <f t="array" ref="A730">_xlfn.LET(
  _xlpm.key,_xlfn.TEXTSPLIT("Email,Org,IRN,Impact",","),
  _xlpm.complete,ISBLANK(H730:K730),
  _xlpm.missing,_xlfn._xlws.FILTER(_xlpm.key,_xlpm.complete,FALSE()),
  _xlpm.missing_string,"Missing: "&amp;_xlfn.TEXTJOIN(", ",TRUE,_xlpm.missing),
  _xlfn.IFS(
    COUNTA(C730:K730)=0,"Blank",
AND(_xlpm.missing=FALSE,ROWS(_xlpm.missing)=1),"Complete",
    ROWS(_xlpm.missing)&gt;0,_xlpm.missing_string,
    TRUE,"Error"
  )
)</f>
        <v>Blank</v>
      </c>
      <c r="B7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1" spans="1:2" x14ac:dyDescent="0.3">
      <c r="A731" s="2" t="str" cm="1">
        <f t="array" ref="A731">_xlfn.LET(
  _xlpm.key,_xlfn.TEXTSPLIT("Email,Org,IRN,Impact",","),
  _xlpm.complete,ISBLANK(H731:K731),
  _xlpm.missing,_xlfn._xlws.FILTER(_xlpm.key,_xlpm.complete,FALSE()),
  _xlpm.missing_string,"Missing: "&amp;_xlfn.TEXTJOIN(", ",TRUE,_xlpm.missing),
  _xlfn.IFS(
    COUNTA(C731:K731)=0,"Blank",
AND(_xlpm.missing=FALSE,ROWS(_xlpm.missing)=1),"Complete",
    ROWS(_xlpm.missing)&gt;0,_xlpm.missing_string,
    TRUE,"Error"
  )
)</f>
        <v>Blank</v>
      </c>
      <c r="B7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2" spans="1:2" x14ac:dyDescent="0.3">
      <c r="A732" s="2" t="str" cm="1">
        <f t="array" ref="A732">_xlfn.LET(
  _xlpm.key,_xlfn.TEXTSPLIT("Email,Org,IRN,Impact",","),
  _xlpm.complete,ISBLANK(H732:K732),
  _xlpm.missing,_xlfn._xlws.FILTER(_xlpm.key,_xlpm.complete,FALSE()),
  _xlpm.missing_string,"Missing: "&amp;_xlfn.TEXTJOIN(", ",TRUE,_xlpm.missing),
  _xlfn.IFS(
    COUNTA(C732:K732)=0,"Blank",
AND(_xlpm.missing=FALSE,ROWS(_xlpm.missing)=1),"Complete",
    ROWS(_xlpm.missing)&gt;0,_xlpm.missing_string,
    TRUE,"Error"
  )
)</f>
        <v>Blank</v>
      </c>
      <c r="B7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3" spans="1:2" x14ac:dyDescent="0.3">
      <c r="A733" s="2" t="str" cm="1">
        <f t="array" ref="A733">_xlfn.LET(
  _xlpm.key,_xlfn.TEXTSPLIT("Email,Org,IRN,Impact",","),
  _xlpm.complete,ISBLANK(H733:K733),
  _xlpm.missing,_xlfn._xlws.FILTER(_xlpm.key,_xlpm.complete,FALSE()),
  _xlpm.missing_string,"Missing: "&amp;_xlfn.TEXTJOIN(", ",TRUE,_xlpm.missing),
  _xlfn.IFS(
    COUNTA(C733:K733)=0,"Blank",
AND(_xlpm.missing=FALSE,ROWS(_xlpm.missing)=1),"Complete",
    ROWS(_xlpm.missing)&gt;0,_xlpm.missing_string,
    TRUE,"Error"
  )
)</f>
        <v>Blank</v>
      </c>
      <c r="B7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4" spans="1:2" x14ac:dyDescent="0.3">
      <c r="A734" s="2" t="str" cm="1">
        <f t="array" ref="A734">_xlfn.LET(
  _xlpm.key,_xlfn.TEXTSPLIT("Email,Org,IRN,Impact",","),
  _xlpm.complete,ISBLANK(H734:K734),
  _xlpm.missing,_xlfn._xlws.FILTER(_xlpm.key,_xlpm.complete,FALSE()),
  _xlpm.missing_string,"Missing: "&amp;_xlfn.TEXTJOIN(", ",TRUE,_xlpm.missing),
  _xlfn.IFS(
    COUNTA(C734:K734)=0,"Blank",
AND(_xlpm.missing=FALSE,ROWS(_xlpm.missing)=1),"Complete",
    ROWS(_xlpm.missing)&gt;0,_xlpm.missing_string,
    TRUE,"Error"
  )
)</f>
        <v>Blank</v>
      </c>
      <c r="B7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5" spans="1:2" x14ac:dyDescent="0.3">
      <c r="A735" s="2" t="str" cm="1">
        <f t="array" ref="A735">_xlfn.LET(
  _xlpm.key,_xlfn.TEXTSPLIT("Email,Org,IRN,Impact",","),
  _xlpm.complete,ISBLANK(H735:K735),
  _xlpm.missing,_xlfn._xlws.FILTER(_xlpm.key,_xlpm.complete,FALSE()),
  _xlpm.missing_string,"Missing: "&amp;_xlfn.TEXTJOIN(", ",TRUE,_xlpm.missing),
  _xlfn.IFS(
    COUNTA(C735:K735)=0,"Blank",
AND(_xlpm.missing=FALSE,ROWS(_xlpm.missing)=1),"Complete",
    ROWS(_xlpm.missing)&gt;0,_xlpm.missing_string,
    TRUE,"Error"
  )
)</f>
        <v>Blank</v>
      </c>
      <c r="B7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6" spans="1:2" x14ac:dyDescent="0.3">
      <c r="A736" s="2" t="str" cm="1">
        <f t="array" ref="A736">_xlfn.LET(
  _xlpm.key,_xlfn.TEXTSPLIT("Email,Org,IRN,Impact",","),
  _xlpm.complete,ISBLANK(H736:K736),
  _xlpm.missing,_xlfn._xlws.FILTER(_xlpm.key,_xlpm.complete,FALSE()),
  _xlpm.missing_string,"Missing: "&amp;_xlfn.TEXTJOIN(", ",TRUE,_xlpm.missing),
  _xlfn.IFS(
    COUNTA(C736:K736)=0,"Blank",
AND(_xlpm.missing=FALSE,ROWS(_xlpm.missing)=1),"Complete",
    ROWS(_xlpm.missing)&gt;0,_xlpm.missing_string,
    TRUE,"Error"
  )
)</f>
        <v>Blank</v>
      </c>
      <c r="B7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7" spans="1:2" x14ac:dyDescent="0.3">
      <c r="A737" s="2" t="str" cm="1">
        <f t="array" ref="A737">_xlfn.LET(
  _xlpm.key,_xlfn.TEXTSPLIT("Email,Org,IRN,Impact",","),
  _xlpm.complete,ISBLANK(H737:K737),
  _xlpm.missing,_xlfn._xlws.FILTER(_xlpm.key,_xlpm.complete,FALSE()),
  _xlpm.missing_string,"Missing: "&amp;_xlfn.TEXTJOIN(", ",TRUE,_xlpm.missing),
  _xlfn.IFS(
    COUNTA(C737:K737)=0,"Blank",
AND(_xlpm.missing=FALSE,ROWS(_xlpm.missing)=1),"Complete",
    ROWS(_xlpm.missing)&gt;0,_xlpm.missing_string,
    TRUE,"Error"
  )
)</f>
        <v>Blank</v>
      </c>
      <c r="B7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8" spans="1:2" x14ac:dyDescent="0.3">
      <c r="A738" s="2" t="str" cm="1">
        <f t="array" ref="A738">_xlfn.LET(
  _xlpm.key,_xlfn.TEXTSPLIT("Email,Org,IRN,Impact",","),
  _xlpm.complete,ISBLANK(H738:K738),
  _xlpm.missing,_xlfn._xlws.FILTER(_xlpm.key,_xlpm.complete,FALSE()),
  _xlpm.missing_string,"Missing: "&amp;_xlfn.TEXTJOIN(", ",TRUE,_xlpm.missing),
  _xlfn.IFS(
    COUNTA(C738:K738)=0,"Blank",
AND(_xlpm.missing=FALSE,ROWS(_xlpm.missing)=1),"Complete",
    ROWS(_xlpm.missing)&gt;0,_xlpm.missing_string,
    TRUE,"Error"
  )
)</f>
        <v>Blank</v>
      </c>
      <c r="B7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39" spans="1:2" x14ac:dyDescent="0.3">
      <c r="A739" s="2" t="str" cm="1">
        <f t="array" ref="A739">_xlfn.LET(
  _xlpm.key,_xlfn.TEXTSPLIT("Email,Org,IRN,Impact",","),
  _xlpm.complete,ISBLANK(H739:K739),
  _xlpm.missing,_xlfn._xlws.FILTER(_xlpm.key,_xlpm.complete,FALSE()),
  _xlpm.missing_string,"Missing: "&amp;_xlfn.TEXTJOIN(", ",TRUE,_xlpm.missing),
  _xlfn.IFS(
    COUNTA(C739:K739)=0,"Blank",
AND(_xlpm.missing=FALSE,ROWS(_xlpm.missing)=1),"Complete",
    ROWS(_xlpm.missing)&gt;0,_xlpm.missing_string,
    TRUE,"Error"
  )
)</f>
        <v>Blank</v>
      </c>
      <c r="B7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0" spans="1:2" x14ac:dyDescent="0.3">
      <c r="A740" s="2" t="str" cm="1">
        <f t="array" ref="A740">_xlfn.LET(
  _xlpm.key,_xlfn.TEXTSPLIT("Email,Org,IRN,Impact",","),
  _xlpm.complete,ISBLANK(H740:K740),
  _xlpm.missing,_xlfn._xlws.FILTER(_xlpm.key,_xlpm.complete,FALSE()),
  _xlpm.missing_string,"Missing: "&amp;_xlfn.TEXTJOIN(", ",TRUE,_xlpm.missing),
  _xlfn.IFS(
    COUNTA(C740:K740)=0,"Blank",
AND(_xlpm.missing=FALSE,ROWS(_xlpm.missing)=1),"Complete",
    ROWS(_xlpm.missing)&gt;0,_xlpm.missing_string,
    TRUE,"Error"
  )
)</f>
        <v>Blank</v>
      </c>
      <c r="B7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1" spans="1:2" x14ac:dyDescent="0.3">
      <c r="A741" s="2" t="str" cm="1">
        <f t="array" ref="A741">_xlfn.LET(
  _xlpm.key,_xlfn.TEXTSPLIT("Email,Org,IRN,Impact",","),
  _xlpm.complete,ISBLANK(H741:K741),
  _xlpm.missing,_xlfn._xlws.FILTER(_xlpm.key,_xlpm.complete,FALSE()),
  _xlpm.missing_string,"Missing: "&amp;_xlfn.TEXTJOIN(", ",TRUE,_xlpm.missing),
  _xlfn.IFS(
    COUNTA(C741:K741)=0,"Blank",
AND(_xlpm.missing=FALSE,ROWS(_xlpm.missing)=1),"Complete",
    ROWS(_xlpm.missing)&gt;0,_xlpm.missing_string,
    TRUE,"Error"
  )
)</f>
        <v>Blank</v>
      </c>
      <c r="B7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2" spans="1:2" x14ac:dyDescent="0.3">
      <c r="A742" s="2" t="str" cm="1">
        <f t="array" ref="A742">_xlfn.LET(
  _xlpm.key,_xlfn.TEXTSPLIT("Email,Org,IRN,Impact",","),
  _xlpm.complete,ISBLANK(H742:K742),
  _xlpm.missing,_xlfn._xlws.FILTER(_xlpm.key,_xlpm.complete,FALSE()),
  _xlpm.missing_string,"Missing: "&amp;_xlfn.TEXTJOIN(", ",TRUE,_xlpm.missing),
  _xlfn.IFS(
    COUNTA(C742:K742)=0,"Blank",
AND(_xlpm.missing=FALSE,ROWS(_xlpm.missing)=1),"Complete",
    ROWS(_xlpm.missing)&gt;0,_xlpm.missing_string,
    TRUE,"Error"
  )
)</f>
        <v>Blank</v>
      </c>
      <c r="B7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3" spans="1:2" x14ac:dyDescent="0.3">
      <c r="A743" s="2" t="str" cm="1">
        <f t="array" ref="A743">_xlfn.LET(
  _xlpm.key,_xlfn.TEXTSPLIT("Email,Org,IRN,Impact",","),
  _xlpm.complete,ISBLANK(H743:K743),
  _xlpm.missing,_xlfn._xlws.FILTER(_xlpm.key,_xlpm.complete,FALSE()),
  _xlpm.missing_string,"Missing: "&amp;_xlfn.TEXTJOIN(", ",TRUE,_xlpm.missing),
  _xlfn.IFS(
    COUNTA(C743:K743)=0,"Blank",
AND(_xlpm.missing=FALSE,ROWS(_xlpm.missing)=1),"Complete",
    ROWS(_xlpm.missing)&gt;0,_xlpm.missing_string,
    TRUE,"Error"
  )
)</f>
        <v>Blank</v>
      </c>
      <c r="B7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4" spans="1:2" x14ac:dyDescent="0.3">
      <c r="A744" s="2" t="str" cm="1">
        <f t="array" ref="A744">_xlfn.LET(
  _xlpm.key,_xlfn.TEXTSPLIT("Email,Org,IRN,Impact",","),
  _xlpm.complete,ISBLANK(H744:K744),
  _xlpm.missing,_xlfn._xlws.FILTER(_xlpm.key,_xlpm.complete,FALSE()),
  _xlpm.missing_string,"Missing: "&amp;_xlfn.TEXTJOIN(", ",TRUE,_xlpm.missing),
  _xlfn.IFS(
    COUNTA(C744:K744)=0,"Blank",
AND(_xlpm.missing=FALSE,ROWS(_xlpm.missing)=1),"Complete",
    ROWS(_xlpm.missing)&gt;0,_xlpm.missing_string,
    TRUE,"Error"
  )
)</f>
        <v>Blank</v>
      </c>
      <c r="B7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5" spans="1:2" x14ac:dyDescent="0.3">
      <c r="A745" s="2" t="str" cm="1">
        <f t="array" ref="A745">_xlfn.LET(
  _xlpm.key,_xlfn.TEXTSPLIT("Email,Org,IRN,Impact",","),
  _xlpm.complete,ISBLANK(H745:K745),
  _xlpm.missing,_xlfn._xlws.FILTER(_xlpm.key,_xlpm.complete,FALSE()),
  _xlpm.missing_string,"Missing: "&amp;_xlfn.TEXTJOIN(", ",TRUE,_xlpm.missing),
  _xlfn.IFS(
    COUNTA(C745:K745)=0,"Blank",
AND(_xlpm.missing=FALSE,ROWS(_xlpm.missing)=1),"Complete",
    ROWS(_xlpm.missing)&gt;0,_xlpm.missing_string,
    TRUE,"Error"
  )
)</f>
        <v>Blank</v>
      </c>
      <c r="B7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6" spans="1:2" x14ac:dyDescent="0.3">
      <c r="A746" s="2" t="str" cm="1">
        <f t="array" ref="A746">_xlfn.LET(
  _xlpm.key,_xlfn.TEXTSPLIT("Email,Org,IRN,Impact",","),
  _xlpm.complete,ISBLANK(H746:K746),
  _xlpm.missing,_xlfn._xlws.FILTER(_xlpm.key,_xlpm.complete,FALSE()),
  _xlpm.missing_string,"Missing: "&amp;_xlfn.TEXTJOIN(", ",TRUE,_xlpm.missing),
  _xlfn.IFS(
    COUNTA(C746:K746)=0,"Blank",
AND(_xlpm.missing=FALSE,ROWS(_xlpm.missing)=1),"Complete",
    ROWS(_xlpm.missing)&gt;0,_xlpm.missing_string,
    TRUE,"Error"
  )
)</f>
        <v>Blank</v>
      </c>
      <c r="B7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7" spans="1:2" x14ac:dyDescent="0.3">
      <c r="A747" s="2" t="str" cm="1">
        <f t="array" ref="A747">_xlfn.LET(
  _xlpm.key,_xlfn.TEXTSPLIT("Email,Org,IRN,Impact",","),
  _xlpm.complete,ISBLANK(H747:K747),
  _xlpm.missing,_xlfn._xlws.FILTER(_xlpm.key,_xlpm.complete,FALSE()),
  _xlpm.missing_string,"Missing: "&amp;_xlfn.TEXTJOIN(", ",TRUE,_xlpm.missing),
  _xlfn.IFS(
    COUNTA(C747:K747)=0,"Blank",
AND(_xlpm.missing=FALSE,ROWS(_xlpm.missing)=1),"Complete",
    ROWS(_xlpm.missing)&gt;0,_xlpm.missing_string,
    TRUE,"Error"
  )
)</f>
        <v>Blank</v>
      </c>
      <c r="B7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8" spans="1:2" x14ac:dyDescent="0.3">
      <c r="A748" s="2" t="str" cm="1">
        <f t="array" ref="A748">_xlfn.LET(
  _xlpm.key,_xlfn.TEXTSPLIT("Email,Org,IRN,Impact",","),
  _xlpm.complete,ISBLANK(H748:K748),
  _xlpm.missing,_xlfn._xlws.FILTER(_xlpm.key,_xlpm.complete,FALSE()),
  _xlpm.missing_string,"Missing: "&amp;_xlfn.TEXTJOIN(", ",TRUE,_xlpm.missing),
  _xlfn.IFS(
    COUNTA(C748:K748)=0,"Blank",
AND(_xlpm.missing=FALSE,ROWS(_xlpm.missing)=1),"Complete",
    ROWS(_xlpm.missing)&gt;0,_xlpm.missing_string,
    TRUE,"Error"
  )
)</f>
        <v>Blank</v>
      </c>
      <c r="B7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49" spans="1:2" x14ac:dyDescent="0.3">
      <c r="A749" s="2" t="str" cm="1">
        <f t="array" ref="A749">_xlfn.LET(
  _xlpm.key,_xlfn.TEXTSPLIT("Email,Org,IRN,Impact",","),
  _xlpm.complete,ISBLANK(H749:K749),
  _xlpm.missing,_xlfn._xlws.FILTER(_xlpm.key,_xlpm.complete,FALSE()),
  _xlpm.missing_string,"Missing: "&amp;_xlfn.TEXTJOIN(", ",TRUE,_xlpm.missing),
  _xlfn.IFS(
    COUNTA(C749:K749)=0,"Blank",
AND(_xlpm.missing=FALSE,ROWS(_xlpm.missing)=1),"Complete",
    ROWS(_xlpm.missing)&gt;0,_xlpm.missing_string,
    TRUE,"Error"
  )
)</f>
        <v>Blank</v>
      </c>
      <c r="B7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0" spans="1:2" x14ac:dyDescent="0.3">
      <c r="A750" s="2" t="str" cm="1">
        <f t="array" ref="A750">_xlfn.LET(
  _xlpm.key,_xlfn.TEXTSPLIT("Email,Org,IRN,Impact",","),
  _xlpm.complete,ISBLANK(H750:K750),
  _xlpm.missing,_xlfn._xlws.FILTER(_xlpm.key,_xlpm.complete,FALSE()),
  _xlpm.missing_string,"Missing: "&amp;_xlfn.TEXTJOIN(", ",TRUE,_xlpm.missing),
  _xlfn.IFS(
    COUNTA(C750:K750)=0,"Blank",
AND(_xlpm.missing=FALSE,ROWS(_xlpm.missing)=1),"Complete",
    ROWS(_xlpm.missing)&gt;0,_xlpm.missing_string,
    TRUE,"Error"
  )
)</f>
        <v>Blank</v>
      </c>
      <c r="B7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1" spans="1:2" x14ac:dyDescent="0.3">
      <c r="A751" s="2" t="str" cm="1">
        <f t="array" ref="A751">_xlfn.LET(
  _xlpm.key,_xlfn.TEXTSPLIT("Email,Org,IRN,Impact",","),
  _xlpm.complete,ISBLANK(H751:K751),
  _xlpm.missing,_xlfn._xlws.FILTER(_xlpm.key,_xlpm.complete,FALSE()),
  _xlpm.missing_string,"Missing: "&amp;_xlfn.TEXTJOIN(", ",TRUE,_xlpm.missing),
  _xlfn.IFS(
    COUNTA(C751:K751)=0,"Blank",
AND(_xlpm.missing=FALSE,ROWS(_xlpm.missing)=1),"Complete",
    ROWS(_xlpm.missing)&gt;0,_xlpm.missing_string,
    TRUE,"Error"
  )
)</f>
        <v>Blank</v>
      </c>
      <c r="B7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2" spans="1:2" x14ac:dyDescent="0.3">
      <c r="A752" s="2" t="str" cm="1">
        <f t="array" ref="A752">_xlfn.LET(
  _xlpm.key,_xlfn.TEXTSPLIT("Email,Org,IRN,Impact",","),
  _xlpm.complete,ISBLANK(H752:K752),
  _xlpm.missing,_xlfn._xlws.FILTER(_xlpm.key,_xlpm.complete,FALSE()),
  _xlpm.missing_string,"Missing: "&amp;_xlfn.TEXTJOIN(", ",TRUE,_xlpm.missing),
  _xlfn.IFS(
    COUNTA(C752:K752)=0,"Blank",
AND(_xlpm.missing=FALSE,ROWS(_xlpm.missing)=1),"Complete",
    ROWS(_xlpm.missing)&gt;0,_xlpm.missing_string,
    TRUE,"Error"
  )
)</f>
        <v>Blank</v>
      </c>
      <c r="B7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3" spans="1:2" x14ac:dyDescent="0.3">
      <c r="A753" s="2" t="str" cm="1">
        <f t="array" ref="A753">_xlfn.LET(
  _xlpm.key,_xlfn.TEXTSPLIT("Email,Org,IRN,Impact",","),
  _xlpm.complete,ISBLANK(H753:K753),
  _xlpm.missing,_xlfn._xlws.FILTER(_xlpm.key,_xlpm.complete,FALSE()),
  _xlpm.missing_string,"Missing: "&amp;_xlfn.TEXTJOIN(", ",TRUE,_xlpm.missing),
  _xlfn.IFS(
    COUNTA(C753:K753)=0,"Blank",
AND(_xlpm.missing=FALSE,ROWS(_xlpm.missing)=1),"Complete",
    ROWS(_xlpm.missing)&gt;0,_xlpm.missing_string,
    TRUE,"Error"
  )
)</f>
        <v>Blank</v>
      </c>
      <c r="B7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4" spans="1:2" x14ac:dyDescent="0.3">
      <c r="A754" s="2" t="str" cm="1">
        <f t="array" ref="A754">_xlfn.LET(
  _xlpm.key,_xlfn.TEXTSPLIT("Email,Org,IRN,Impact",","),
  _xlpm.complete,ISBLANK(H754:K754),
  _xlpm.missing,_xlfn._xlws.FILTER(_xlpm.key,_xlpm.complete,FALSE()),
  _xlpm.missing_string,"Missing: "&amp;_xlfn.TEXTJOIN(", ",TRUE,_xlpm.missing),
  _xlfn.IFS(
    COUNTA(C754:K754)=0,"Blank",
AND(_xlpm.missing=FALSE,ROWS(_xlpm.missing)=1),"Complete",
    ROWS(_xlpm.missing)&gt;0,_xlpm.missing_string,
    TRUE,"Error"
  )
)</f>
        <v>Blank</v>
      </c>
      <c r="B7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5" spans="1:2" x14ac:dyDescent="0.3">
      <c r="A755" s="2" t="str" cm="1">
        <f t="array" ref="A755">_xlfn.LET(
  _xlpm.key,_xlfn.TEXTSPLIT("Email,Org,IRN,Impact",","),
  _xlpm.complete,ISBLANK(H755:K755),
  _xlpm.missing,_xlfn._xlws.FILTER(_xlpm.key,_xlpm.complete,FALSE()),
  _xlpm.missing_string,"Missing: "&amp;_xlfn.TEXTJOIN(", ",TRUE,_xlpm.missing),
  _xlfn.IFS(
    COUNTA(C755:K755)=0,"Blank",
AND(_xlpm.missing=FALSE,ROWS(_xlpm.missing)=1),"Complete",
    ROWS(_xlpm.missing)&gt;0,_xlpm.missing_string,
    TRUE,"Error"
  )
)</f>
        <v>Blank</v>
      </c>
      <c r="B7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6" spans="1:2" x14ac:dyDescent="0.3">
      <c r="A756" s="2" t="str" cm="1">
        <f t="array" ref="A756">_xlfn.LET(
  _xlpm.key,_xlfn.TEXTSPLIT("Email,Org,IRN,Impact",","),
  _xlpm.complete,ISBLANK(H756:K756),
  _xlpm.missing,_xlfn._xlws.FILTER(_xlpm.key,_xlpm.complete,FALSE()),
  _xlpm.missing_string,"Missing: "&amp;_xlfn.TEXTJOIN(", ",TRUE,_xlpm.missing),
  _xlfn.IFS(
    COUNTA(C756:K756)=0,"Blank",
AND(_xlpm.missing=FALSE,ROWS(_xlpm.missing)=1),"Complete",
    ROWS(_xlpm.missing)&gt;0,_xlpm.missing_string,
    TRUE,"Error"
  )
)</f>
        <v>Blank</v>
      </c>
      <c r="B7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7" spans="1:2" x14ac:dyDescent="0.3">
      <c r="A757" s="2" t="str" cm="1">
        <f t="array" ref="A757">_xlfn.LET(
  _xlpm.key,_xlfn.TEXTSPLIT("Email,Org,IRN,Impact",","),
  _xlpm.complete,ISBLANK(H757:K757),
  _xlpm.missing,_xlfn._xlws.FILTER(_xlpm.key,_xlpm.complete,FALSE()),
  _xlpm.missing_string,"Missing: "&amp;_xlfn.TEXTJOIN(", ",TRUE,_xlpm.missing),
  _xlfn.IFS(
    COUNTA(C757:K757)=0,"Blank",
AND(_xlpm.missing=FALSE,ROWS(_xlpm.missing)=1),"Complete",
    ROWS(_xlpm.missing)&gt;0,_xlpm.missing_string,
    TRUE,"Error"
  )
)</f>
        <v>Blank</v>
      </c>
      <c r="B7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8" spans="1:2" x14ac:dyDescent="0.3">
      <c r="A758" s="2" t="str" cm="1">
        <f t="array" ref="A758">_xlfn.LET(
  _xlpm.key,_xlfn.TEXTSPLIT("Email,Org,IRN,Impact",","),
  _xlpm.complete,ISBLANK(H758:K758),
  _xlpm.missing,_xlfn._xlws.FILTER(_xlpm.key,_xlpm.complete,FALSE()),
  _xlpm.missing_string,"Missing: "&amp;_xlfn.TEXTJOIN(", ",TRUE,_xlpm.missing),
  _xlfn.IFS(
    COUNTA(C758:K758)=0,"Blank",
AND(_xlpm.missing=FALSE,ROWS(_xlpm.missing)=1),"Complete",
    ROWS(_xlpm.missing)&gt;0,_xlpm.missing_string,
    TRUE,"Error"
  )
)</f>
        <v>Blank</v>
      </c>
      <c r="B7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59" spans="1:2" x14ac:dyDescent="0.3">
      <c r="A759" s="2" t="str" cm="1">
        <f t="array" ref="A759">_xlfn.LET(
  _xlpm.key,_xlfn.TEXTSPLIT("Email,Org,IRN,Impact",","),
  _xlpm.complete,ISBLANK(H759:K759),
  _xlpm.missing,_xlfn._xlws.FILTER(_xlpm.key,_xlpm.complete,FALSE()),
  _xlpm.missing_string,"Missing: "&amp;_xlfn.TEXTJOIN(", ",TRUE,_xlpm.missing),
  _xlfn.IFS(
    COUNTA(C759:K759)=0,"Blank",
AND(_xlpm.missing=FALSE,ROWS(_xlpm.missing)=1),"Complete",
    ROWS(_xlpm.missing)&gt;0,_xlpm.missing_string,
    TRUE,"Error"
  )
)</f>
        <v>Blank</v>
      </c>
      <c r="B7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0" spans="1:2" x14ac:dyDescent="0.3">
      <c r="A760" s="2" t="str" cm="1">
        <f t="array" ref="A760">_xlfn.LET(
  _xlpm.key,_xlfn.TEXTSPLIT("Email,Org,IRN,Impact",","),
  _xlpm.complete,ISBLANK(H760:K760),
  _xlpm.missing,_xlfn._xlws.FILTER(_xlpm.key,_xlpm.complete,FALSE()),
  _xlpm.missing_string,"Missing: "&amp;_xlfn.TEXTJOIN(", ",TRUE,_xlpm.missing),
  _xlfn.IFS(
    COUNTA(C760:K760)=0,"Blank",
AND(_xlpm.missing=FALSE,ROWS(_xlpm.missing)=1),"Complete",
    ROWS(_xlpm.missing)&gt;0,_xlpm.missing_string,
    TRUE,"Error"
  )
)</f>
        <v>Blank</v>
      </c>
      <c r="B7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1" spans="1:2" x14ac:dyDescent="0.3">
      <c r="A761" s="2" t="str" cm="1">
        <f t="array" ref="A761">_xlfn.LET(
  _xlpm.key,_xlfn.TEXTSPLIT("Email,Org,IRN,Impact",","),
  _xlpm.complete,ISBLANK(H761:K761),
  _xlpm.missing,_xlfn._xlws.FILTER(_xlpm.key,_xlpm.complete,FALSE()),
  _xlpm.missing_string,"Missing: "&amp;_xlfn.TEXTJOIN(", ",TRUE,_xlpm.missing),
  _xlfn.IFS(
    COUNTA(C761:K761)=0,"Blank",
AND(_xlpm.missing=FALSE,ROWS(_xlpm.missing)=1),"Complete",
    ROWS(_xlpm.missing)&gt;0,_xlpm.missing_string,
    TRUE,"Error"
  )
)</f>
        <v>Blank</v>
      </c>
      <c r="B7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2" spans="1:2" x14ac:dyDescent="0.3">
      <c r="A762" s="2" t="str" cm="1">
        <f t="array" ref="A762">_xlfn.LET(
  _xlpm.key,_xlfn.TEXTSPLIT("Email,Org,IRN,Impact",","),
  _xlpm.complete,ISBLANK(H762:K762),
  _xlpm.missing,_xlfn._xlws.FILTER(_xlpm.key,_xlpm.complete,FALSE()),
  _xlpm.missing_string,"Missing: "&amp;_xlfn.TEXTJOIN(", ",TRUE,_xlpm.missing),
  _xlfn.IFS(
    COUNTA(C762:K762)=0,"Blank",
AND(_xlpm.missing=FALSE,ROWS(_xlpm.missing)=1),"Complete",
    ROWS(_xlpm.missing)&gt;0,_xlpm.missing_string,
    TRUE,"Error"
  )
)</f>
        <v>Blank</v>
      </c>
      <c r="B7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3" spans="1:2" x14ac:dyDescent="0.3">
      <c r="A763" s="2" t="str" cm="1">
        <f t="array" ref="A763">_xlfn.LET(
  _xlpm.key,_xlfn.TEXTSPLIT("Email,Org,IRN,Impact",","),
  _xlpm.complete,ISBLANK(H763:K763),
  _xlpm.missing,_xlfn._xlws.FILTER(_xlpm.key,_xlpm.complete,FALSE()),
  _xlpm.missing_string,"Missing: "&amp;_xlfn.TEXTJOIN(", ",TRUE,_xlpm.missing),
  _xlfn.IFS(
    COUNTA(C763:K763)=0,"Blank",
AND(_xlpm.missing=FALSE,ROWS(_xlpm.missing)=1),"Complete",
    ROWS(_xlpm.missing)&gt;0,_xlpm.missing_string,
    TRUE,"Error"
  )
)</f>
        <v>Blank</v>
      </c>
      <c r="B7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4" spans="1:2" x14ac:dyDescent="0.3">
      <c r="A764" s="2" t="str" cm="1">
        <f t="array" ref="A764">_xlfn.LET(
  _xlpm.key,_xlfn.TEXTSPLIT("Email,Org,IRN,Impact",","),
  _xlpm.complete,ISBLANK(H764:K764),
  _xlpm.missing,_xlfn._xlws.FILTER(_xlpm.key,_xlpm.complete,FALSE()),
  _xlpm.missing_string,"Missing: "&amp;_xlfn.TEXTJOIN(", ",TRUE,_xlpm.missing),
  _xlfn.IFS(
    COUNTA(C764:K764)=0,"Blank",
AND(_xlpm.missing=FALSE,ROWS(_xlpm.missing)=1),"Complete",
    ROWS(_xlpm.missing)&gt;0,_xlpm.missing_string,
    TRUE,"Error"
  )
)</f>
        <v>Blank</v>
      </c>
      <c r="B7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5" spans="1:2" x14ac:dyDescent="0.3">
      <c r="A765" s="2" t="str" cm="1">
        <f t="array" ref="A765">_xlfn.LET(
  _xlpm.key,_xlfn.TEXTSPLIT("Email,Org,IRN,Impact",","),
  _xlpm.complete,ISBLANK(H765:K765),
  _xlpm.missing,_xlfn._xlws.FILTER(_xlpm.key,_xlpm.complete,FALSE()),
  _xlpm.missing_string,"Missing: "&amp;_xlfn.TEXTJOIN(", ",TRUE,_xlpm.missing),
  _xlfn.IFS(
    COUNTA(C765:K765)=0,"Blank",
AND(_xlpm.missing=FALSE,ROWS(_xlpm.missing)=1),"Complete",
    ROWS(_xlpm.missing)&gt;0,_xlpm.missing_string,
    TRUE,"Error"
  )
)</f>
        <v>Blank</v>
      </c>
      <c r="B7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6" spans="1:2" x14ac:dyDescent="0.3">
      <c r="A766" s="2" t="str" cm="1">
        <f t="array" ref="A766">_xlfn.LET(
  _xlpm.key,_xlfn.TEXTSPLIT("Email,Org,IRN,Impact",","),
  _xlpm.complete,ISBLANK(H766:K766),
  _xlpm.missing,_xlfn._xlws.FILTER(_xlpm.key,_xlpm.complete,FALSE()),
  _xlpm.missing_string,"Missing: "&amp;_xlfn.TEXTJOIN(", ",TRUE,_xlpm.missing),
  _xlfn.IFS(
    COUNTA(C766:K766)=0,"Blank",
AND(_xlpm.missing=FALSE,ROWS(_xlpm.missing)=1),"Complete",
    ROWS(_xlpm.missing)&gt;0,_xlpm.missing_string,
    TRUE,"Error"
  )
)</f>
        <v>Blank</v>
      </c>
      <c r="B7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7" spans="1:2" x14ac:dyDescent="0.3">
      <c r="A767" s="2" t="str" cm="1">
        <f t="array" ref="A767">_xlfn.LET(
  _xlpm.key,_xlfn.TEXTSPLIT("Email,Org,IRN,Impact",","),
  _xlpm.complete,ISBLANK(H767:K767),
  _xlpm.missing,_xlfn._xlws.FILTER(_xlpm.key,_xlpm.complete,FALSE()),
  _xlpm.missing_string,"Missing: "&amp;_xlfn.TEXTJOIN(", ",TRUE,_xlpm.missing),
  _xlfn.IFS(
    COUNTA(C767:K767)=0,"Blank",
AND(_xlpm.missing=FALSE,ROWS(_xlpm.missing)=1),"Complete",
    ROWS(_xlpm.missing)&gt;0,_xlpm.missing_string,
    TRUE,"Error"
  )
)</f>
        <v>Blank</v>
      </c>
      <c r="B7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8" spans="1:2" x14ac:dyDescent="0.3">
      <c r="A768" s="2" t="str" cm="1">
        <f t="array" ref="A768">_xlfn.LET(
  _xlpm.key,_xlfn.TEXTSPLIT("Email,Org,IRN,Impact",","),
  _xlpm.complete,ISBLANK(H768:K768),
  _xlpm.missing,_xlfn._xlws.FILTER(_xlpm.key,_xlpm.complete,FALSE()),
  _xlpm.missing_string,"Missing: "&amp;_xlfn.TEXTJOIN(", ",TRUE,_xlpm.missing),
  _xlfn.IFS(
    COUNTA(C768:K768)=0,"Blank",
AND(_xlpm.missing=FALSE,ROWS(_xlpm.missing)=1),"Complete",
    ROWS(_xlpm.missing)&gt;0,_xlpm.missing_string,
    TRUE,"Error"
  )
)</f>
        <v>Blank</v>
      </c>
      <c r="B7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69" spans="1:2" x14ac:dyDescent="0.3">
      <c r="A769" s="2" t="str" cm="1">
        <f t="array" ref="A769">_xlfn.LET(
  _xlpm.key,_xlfn.TEXTSPLIT("Email,Org,IRN,Impact",","),
  _xlpm.complete,ISBLANK(H769:K769),
  _xlpm.missing,_xlfn._xlws.FILTER(_xlpm.key,_xlpm.complete,FALSE()),
  _xlpm.missing_string,"Missing: "&amp;_xlfn.TEXTJOIN(", ",TRUE,_xlpm.missing),
  _xlfn.IFS(
    COUNTA(C769:K769)=0,"Blank",
AND(_xlpm.missing=FALSE,ROWS(_xlpm.missing)=1),"Complete",
    ROWS(_xlpm.missing)&gt;0,_xlpm.missing_string,
    TRUE,"Error"
  )
)</f>
        <v>Blank</v>
      </c>
      <c r="B7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0" spans="1:2" x14ac:dyDescent="0.3">
      <c r="A770" s="2" t="str" cm="1">
        <f t="array" ref="A770">_xlfn.LET(
  _xlpm.key,_xlfn.TEXTSPLIT("Email,Org,IRN,Impact",","),
  _xlpm.complete,ISBLANK(H770:K770),
  _xlpm.missing,_xlfn._xlws.FILTER(_xlpm.key,_xlpm.complete,FALSE()),
  _xlpm.missing_string,"Missing: "&amp;_xlfn.TEXTJOIN(", ",TRUE,_xlpm.missing),
  _xlfn.IFS(
    COUNTA(C770:K770)=0,"Blank",
AND(_xlpm.missing=FALSE,ROWS(_xlpm.missing)=1),"Complete",
    ROWS(_xlpm.missing)&gt;0,_xlpm.missing_string,
    TRUE,"Error"
  )
)</f>
        <v>Blank</v>
      </c>
      <c r="B7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1" spans="1:2" x14ac:dyDescent="0.3">
      <c r="A771" s="2" t="str" cm="1">
        <f t="array" ref="A771">_xlfn.LET(
  _xlpm.key,_xlfn.TEXTSPLIT("Email,Org,IRN,Impact",","),
  _xlpm.complete,ISBLANK(H771:K771),
  _xlpm.missing,_xlfn._xlws.FILTER(_xlpm.key,_xlpm.complete,FALSE()),
  _xlpm.missing_string,"Missing: "&amp;_xlfn.TEXTJOIN(", ",TRUE,_xlpm.missing),
  _xlfn.IFS(
    COUNTA(C771:K771)=0,"Blank",
AND(_xlpm.missing=FALSE,ROWS(_xlpm.missing)=1),"Complete",
    ROWS(_xlpm.missing)&gt;0,_xlpm.missing_string,
    TRUE,"Error"
  )
)</f>
        <v>Blank</v>
      </c>
      <c r="B7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2" spans="1:2" x14ac:dyDescent="0.3">
      <c r="A772" s="2" t="str" cm="1">
        <f t="array" ref="A772">_xlfn.LET(
  _xlpm.key,_xlfn.TEXTSPLIT("Email,Org,IRN,Impact",","),
  _xlpm.complete,ISBLANK(H772:K772),
  _xlpm.missing,_xlfn._xlws.FILTER(_xlpm.key,_xlpm.complete,FALSE()),
  _xlpm.missing_string,"Missing: "&amp;_xlfn.TEXTJOIN(", ",TRUE,_xlpm.missing),
  _xlfn.IFS(
    COUNTA(C772:K772)=0,"Blank",
AND(_xlpm.missing=FALSE,ROWS(_xlpm.missing)=1),"Complete",
    ROWS(_xlpm.missing)&gt;0,_xlpm.missing_string,
    TRUE,"Error"
  )
)</f>
        <v>Blank</v>
      </c>
      <c r="B7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3" spans="1:2" x14ac:dyDescent="0.3">
      <c r="A773" s="2" t="str" cm="1">
        <f t="array" ref="A773">_xlfn.LET(
  _xlpm.key,_xlfn.TEXTSPLIT("Email,Org,IRN,Impact",","),
  _xlpm.complete,ISBLANK(H773:K773),
  _xlpm.missing,_xlfn._xlws.FILTER(_xlpm.key,_xlpm.complete,FALSE()),
  _xlpm.missing_string,"Missing: "&amp;_xlfn.TEXTJOIN(", ",TRUE,_xlpm.missing),
  _xlfn.IFS(
    COUNTA(C773:K773)=0,"Blank",
AND(_xlpm.missing=FALSE,ROWS(_xlpm.missing)=1),"Complete",
    ROWS(_xlpm.missing)&gt;0,_xlpm.missing_string,
    TRUE,"Error"
  )
)</f>
        <v>Blank</v>
      </c>
      <c r="B7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4" spans="1:2" x14ac:dyDescent="0.3">
      <c r="A774" s="2" t="str" cm="1">
        <f t="array" ref="A774">_xlfn.LET(
  _xlpm.key,_xlfn.TEXTSPLIT("Email,Org,IRN,Impact",","),
  _xlpm.complete,ISBLANK(H774:K774),
  _xlpm.missing,_xlfn._xlws.FILTER(_xlpm.key,_xlpm.complete,FALSE()),
  _xlpm.missing_string,"Missing: "&amp;_xlfn.TEXTJOIN(", ",TRUE,_xlpm.missing),
  _xlfn.IFS(
    COUNTA(C774:K774)=0,"Blank",
AND(_xlpm.missing=FALSE,ROWS(_xlpm.missing)=1),"Complete",
    ROWS(_xlpm.missing)&gt;0,_xlpm.missing_string,
    TRUE,"Error"
  )
)</f>
        <v>Blank</v>
      </c>
      <c r="B7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5" spans="1:2" x14ac:dyDescent="0.3">
      <c r="A775" s="2" t="str" cm="1">
        <f t="array" ref="A775">_xlfn.LET(
  _xlpm.key,_xlfn.TEXTSPLIT("Email,Org,IRN,Impact",","),
  _xlpm.complete,ISBLANK(H775:K775),
  _xlpm.missing,_xlfn._xlws.FILTER(_xlpm.key,_xlpm.complete,FALSE()),
  _xlpm.missing_string,"Missing: "&amp;_xlfn.TEXTJOIN(", ",TRUE,_xlpm.missing),
  _xlfn.IFS(
    COUNTA(C775:K775)=0,"Blank",
AND(_xlpm.missing=FALSE,ROWS(_xlpm.missing)=1),"Complete",
    ROWS(_xlpm.missing)&gt;0,_xlpm.missing_string,
    TRUE,"Error"
  )
)</f>
        <v>Blank</v>
      </c>
      <c r="B7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6" spans="1:2" x14ac:dyDescent="0.3">
      <c r="A776" s="2" t="str" cm="1">
        <f t="array" ref="A776">_xlfn.LET(
  _xlpm.key,_xlfn.TEXTSPLIT("Email,Org,IRN,Impact",","),
  _xlpm.complete,ISBLANK(H776:K776),
  _xlpm.missing,_xlfn._xlws.FILTER(_xlpm.key,_xlpm.complete,FALSE()),
  _xlpm.missing_string,"Missing: "&amp;_xlfn.TEXTJOIN(", ",TRUE,_xlpm.missing),
  _xlfn.IFS(
    COUNTA(C776:K776)=0,"Blank",
AND(_xlpm.missing=FALSE,ROWS(_xlpm.missing)=1),"Complete",
    ROWS(_xlpm.missing)&gt;0,_xlpm.missing_string,
    TRUE,"Error"
  )
)</f>
        <v>Blank</v>
      </c>
      <c r="B7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7" spans="1:2" x14ac:dyDescent="0.3">
      <c r="A777" s="2" t="str" cm="1">
        <f t="array" ref="A777">_xlfn.LET(
  _xlpm.key,_xlfn.TEXTSPLIT("Email,Org,IRN,Impact",","),
  _xlpm.complete,ISBLANK(H777:K777),
  _xlpm.missing,_xlfn._xlws.FILTER(_xlpm.key,_xlpm.complete,FALSE()),
  _xlpm.missing_string,"Missing: "&amp;_xlfn.TEXTJOIN(", ",TRUE,_xlpm.missing),
  _xlfn.IFS(
    COUNTA(C777:K777)=0,"Blank",
AND(_xlpm.missing=FALSE,ROWS(_xlpm.missing)=1),"Complete",
    ROWS(_xlpm.missing)&gt;0,_xlpm.missing_string,
    TRUE,"Error"
  )
)</f>
        <v>Blank</v>
      </c>
      <c r="B7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8" spans="1:2" x14ac:dyDescent="0.3">
      <c r="A778" s="2" t="str" cm="1">
        <f t="array" ref="A778">_xlfn.LET(
  _xlpm.key,_xlfn.TEXTSPLIT("Email,Org,IRN,Impact",","),
  _xlpm.complete,ISBLANK(H778:K778),
  _xlpm.missing,_xlfn._xlws.FILTER(_xlpm.key,_xlpm.complete,FALSE()),
  _xlpm.missing_string,"Missing: "&amp;_xlfn.TEXTJOIN(", ",TRUE,_xlpm.missing),
  _xlfn.IFS(
    COUNTA(C778:K778)=0,"Blank",
AND(_xlpm.missing=FALSE,ROWS(_xlpm.missing)=1),"Complete",
    ROWS(_xlpm.missing)&gt;0,_xlpm.missing_string,
    TRUE,"Error"
  )
)</f>
        <v>Blank</v>
      </c>
      <c r="B7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79" spans="1:2" x14ac:dyDescent="0.3">
      <c r="A779" s="2" t="str" cm="1">
        <f t="array" ref="A779">_xlfn.LET(
  _xlpm.key,_xlfn.TEXTSPLIT("Email,Org,IRN,Impact",","),
  _xlpm.complete,ISBLANK(H779:K779),
  _xlpm.missing,_xlfn._xlws.FILTER(_xlpm.key,_xlpm.complete,FALSE()),
  _xlpm.missing_string,"Missing: "&amp;_xlfn.TEXTJOIN(", ",TRUE,_xlpm.missing),
  _xlfn.IFS(
    COUNTA(C779:K779)=0,"Blank",
AND(_xlpm.missing=FALSE,ROWS(_xlpm.missing)=1),"Complete",
    ROWS(_xlpm.missing)&gt;0,_xlpm.missing_string,
    TRUE,"Error"
  )
)</f>
        <v>Blank</v>
      </c>
      <c r="B7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0" spans="1:2" x14ac:dyDescent="0.3">
      <c r="A780" s="2" t="str" cm="1">
        <f t="array" ref="A780">_xlfn.LET(
  _xlpm.key,_xlfn.TEXTSPLIT("Email,Org,IRN,Impact",","),
  _xlpm.complete,ISBLANK(H780:K780),
  _xlpm.missing,_xlfn._xlws.FILTER(_xlpm.key,_xlpm.complete,FALSE()),
  _xlpm.missing_string,"Missing: "&amp;_xlfn.TEXTJOIN(", ",TRUE,_xlpm.missing),
  _xlfn.IFS(
    COUNTA(C780:K780)=0,"Blank",
AND(_xlpm.missing=FALSE,ROWS(_xlpm.missing)=1),"Complete",
    ROWS(_xlpm.missing)&gt;0,_xlpm.missing_string,
    TRUE,"Error"
  )
)</f>
        <v>Blank</v>
      </c>
      <c r="B7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1" spans="1:2" x14ac:dyDescent="0.3">
      <c r="A781" s="2" t="str" cm="1">
        <f t="array" ref="A781">_xlfn.LET(
  _xlpm.key,_xlfn.TEXTSPLIT("Email,Org,IRN,Impact",","),
  _xlpm.complete,ISBLANK(H781:K781),
  _xlpm.missing,_xlfn._xlws.FILTER(_xlpm.key,_xlpm.complete,FALSE()),
  _xlpm.missing_string,"Missing: "&amp;_xlfn.TEXTJOIN(", ",TRUE,_xlpm.missing),
  _xlfn.IFS(
    COUNTA(C781:K781)=0,"Blank",
AND(_xlpm.missing=FALSE,ROWS(_xlpm.missing)=1),"Complete",
    ROWS(_xlpm.missing)&gt;0,_xlpm.missing_string,
    TRUE,"Error"
  )
)</f>
        <v>Blank</v>
      </c>
      <c r="B7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2" spans="1:2" x14ac:dyDescent="0.3">
      <c r="A782" s="2" t="str" cm="1">
        <f t="array" ref="A782">_xlfn.LET(
  _xlpm.key,_xlfn.TEXTSPLIT("Email,Org,IRN,Impact",","),
  _xlpm.complete,ISBLANK(H782:K782),
  _xlpm.missing,_xlfn._xlws.FILTER(_xlpm.key,_xlpm.complete,FALSE()),
  _xlpm.missing_string,"Missing: "&amp;_xlfn.TEXTJOIN(", ",TRUE,_xlpm.missing),
  _xlfn.IFS(
    COUNTA(C782:K782)=0,"Blank",
AND(_xlpm.missing=FALSE,ROWS(_xlpm.missing)=1),"Complete",
    ROWS(_xlpm.missing)&gt;0,_xlpm.missing_string,
    TRUE,"Error"
  )
)</f>
        <v>Blank</v>
      </c>
      <c r="B7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3" spans="1:2" x14ac:dyDescent="0.3">
      <c r="A783" s="2" t="str" cm="1">
        <f t="array" ref="A783">_xlfn.LET(
  _xlpm.key,_xlfn.TEXTSPLIT("Email,Org,IRN,Impact",","),
  _xlpm.complete,ISBLANK(H783:K783),
  _xlpm.missing,_xlfn._xlws.FILTER(_xlpm.key,_xlpm.complete,FALSE()),
  _xlpm.missing_string,"Missing: "&amp;_xlfn.TEXTJOIN(", ",TRUE,_xlpm.missing),
  _xlfn.IFS(
    COUNTA(C783:K783)=0,"Blank",
AND(_xlpm.missing=FALSE,ROWS(_xlpm.missing)=1),"Complete",
    ROWS(_xlpm.missing)&gt;0,_xlpm.missing_string,
    TRUE,"Error"
  )
)</f>
        <v>Blank</v>
      </c>
      <c r="B7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4" spans="1:2" x14ac:dyDescent="0.3">
      <c r="A784" s="2" t="str" cm="1">
        <f t="array" ref="A784">_xlfn.LET(
  _xlpm.key,_xlfn.TEXTSPLIT("Email,Org,IRN,Impact",","),
  _xlpm.complete,ISBLANK(H784:K784),
  _xlpm.missing,_xlfn._xlws.FILTER(_xlpm.key,_xlpm.complete,FALSE()),
  _xlpm.missing_string,"Missing: "&amp;_xlfn.TEXTJOIN(", ",TRUE,_xlpm.missing),
  _xlfn.IFS(
    COUNTA(C784:K784)=0,"Blank",
AND(_xlpm.missing=FALSE,ROWS(_xlpm.missing)=1),"Complete",
    ROWS(_xlpm.missing)&gt;0,_xlpm.missing_string,
    TRUE,"Error"
  )
)</f>
        <v>Blank</v>
      </c>
      <c r="B7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5" spans="1:2" x14ac:dyDescent="0.3">
      <c r="A785" s="2" t="str" cm="1">
        <f t="array" ref="A785">_xlfn.LET(
  _xlpm.key,_xlfn.TEXTSPLIT("Email,Org,IRN,Impact",","),
  _xlpm.complete,ISBLANK(H785:K785),
  _xlpm.missing,_xlfn._xlws.FILTER(_xlpm.key,_xlpm.complete,FALSE()),
  _xlpm.missing_string,"Missing: "&amp;_xlfn.TEXTJOIN(", ",TRUE,_xlpm.missing),
  _xlfn.IFS(
    COUNTA(C785:K785)=0,"Blank",
AND(_xlpm.missing=FALSE,ROWS(_xlpm.missing)=1),"Complete",
    ROWS(_xlpm.missing)&gt;0,_xlpm.missing_string,
    TRUE,"Error"
  )
)</f>
        <v>Blank</v>
      </c>
      <c r="B7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6" spans="1:2" x14ac:dyDescent="0.3">
      <c r="A786" s="2" t="str" cm="1">
        <f t="array" ref="A786">_xlfn.LET(
  _xlpm.key,_xlfn.TEXTSPLIT("Email,Org,IRN,Impact",","),
  _xlpm.complete,ISBLANK(H786:K786),
  _xlpm.missing,_xlfn._xlws.FILTER(_xlpm.key,_xlpm.complete,FALSE()),
  _xlpm.missing_string,"Missing: "&amp;_xlfn.TEXTJOIN(", ",TRUE,_xlpm.missing),
  _xlfn.IFS(
    COUNTA(C786:K786)=0,"Blank",
AND(_xlpm.missing=FALSE,ROWS(_xlpm.missing)=1),"Complete",
    ROWS(_xlpm.missing)&gt;0,_xlpm.missing_string,
    TRUE,"Error"
  )
)</f>
        <v>Blank</v>
      </c>
      <c r="B7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7" spans="1:2" x14ac:dyDescent="0.3">
      <c r="A787" s="2" t="str" cm="1">
        <f t="array" ref="A787">_xlfn.LET(
  _xlpm.key,_xlfn.TEXTSPLIT("Email,Org,IRN,Impact",","),
  _xlpm.complete,ISBLANK(H787:K787),
  _xlpm.missing,_xlfn._xlws.FILTER(_xlpm.key,_xlpm.complete,FALSE()),
  _xlpm.missing_string,"Missing: "&amp;_xlfn.TEXTJOIN(", ",TRUE,_xlpm.missing),
  _xlfn.IFS(
    COUNTA(C787:K787)=0,"Blank",
AND(_xlpm.missing=FALSE,ROWS(_xlpm.missing)=1),"Complete",
    ROWS(_xlpm.missing)&gt;0,_xlpm.missing_string,
    TRUE,"Error"
  )
)</f>
        <v>Blank</v>
      </c>
      <c r="B7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8" spans="1:2" x14ac:dyDescent="0.3">
      <c r="A788" s="2" t="str" cm="1">
        <f t="array" ref="A788">_xlfn.LET(
  _xlpm.key,_xlfn.TEXTSPLIT("Email,Org,IRN,Impact",","),
  _xlpm.complete,ISBLANK(H788:K788),
  _xlpm.missing,_xlfn._xlws.FILTER(_xlpm.key,_xlpm.complete,FALSE()),
  _xlpm.missing_string,"Missing: "&amp;_xlfn.TEXTJOIN(", ",TRUE,_xlpm.missing),
  _xlfn.IFS(
    COUNTA(C788:K788)=0,"Blank",
AND(_xlpm.missing=FALSE,ROWS(_xlpm.missing)=1),"Complete",
    ROWS(_xlpm.missing)&gt;0,_xlpm.missing_string,
    TRUE,"Error"
  )
)</f>
        <v>Blank</v>
      </c>
      <c r="B7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89" spans="1:2" x14ac:dyDescent="0.3">
      <c r="A789" s="2" t="str" cm="1">
        <f t="array" ref="A789">_xlfn.LET(
  _xlpm.key,_xlfn.TEXTSPLIT("Email,Org,IRN,Impact",","),
  _xlpm.complete,ISBLANK(H789:K789),
  _xlpm.missing,_xlfn._xlws.FILTER(_xlpm.key,_xlpm.complete,FALSE()),
  _xlpm.missing_string,"Missing: "&amp;_xlfn.TEXTJOIN(", ",TRUE,_xlpm.missing),
  _xlfn.IFS(
    COUNTA(C789:K789)=0,"Blank",
AND(_xlpm.missing=FALSE,ROWS(_xlpm.missing)=1),"Complete",
    ROWS(_xlpm.missing)&gt;0,_xlpm.missing_string,
    TRUE,"Error"
  )
)</f>
        <v>Blank</v>
      </c>
      <c r="B7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0" spans="1:2" x14ac:dyDescent="0.3">
      <c r="A790" s="2" t="str" cm="1">
        <f t="array" ref="A790">_xlfn.LET(
  _xlpm.key,_xlfn.TEXTSPLIT("Email,Org,IRN,Impact",","),
  _xlpm.complete,ISBLANK(H790:K790),
  _xlpm.missing,_xlfn._xlws.FILTER(_xlpm.key,_xlpm.complete,FALSE()),
  _xlpm.missing_string,"Missing: "&amp;_xlfn.TEXTJOIN(", ",TRUE,_xlpm.missing),
  _xlfn.IFS(
    COUNTA(C790:K790)=0,"Blank",
AND(_xlpm.missing=FALSE,ROWS(_xlpm.missing)=1),"Complete",
    ROWS(_xlpm.missing)&gt;0,_xlpm.missing_string,
    TRUE,"Error"
  )
)</f>
        <v>Blank</v>
      </c>
      <c r="B7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1" spans="1:2" x14ac:dyDescent="0.3">
      <c r="A791" s="2" t="str" cm="1">
        <f t="array" ref="A791">_xlfn.LET(
  _xlpm.key,_xlfn.TEXTSPLIT("Email,Org,IRN,Impact",","),
  _xlpm.complete,ISBLANK(H791:K791),
  _xlpm.missing,_xlfn._xlws.FILTER(_xlpm.key,_xlpm.complete,FALSE()),
  _xlpm.missing_string,"Missing: "&amp;_xlfn.TEXTJOIN(", ",TRUE,_xlpm.missing),
  _xlfn.IFS(
    COUNTA(C791:K791)=0,"Blank",
AND(_xlpm.missing=FALSE,ROWS(_xlpm.missing)=1),"Complete",
    ROWS(_xlpm.missing)&gt;0,_xlpm.missing_string,
    TRUE,"Error"
  )
)</f>
        <v>Blank</v>
      </c>
      <c r="B7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2" spans="1:2" x14ac:dyDescent="0.3">
      <c r="A792" s="2" t="str" cm="1">
        <f t="array" ref="A792">_xlfn.LET(
  _xlpm.key,_xlfn.TEXTSPLIT("Email,Org,IRN,Impact",","),
  _xlpm.complete,ISBLANK(H792:K792),
  _xlpm.missing,_xlfn._xlws.FILTER(_xlpm.key,_xlpm.complete,FALSE()),
  _xlpm.missing_string,"Missing: "&amp;_xlfn.TEXTJOIN(", ",TRUE,_xlpm.missing),
  _xlfn.IFS(
    COUNTA(C792:K792)=0,"Blank",
AND(_xlpm.missing=FALSE,ROWS(_xlpm.missing)=1),"Complete",
    ROWS(_xlpm.missing)&gt;0,_xlpm.missing_string,
    TRUE,"Error"
  )
)</f>
        <v>Blank</v>
      </c>
      <c r="B7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3" spans="1:2" x14ac:dyDescent="0.3">
      <c r="A793" s="2" t="str" cm="1">
        <f t="array" ref="A793">_xlfn.LET(
  _xlpm.key,_xlfn.TEXTSPLIT("Email,Org,IRN,Impact",","),
  _xlpm.complete,ISBLANK(H793:K793),
  _xlpm.missing,_xlfn._xlws.FILTER(_xlpm.key,_xlpm.complete,FALSE()),
  _xlpm.missing_string,"Missing: "&amp;_xlfn.TEXTJOIN(", ",TRUE,_xlpm.missing),
  _xlfn.IFS(
    COUNTA(C793:K793)=0,"Blank",
AND(_xlpm.missing=FALSE,ROWS(_xlpm.missing)=1),"Complete",
    ROWS(_xlpm.missing)&gt;0,_xlpm.missing_string,
    TRUE,"Error"
  )
)</f>
        <v>Blank</v>
      </c>
      <c r="B7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4" spans="1:2" x14ac:dyDescent="0.3">
      <c r="A794" s="2" t="str" cm="1">
        <f t="array" ref="A794">_xlfn.LET(
  _xlpm.key,_xlfn.TEXTSPLIT("Email,Org,IRN,Impact",","),
  _xlpm.complete,ISBLANK(H794:K794),
  _xlpm.missing,_xlfn._xlws.FILTER(_xlpm.key,_xlpm.complete,FALSE()),
  _xlpm.missing_string,"Missing: "&amp;_xlfn.TEXTJOIN(", ",TRUE,_xlpm.missing),
  _xlfn.IFS(
    COUNTA(C794:K794)=0,"Blank",
AND(_xlpm.missing=FALSE,ROWS(_xlpm.missing)=1),"Complete",
    ROWS(_xlpm.missing)&gt;0,_xlpm.missing_string,
    TRUE,"Error"
  )
)</f>
        <v>Blank</v>
      </c>
      <c r="B7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5" spans="1:2" x14ac:dyDescent="0.3">
      <c r="A795" s="2" t="str" cm="1">
        <f t="array" ref="A795">_xlfn.LET(
  _xlpm.key,_xlfn.TEXTSPLIT("Email,Org,IRN,Impact",","),
  _xlpm.complete,ISBLANK(H795:K795),
  _xlpm.missing,_xlfn._xlws.FILTER(_xlpm.key,_xlpm.complete,FALSE()),
  _xlpm.missing_string,"Missing: "&amp;_xlfn.TEXTJOIN(", ",TRUE,_xlpm.missing),
  _xlfn.IFS(
    COUNTA(C795:K795)=0,"Blank",
AND(_xlpm.missing=FALSE,ROWS(_xlpm.missing)=1),"Complete",
    ROWS(_xlpm.missing)&gt;0,_xlpm.missing_string,
    TRUE,"Error"
  )
)</f>
        <v>Blank</v>
      </c>
      <c r="B7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6" spans="1:2" x14ac:dyDescent="0.3">
      <c r="A796" s="2" t="str" cm="1">
        <f t="array" ref="A796">_xlfn.LET(
  _xlpm.key,_xlfn.TEXTSPLIT("Email,Org,IRN,Impact",","),
  _xlpm.complete,ISBLANK(H796:K796),
  _xlpm.missing,_xlfn._xlws.FILTER(_xlpm.key,_xlpm.complete,FALSE()),
  _xlpm.missing_string,"Missing: "&amp;_xlfn.TEXTJOIN(", ",TRUE,_xlpm.missing),
  _xlfn.IFS(
    COUNTA(C796:K796)=0,"Blank",
AND(_xlpm.missing=FALSE,ROWS(_xlpm.missing)=1),"Complete",
    ROWS(_xlpm.missing)&gt;0,_xlpm.missing_string,
    TRUE,"Error"
  )
)</f>
        <v>Blank</v>
      </c>
      <c r="B7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7" spans="1:2" x14ac:dyDescent="0.3">
      <c r="A797" s="2" t="str" cm="1">
        <f t="array" ref="A797">_xlfn.LET(
  _xlpm.key,_xlfn.TEXTSPLIT("Email,Org,IRN,Impact",","),
  _xlpm.complete,ISBLANK(H797:K797),
  _xlpm.missing,_xlfn._xlws.FILTER(_xlpm.key,_xlpm.complete,FALSE()),
  _xlpm.missing_string,"Missing: "&amp;_xlfn.TEXTJOIN(", ",TRUE,_xlpm.missing),
  _xlfn.IFS(
    COUNTA(C797:K797)=0,"Blank",
AND(_xlpm.missing=FALSE,ROWS(_xlpm.missing)=1),"Complete",
    ROWS(_xlpm.missing)&gt;0,_xlpm.missing_string,
    TRUE,"Error"
  )
)</f>
        <v>Blank</v>
      </c>
      <c r="B7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8" spans="1:2" x14ac:dyDescent="0.3">
      <c r="A798" s="2" t="str" cm="1">
        <f t="array" ref="A798">_xlfn.LET(
  _xlpm.key,_xlfn.TEXTSPLIT("Email,Org,IRN,Impact",","),
  _xlpm.complete,ISBLANK(H798:K798),
  _xlpm.missing,_xlfn._xlws.FILTER(_xlpm.key,_xlpm.complete,FALSE()),
  _xlpm.missing_string,"Missing: "&amp;_xlfn.TEXTJOIN(", ",TRUE,_xlpm.missing),
  _xlfn.IFS(
    COUNTA(C798:K798)=0,"Blank",
AND(_xlpm.missing=FALSE,ROWS(_xlpm.missing)=1),"Complete",
    ROWS(_xlpm.missing)&gt;0,_xlpm.missing_string,
    TRUE,"Error"
  )
)</f>
        <v>Blank</v>
      </c>
      <c r="B7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799" spans="1:2" x14ac:dyDescent="0.3">
      <c r="A799" s="2" t="str" cm="1">
        <f t="array" ref="A799">_xlfn.LET(
  _xlpm.key,_xlfn.TEXTSPLIT("Email,Org,IRN,Impact",","),
  _xlpm.complete,ISBLANK(H799:K799),
  _xlpm.missing,_xlfn._xlws.FILTER(_xlpm.key,_xlpm.complete,FALSE()),
  _xlpm.missing_string,"Missing: "&amp;_xlfn.TEXTJOIN(", ",TRUE,_xlpm.missing),
  _xlfn.IFS(
    COUNTA(C799:K799)=0,"Blank",
AND(_xlpm.missing=FALSE,ROWS(_xlpm.missing)=1),"Complete",
    ROWS(_xlpm.missing)&gt;0,_xlpm.missing_string,
    TRUE,"Error"
  )
)</f>
        <v>Blank</v>
      </c>
      <c r="B7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0" spans="1:2" x14ac:dyDescent="0.3">
      <c r="A800" s="2" t="str" cm="1">
        <f t="array" ref="A800">_xlfn.LET(
  _xlpm.key,_xlfn.TEXTSPLIT("Email,Org,IRN,Impact",","),
  _xlpm.complete,ISBLANK(H800:K800),
  _xlpm.missing,_xlfn._xlws.FILTER(_xlpm.key,_xlpm.complete,FALSE()),
  _xlpm.missing_string,"Missing: "&amp;_xlfn.TEXTJOIN(", ",TRUE,_xlpm.missing),
  _xlfn.IFS(
    COUNTA(C800:K800)=0,"Blank",
AND(_xlpm.missing=FALSE,ROWS(_xlpm.missing)=1),"Complete",
    ROWS(_xlpm.missing)&gt;0,_xlpm.missing_string,
    TRUE,"Error"
  )
)</f>
        <v>Blank</v>
      </c>
      <c r="B8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1" spans="1:2" x14ac:dyDescent="0.3">
      <c r="A801" s="2" t="str" cm="1">
        <f t="array" ref="A801">_xlfn.LET(
  _xlpm.key,_xlfn.TEXTSPLIT("Email,Org,IRN,Impact",","),
  _xlpm.complete,ISBLANK(H801:K801),
  _xlpm.missing,_xlfn._xlws.FILTER(_xlpm.key,_xlpm.complete,FALSE()),
  _xlpm.missing_string,"Missing: "&amp;_xlfn.TEXTJOIN(", ",TRUE,_xlpm.missing),
  _xlfn.IFS(
    COUNTA(C801:K801)=0,"Blank",
AND(_xlpm.missing=FALSE,ROWS(_xlpm.missing)=1),"Complete",
    ROWS(_xlpm.missing)&gt;0,_xlpm.missing_string,
    TRUE,"Error"
  )
)</f>
        <v>Blank</v>
      </c>
      <c r="B8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2" spans="1:2" x14ac:dyDescent="0.3">
      <c r="A802" s="2" t="str" cm="1">
        <f t="array" ref="A802">_xlfn.LET(
  _xlpm.key,_xlfn.TEXTSPLIT("Email,Org,IRN,Impact",","),
  _xlpm.complete,ISBLANK(H802:K802),
  _xlpm.missing,_xlfn._xlws.FILTER(_xlpm.key,_xlpm.complete,FALSE()),
  _xlpm.missing_string,"Missing: "&amp;_xlfn.TEXTJOIN(", ",TRUE,_xlpm.missing),
  _xlfn.IFS(
    COUNTA(C802:K802)=0,"Blank",
AND(_xlpm.missing=FALSE,ROWS(_xlpm.missing)=1),"Complete",
    ROWS(_xlpm.missing)&gt;0,_xlpm.missing_string,
    TRUE,"Error"
  )
)</f>
        <v>Blank</v>
      </c>
      <c r="B8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3" spans="1:2" x14ac:dyDescent="0.3">
      <c r="A803" s="2" t="str" cm="1">
        <f t="array" ref="A803">_xlfn.LET(
  _xlpm.key,_xlfn.TEXTSPLIT("Email,Org,IRN,Impact",","),
  _xlpm.complete,ISBLANK(H803:K803),
  _xlpm.missing,_xlfn._xlws.FILTER(_xlpm.key,_xlpm.complete,FALSE()),
  _xlpm.missing_string,"Missing: "&amp;_xlfn.TEXTJOIN(", ",TRUE,_xlpm.missing),
  _xlfn.IFS(
    COUNTA(C803:K803)=0,"Blank",
AND(_xlpm.missing=FALSE,ROWS(_xlpm.missing)=1),"Complete",
    ROWS(_xlpm.missing)&gt;0,_xlpm.missing_string,
    TRUE,"Error"
  )
)</f>
        <v>Blank</v>
      </c>
      <c r="B8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4" spans="1:2" x14ac:dyDescent="0.3">
      <c r="A804" s="2" t="str" cm="1">
        <f t="array" ref="A804">_xlfn.LET(
  _xlpm.key,_xlfn.TEXTSPLIT("Email,Org,IRN,Impact",","),
  _xlpm.complete,ISBLANK(H804:K804),
  _xlpm.missing,_xlfn._xlws.FILTER(_xlpm.key,_xlpm.complete,FALSE()),
  _xlpm.missing_string,"Missing: "&amp;_xlfn.TEXTJOIN(", ",TRUE,_xlpm.missing),
  _xlfn.IFS(
    COUNTA(C804:K804)=0,"Blank",
AND(_xlpm.missing=FALSE,ROWS(_xlpm.missing)=1),"Complete",
    ROWS(_xlpm.missing)&gt;0,_xlpm.missing_string,
    TRUE,"Error"
  )
)</f>
        <v>Blank</v>
      </c>
      <c r="B8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5" spans="1:2" x14ac:dyDescent="0.3">
      <c r="A805" s="2" t="str" cm="1">
        <f t="array" ref="A805">_xlfn.LET(
  _xlpm.key,_xlfn.TEXTSPLIT("Email,Org,IRN,Impact",","),
  _xlpm.complete,ISBLANK(H805:K805),
  _xlpm.missing,_xlfn._xlws.FILTER(_xlpm.key,_xlpm.complete,FALSE()),
  _xlpm.missing_string,"Missing: "&amp;_xlfn.TEXTJOIN(", ",TRUE,_xlpm.missing),
  _xlfn.IFS(
    COUNTA(C805:K805)=0,"Blank",
AND(_xlpm.missing=FALSE,ROWS(_xlpm.missing)=1),"Complete",
    ROWS(_xlpm.missing)&gt;0,_xlpm.missing_string,
    TRUE,"Error"
  )
)</f>
        <v>Blank</v>
      </c>
      <c r="B8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6" spans="1:2" x14ac:dyDescent="0.3">
      <c r="A806" s="2" t="str" cm="1">
        <f t="array" ref="A806">_xlfn.LET(
  _xlpm.key,_xlfn.TEXTSPLIT("Email,Org,IRN,Impact",","),
  _xlpm.complete,ISBLANK(H806:K806),
  _xlpm.missing,_xlfn._xlws.FILTER(_xlpm.key,_xlpm.complete,FALSE()),
  _xlpm.missing_string,"Missing: "&amp;_xlfn.TEXTJOIN(", ",TRUE,_xlpm.missing),
  _xlfn.IFS(
    COUNTA(C806:K806)=0,"Blank",
AND(_xlpm.missing=FALSE,ROWS(_xlpm.missing)=1),"Complete",
    ROWS(_xlpm.missing)&gt;0,_xlpm.missing_string,
    TRUE,"Error"
  )
)</f>
        <v>Blank</v>
      </c>
      <c r="B8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7" spans="1:2" x14ac:dyDescent="0.3">
      <c r="A807" s="2" t="str" cm="1">
        <f t="array" ref="A807">_xlfn.LET(
  _xlpm.key,_xlfn.TEXTSPLIT("Email,Org,IRN,Impact",","),
  _xlpm.complete,ISBLANK(H807:K807),
  _xlpm.missing,_xlfn._xlws.FILTER(_xlpm.key,_xlpm.complete,FALSE()),
  _xlpm.missing_string,"Missing: "&amp;_xlfn.TEXTJOIN(", ",TRUE,_xlpm.missing),
  _xlfn.IFS(
    COUNTA(C807:K807)=0,"Blank",
AND(_xlpm.missing=FALSE,ROWS(_xlpm.missing)=1),"Complete",
    ROWS(_xlpm.missing)&gt;0,_xlpm.missing_string,
    TRUE,"Error"
  )
)</f>
        <v>Blank</v>
      </c>
      <c r="B8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8" spans="1:2" x14ac:dyDescent="0.3">
      <c r="A808" s="2" t="str" cm="1">
        <f t="array" ref="A808">_xlfn.LET(
  _xlpm.key,_xlfn.TEXTSPLIT("Email,Org,IRN,Impact",","),
  _xlpm.complete,ISBLANK(H808:K808),
  _xlpm.missing,_xlfn._xlws.FILTER(_xlpm.key,_xlpm.complete,FALSE()),
  _xlpm.missing_string,"Missing: "&amp;_xlfn.TEXTJOIN(", ",TRUE,_xlpm.missing),
  _xlfn.IFS(
    COUNTA(C808:K808)=0,"Blank",
AND(_xlpm.missing=FALSE,ROWS(_xlpm.missing)=1),"Complete",
    ROWS(_xlpm.missing)&gt;0,_xlpm.missing_string,
    TRUE,"Error"
  )
)</f>
        <v>Blank</v>
      </c>
      <c r="B8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09" spans="1:2" x14ac:dyDescent="0.3">
      <c r="A809" s="2" t="str" cm="1">
        <f t="array" ref="A809">_xlfn.LET(
  _xlpm.key,_xlfn.TEXTSPLIT("Email,Org,IRN,Impact",","),
  _xlpm.complete,ISBLANK(H809:K809),
  _xlpm.missing,_xlfn._xlws.FILTER(_xlpm.key,_xlpm.complete,FALSE()),
  _xlpm.missing_string,"Missing: "&amp;_xlfn.TEXTJOIN(", ",TRUE,_xlpm.missing),
  _xlfn.IFS(
    COUNTA(C809:K809)=0,"Blank",
AND(_xlpm.missing=FALSE,ROWS(_xlpm.missing)=1),"Complete",
    ROWS(_xlpm.missing)&gt;0,_xlpm.missing_string,
    TRUE,"Error"
  )
)</f>
        <v>Blank</v>
      </c>
      <c r="B8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0" spans="1:2" x14ac:dyDescent="0.3">
      <c r="A810" s="2" t="str" cm="1">
        <f t="array" ref="A810">_xlfn.LET(
  _xlpm.key,_xlfn.TEXTSPLIT("Email,Org,IRN,Impact",","),
  _xlpm.complete,ISBLANK(H810:K810),
  _xlpm.missing,_xlfn._xlws.FILTER(_xlpm.key,_xlpm.complete,FALSE()),
  _xlpm.missing_string,"Missing: "&amp;_xlfn.TEXTJOIN(", ",TRUE,_xlpm.missing),
  _xlfn.IFS(
    COUNTA(C810:K810)=0,"Blank",
AND(_xlpm.missing=FALSE,ROWS(_xlpm.missing)=1),"Complete",
    ROWS(_xlpm.missing)&gt;0,_xlpm.missing_string,
    TRUE,"Error"
  )
)</f>
        <v>Blank</v>
      </c>
      <c r="B8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1" spans="1:2" x14ac:dyDescent="0.3">
      <c r="A811" s="2" t="str" cm="1">
        <f t="array" ref="A811">_xlfn.LET(
  _xlpm.key,_xlfn.TEXTSPLIT("Email,Org,IRN,Impact",","),
  _xlpm.complete,ISBLANK(H811:K811),
  _xlpm.missing,_xlfn._xlws.FILTER(_xlpm.key,_xlpm.complete,FALSE()),
  _xlpm.missing_string,"Missing: "&amp;_xlfn.TEXTJOIN(", ",TRUE,_xlpm.missing),
  _xlfn.IFS(
    COUNTA(C811:K811)=0,"Blank",
AND(_xlpm.missing=FALSE,ROWS(_xlpm.missing)=1),"Complete",
    ROWS(_xlpm.missing)&gt;0,_xlpm.missing_string,
    TRUE,"Error"
  )
)</f>
        <v>Blank</v>
      </c>
      <c r="B8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2" spans="1:2" x14ac:dyDescent="0.3">
      <c r="A812" s="2" t="str" cm="1">
        <f t="array" ref="A812">_xlfn.LET(
  _xlpm.key,_xlfn.TEXTSPLIT("Email,Org,IRN,Impact",","),
  _xlpm.complete,ISBLANK(H812:K812),
  _xlpm.missing,_xlfn._xlws.FILTER(_xlpm.key,_xlpm.complete,FALSE()),
  _xlpm.missing_string,"Missing: "&amp;_xlfn.TEXTJOIN(", ",TRUE,_xlpm.missing),
  _xlfn.IFS(
    COUNTA(C812:K812)=0,"Blank",
AND(_xlpm.missing=FALSE,ROWS(_xlpm.missing)=1),"Complete",
    ROWS(_xlpm.missing)&gt;0,_xlpm.missing_string,
    TRUE,"Error"
  )
)</f>
        <v>Blank</v>
      </c>
      <c r="B8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3" spans="1:2" x14ac:dyDescent="0.3">
      <c r="A813" s="2" t="str" cm="1">
        <f t="array" ref="A813">_xlfn.LET(
  _xlpm.key,_xlfn.TEXTSPLIT("Email,Org,IRN,Impact",","),
  _xlpm.complete,ISBLANK(H813:K813),
  _xlpm.missing,_xlfn._xlws.FILTER(_xlpm.key,_xlpm.complete,FALSE()),
  _xlpm.missing_string,"Missing: "&amp;_xlfn.TEXTJOIN(", ",TRUE,_xlpm.missing),
  _xlfn.IFS(
    COUNTA(C813:K813)=0,"Blank",
AND(_xlpm.missing=FALSE,ROWS(_xlpm.missing)=1),"Complete",
    ROWS(_xlpm.missing)&gt;0,_xlpm.missing_string,
    TRUE,"Error"
  )
)</f>
        <v>Blank</v>
      </c>
      <c r="B8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4" spans="1:2" x14ac:dyDescent="0.3">
      <c r="A814" s="2" t="str" cm="1">
        <f t="array" ref="A814">_xlfn.LET(
  _xlpm.key,_xlfn.TEXTSPLIT("Email,Org,IRN,Impact",","),
  _xlpm.complete,ISBLANK(H814:K814),
  _xlpm.missing,_xlfn._xlws.FILTER(_xlpm.key,_xlpm.complete,FALSE()),
  _xlpm.missing_string,"Missing: "&amp;_xlfn.TEXTJOIN(", ",TRUE,_xlpm.missing),
  _xlfn.IFS(
    COUNTA(C814:K814)=0,"Blank",
AND(_xlpm.missing=FALSE,ROWS(_xlpm.missing)=1),"Complete",
    ROWS(_xlpm.missing)&gt;0,_xlpm.missing_string,
    TRUE,"Error"
  )
)</f>
        <v>Blank</v>
      </c>
      <c r="B8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5" spans="1:2" x14ac:dyDescent="0.3">
      <c r="A815" s="2" t="str" cm="1">
        <f t="array" ref="A815">_xlfn.LET(
  _xlpm.key,_xlfn.TEXTSPLIT("Email,Org,IRN,Impact",","),
  _xlpm.complete,ISBLANK(H815:K815),
  _xlpm.missing,_xlfn._xlws.FILTER(_xlpm.key,_xlpm.complete,FALSE()),
  _xlpm.missing_string,"Missing: "&amp;_xlfn.TEXTJOIN(", ",TRUE,_xlpm.missing),
  _xlfn.IFS(
    COUNTA(C815:K815)=0,"Blank",
AND(_xlpm.missing=FALSE,ROWS(_xlpm.missing)=1),"Complete",
    ROWS(_xlpm.missing)&gt;0,_xlpm.missing_string,
    TRUE,"Error"
  )
)</f>
        <v>Blank</v>
      </c>
      <c r="B8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6" spans="1:2" x14ac:dyDescent="0.3">
      <c r="A816" s="2" t="str" cm="1">
        <f t="array" ref="A816">_xlfn.LET(
  _xlpm.key,_xlfn.TEXTSPLIT("Email,Org,IRN,Impact",","),
  _xlpm.complete,ISBLANK(H816:K816),
  _xlpm.missing,_xlfn._xlws.FILTER(_xlpm.key,_xlpm.complete,FALSE()),
  _xlpm.missing_string,"Missing: "&amp;_xlfn.TEXTJOIN(", ",TRUE,_xlpm.missing),
  _xlfn.IFS(
    COUNTA(C816:K816)=0,"Blank",
AND(_xlpm.missing=FALSE,ROWS(_xlpm.missing)=1),"Complete",
    ROWS(_xlpm.missing)&gt;0,_xlpm.missing_string,
    TRUE,"Error"
  )
)</f>
        <v>Blank</v>
      </c>
      <c r="B8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7" spans="1:2" x14ac:dyDescent="0.3">
      <c r="A817" s="2" t="str" cm="1">
        <f t="array" ref="A817">_xlfn.LET(
  _xlpm.key,_xlfn.TEXTSPLIT("Email,Org,IRN,Impact",","),
  _xlpm.complete,ISBLANK(H817:K817),
  _xlpm.missing,_xlfn._xlws.FILTER(_xlpm.key,_xlpm.complete,FALSE()),
  _xlpm.missing_string,"Missing: "&amp;_xlfn.TEXTJOIN(", ",TRUE,_xlpm.missing),
  _xlfn.IFS(
    COUNTA(C817:K817)=0,"Blank",
AND(_xlpm.missing=FALSE,ROWS(_xlpm.missing)=1),"Complete",
    ROWS(_xlpm.missing)&gt;0,_xlpm.missing_string,
    TRUE,"Error"
  )
)</f>
        <v>Blank</v>
      </c>
      <c r="B8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8" spans="1:2" x14ac:dyDescent="0.3">
      <c r="A818" s="2" t="str" cm="1">
        <f t="array" ref="A818">_xlfn.LET(
  _xlpm.key,_xlfn.TEXTSPLIT("Email,Org,IRN,Impact",","),
  _xlpm.complete,ISBLANK(H818:K818),
  _xlpm.missing,_xlfn._xlws.FILTER(_xlpm.key,_xlpm.complete,FALSE()),
  _xlpm.missing_string,"Missing: "&amp;_xlfn.TEXTJOIN(", ",TRUE,_xlpm.missing),
  _xlfn.IFS(
    COUNTA(C818:K818)=0,"Blank",
AND(_xlpm.missing=FALSE,ROWS(_xlpm.missing)=1),"Complete",
    ROWS(_xlpm.missing)&gt;0,_xlpm.missing_string,
    TRUE,"Error"
  )
)</f>
        <v>Blank</v>
      </c>
      <c r="B8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19" spans="1:2" x14ac:dyDescent="0.3">
      <c r="A819" s="2" t="str" cm="1">
        <f t="array" ref="A819">_xlfn.LET(
  _xlpm.key,_xlfn.TEXTSPLIT("Email,Org,IRN,Impact",","),
  _xlpm.complete,ISBLANK(H819:K819),
  _xlpm.missing,_xlfn._xlws.FILTER(_xlpm.key,_xlpm.complete,FALSE()),
  _xlpm.missing_string,"Missing: "&amp;_xlfn.TEXTJOIN(", ",TRUE,_xlpm.missing),
  _xlfn.IFS(
    COUNTA(C819:K819)=0,"Blank",
AND(_xlpm.missing=FALSE,ROWS(_xlpm.missing)=1),"Complete",
    ROWS(_xlpm.missing)&gt;0,_xlpm.missing_string,
    TRUE,"Error"
  )
)</f>
        <v>Blank</v>
      </c>
      <c r="B8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0" spans="1:2" x14ac:dyDescent="0.3">
      <c r="A820" s="2" t="str" cm="1">
        <f t="array" ref="A820">_xlfn.LET(
  _xlpm.key,_xlfn.TEXTSPLIT("Email,Org,IRN,Impact",","),
  _xlpm.complete,ISBLANK(H820:K820),
  _xlpm.missing,_xlfn._xlws.FILTER(_xlpm.key,_xlpm.complete,FALSE()),
  _xlpm.missing_string,"Missing: "&amp;_xlfn.TEXTJOIN(", ",TRUE,_xlpm.missing),
  _xlfn.IFS(
    COUNTA(C820:K820)=0,"Blank",
AND(_xlpm.missing=FALSE,ROWS(_xlpm.missing)=1),"Complete",
    ROWS(_xlpm.missing)&gt;0,_xlpm.missing_string,
    TRUE,"Error"
  )
)</f>
        <v>Blank</v>
      </c>
      <c r="B8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1" spans="1:2" x14ac:dyDescent="0.3">
      <c r="A821" s="2" t="str" cm="1">
        <f t="array" ref="A821">_xlfn.LET(
  _xlpm.key,_xlfn.TEXTSPLIT("Email,Org,IRN,Impact",","),
  _xlpm.complete,ISBLANK(H821:K821),
  _xlpm.missing,_xlfn._xlws.FILTER(_xlpm.key,_xlpm.complete,FALSE()),
  _xlpm.missing_string,"Missing: "&amp;_xlfn.TEXTJOIN(", ",TRUE,_xlpm.missing),
  _xlfn.IFS(
    COUNTA(C821:K821)=0,"Blank",
AND(_xlpm.missing=FALSE,ROWS(_xlpm.missing)=1),"Complete",
    ROWS(_xlpm.missing)&gt;0,_xlpm.missing_string,
    TRUE,"Error"
  )
)</f>
        <v>Blank</v>
      </c>
      <c r="B8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2" spans="1:2" x14ac:dyDescent="0.3">
      <c r="A822" s="2" t="str" cm="1">
        <f t="array" ref="A822">_xlfn.LET(
  _xlpm.key,_xlfn.TEXTSPLIT("Email,Org,IRN,Impact",","),
  _xlpm.complete,ISBLANK(H822:K822),
  _xlpm.missing,_xlfn._xlws.FILTER(_xlpm.key,_xlpm.complete,FALSE()),
  _xlpm.missing_string,"Missing: "&amp;_xlfn.TEXTJOIN(", ",TRUE,_xlpm.missing),
  _xlfn.IFS(
    COUNTA(C822:K822)=0,"Blank",
AND(_xlpm.missing=FALSE,ROWS(_xlpm.missing)=1),"Complete",
    ROWS(_xlpm.missing)&gt;0,_xlpm.missing_string,
    TRUE,"Error"
  )
)</f>
        <v>Blank</v>
      </c>
      <c r="B8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3" spans="1:2" x14ac:dyDescent="0.3">
      <c r="A823" s="2" t="str" cm="1">
        <f t="array" ref="A823">_xlfn.LET(
  _xlpm.key,_xlfn.TEXTSPLIT("Email,Org,IRN,Impact",","),
  _xlpm.complete,ISBLANK(H823:K823),
  _xlpm.missing,_xlfn._xlws.FILTER(_xlpm.key,_xlpm.complete,FALSE()),
  _xlpm.missing_string,"Missing: "&amp;_xlfn.TEXTJOIN(", ",TRUE,_xlpm.missing),
  _xlfn.IFS(
    COUNTA(C823:K823)=0,"Blank",
AND(_xlpm.missing=FALSE,ROWS(_xlpm.missing)=1),"Complete",
    ROWS(_xlpm.missing)&gt;0,_xlpm.missing_string,
    TRUE,"Error"
  )
)</f>
        <v>Blank</v>
      </c>
      <c r="B8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4" spans="1:2" x14ac:dyDescent="0.3">
      <c r="A824" s="2" t="str" cm="1">
        <f t="array" ref="A824">_xlfn.LET(
  _xlpm.key,_xlfn.TEXTSPLIT("Email,Org,IRN,Impact",","),
  _xlpm.complete,ISBLANK(H824:K824),
  _xlpm.missing,_xlfn._xlws.FILTER(_xlpm.key,_xlpm.complete,FALSE()),
  _xlpm.missing_string,"Missing: "&amp;_xlfn.TEXTJOIN(", ",TRUE,_xlpm.missing),
  _xlfn.IFS(
    COUNTA(C824:K824)=0,"Blank",
AND(_xlpm.missing=FALSE,ROWS(_xlpm.missing)=1),"Complete",
    ROWS(_xlpm.missing)&gt;0,_xlpm.missing_string,
    TRUE,"Error"
  )
)</f>
        <v>Blank</v>
      </c>
      <c r="B8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5" spans="1:2" x14ac:dyDescent="0.3">
      <c r="A825" s="2" t="str" cm="1">
        <f t="array" ref="A825">_xlfn.LET(
  _xlpm.key,_xlfn.TEXTSPLIT("Email,Org,IRN,Impact",","),
  _xlpm.complete,ISBLANK(H825:K825),
  _xlpm.missing,_xlfn._xlws.FILTER(_xlpm.key,_xlpm.complete,FALSE()),
  _xlpm.missing_string,"Missing: "&amp;_xlfn.TEXTJOIN(", ",TRUE,_xlpm.missing),
  _xlfn.IFS(
    COUNTA(C825:K825)=0,"Blank",
AND(_xlpm.missing=FALSE,ROWS(_xlpm.missing)=1),"Complete",
    ROWS(_xlpm.missing)&gt;0,_xlpm.missing_string,
    TRUE,"Error"
  )
)</f>
        <v>Blank</v>
      </c>
      <c r="B8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6" spans="1:2" x14ac:dyDescent="0.3">
      <c r="A826" s="2" t="str" cm="1">
        <f t="array" ref="A826">_xlfn.LET(
  _xlpm.key,_xlfn.TEXTSPLIT("Email,Org,IRN,Impact",","),
  _xlpm.complete,ISBLANK(H826:K826),
  _xlpm.missing,_xlfn._xlws.FILTER(_xlpm.key,_xlpm.complete,FALSE()),
  _xlpm.missing_string,"Missing: "&amp;_xlfn.TEXTJOIN(", ",TRUE,_xlpm.missing),
  _xlfn.IFS(
    COUNTA(C826:K826)=0,"Blank",
AND(_xlpm.missing=FALSE,ROWS(_xlpm.missing)=1),"Complete",
    ROWS(_xlpm.missing)&gt;0,_xlpm.missing_string,
    TRUE,"Error"
  )
)</f>
        <v>Blank</v>
      </c>
      <c r="B8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7" spans="1:2" x14ac:dyDescent="0.3">
      <c r="A827" s="2" t="str" cm="1">
        <f t="array" ref="A827">_xlfn.LET(
  _xlpm.key,_xlfn.TEXTSPLIT("Email,Org,IRN,Impact",","),
  _xlpm.complete,ISBLANK(H827:K827),
  _xlpm.missing,_xlfn._xlws.FILTER(_xlpm.key,_xlpm.complete,FALSE()),
  _xlpm.missing_string,"Missing: "&amp;_xlfn.TEXTJOIN(", ",TRUE,_xlpm.missing),
  _xlfn.IFS(
    COUNTA(C827:K827)=0,"Blank",
AND(_xlpm.missing=FALSE,ROWS(_xlpm.missing)=1),"Complete",
    ROWS(_xlpm.missing)&gt;0,_xlpm.missing_string,
    TRUE,"Error"
  )
)</f>
        <v>Blank</v>
      </c>
      <c r="B8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8" spans="1:2" x14ac:dyDescent="0.3">
      <c r="A828" s="2" t="str" cm="1">
        <f t="array" ref="A828">_xlfn.LET(
  _xlpm.key,_xlfn.TEXTSPLIT("Email,Org,IRN,Impact",","),
  _xlpm.complete,ISBLANK(H828:K828),
  _xlpm.missing,_xlfn._xlws.FILTER(_xlpm.key,_xlpm.complete,FALSE()),
  _xlpm.missing_string,"Missing: "&amp;_xlfn.TEXTJOIN(", ",TRUE,_xlpm.missing),
  _xlfn.IFS(
    COUNTA(C828:K828)=0,"Blank",
AND(_xlpm.missing=FALSE,ROWS(_xlpm.missing)=1),"Complete",
    ROWS(_xlpm.missing)&gt;0,_xlpm.missing_string,
    TRUE,"Error"
  )
)</f>
        <v>Blank</v>
      </c>
      <c r="B8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29" spans="1:2" x14ac:dyDescent="0.3">
      <c r="A829" s="2" t="str" cm="1">
        <f t="array" ref="A829">_xlfn.LET(
  _xlpm.key,_xlfn.TEXTSPLIT("Email,Org,IRN,Impact",","),
  _xlpm.complete,ISBLANK(H829:K829),
  _xlpm.missing,_xlfn._xlws.FILTER(_xlpm.key,_xlpm.complete,FALSE()),
  _xlpm.missing_string,"Missing: "&amp;_xlfn.TEXTJOIN(", ",TRUE,_xlpm.missing),
  _xlfn.IFS(
    COUNTA(C829:K829)=0,"Blank",
AND(_xlpm.missing=FALSE,ROWS(_xlpm.missing)=1),"Complete",
    ROWS(_xlpm.missing)&gt;0,_xlpm.missing_string,
    TRUE,"Error"
  )
)</f>
        <v>Blank</v>
      </c>
      <c r="B8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0" spans="1:2" x14ac:dyDescent="0.3">
      <c r="A830" s="2" t="str" cm="1">
        <f t="array" ref="A830">_xlfn.LET(
  _xlpm.key,_xlfn.TEXTSPLIT("Email,Org,IRN,Impact",","),
  _xlpm.complete,ISBLANK(H830:K830),
  _xlpm.missing,_xlfn._xlws.FILTER(_xlpm.key,_xlpm.complete,FALSE()),
  _xlpm.missing_string,"Missing: "&amp;_xlfn.TEXTJOIN(", ",TRUE,_xlpm.missing),
  _xlfn.IFS(
    COUNTA(C830:K830)=0,"Blank",
AND(_xlpm.missing=FALSE,ROWS(_xlpm.missing)=1),"Complete",
    ROWS(_xlpm.missing)&gt;0,_xlpm.missing_string,
    TRUE,"Error"
  )
)</f>
        <v>Blank</v>
      </c>
      <c r="B8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1" spans="1:2" x14ac:dyDescent="0.3">
      <c r="A831" s="2" t="str" cm="1">
        <f t="array" ref="A831">_xlfn.LET(
  _xlpm.key,_xlfn.TEXTSPLIT("Email,Org,IRN,Impact",","),
  _xlpm.complete,ISBLANK(H831:K831),
  _xlpm.missing,_xlfn._xlws.FILTER(_xlpm.key,_xlpm.complete,FALSE()),
  _xlpm.missing_string,"Missing: "&amp;_xlfn.TEXTJOIN(", ",TRUE,_xlpm.missing),
  _xlfn.IFS(
    COUNTA(C831:K831)=0,"Blank",
AND(_xlpm.missing=FALSE,ROWS(_xlpm.missing)=1),"Complete",
    ROWS(_xlpm.missing)&gt;0,_xlpm.missing_string,
    TRUE,"Error"
  )
)</f>
        <v>Blank</v>
      </c>
      <c r="B8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2" spans="1:2" x14ac:dyDescent="0.3">
      <c r="A832" s="2" t="str" cm="1">
        <f t="array" ref="A832">_xlfn.LET(
  _xlpm.key,_xlfn.TEXTSPLIT("Email,Org,IRN,Impact",","),
  _xlpm.complete,ISBLANK(H832:K832),
  _xlpm.missing,_xlfn._xlws.FILTER(_xlpm.key,_xlpm.complete,FALSE()),
  _xlpm.missing_string,"Missing: "&amp;_xlfn.TEXTJOIN(", ",TRUE,_xlpm.missing),
  _xlfn.IFS(
    COUNTA(C832:K832)=0,"Blank",
AND(_xlpm.missing=FALSE,ROWS(_xlpm.missing)=1),"Complete",
    ROWS(_xlpm.missing)&gt;0,_xlpm.missing_string,
    TRUE,"Error"
  )
)</f>
        <v>Blank</v>
      </c>
      <c r="B8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3" spans="1:2" x14ac:dyDescent="0.3">
      <c r="A833" s="2" t="str" cm="1">
        <f t="array" ref="A833">_xlfn.LET(
  _xlpm.key,_xlfn.TEXTSPLIT("Email,Org,IRN,Impact",","),
  _xlpm.complete,ISBLANK(H833:K833),
  _xlpm.missing,_xlfn._xlws.FILTER(_xlpm.key,_xlpm.complete,FALSE()),
  _xlpm.missing_string,"Missing: "&amp;_xlfn.TEXTJOIN(", ",TRUE,_xlpm.missing),
  _xlfn.IFS(
    COUNTA(C833:K833)=0,"Blank",
AND(_xlpm.missing=FALSE,ROWS(_xlpm.missing)=1),"Complete",
    ROWS(_xlpm.missing)&gt;0,_xlpm.missing_string,
    TRUE,"Error"
  )
)</f>
        <v>Blank</v>
      </c>
      <c r="B8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4" spans="1:2" x14ac:dyDescent="0.3">
      <c r="A834" s="2" t="str" cm="1">
        <f t="array" ref="A834">_xlfn.LET(
  _xlpm.key,_xlfn.TEXTSPLIT("Email,Org,IRN,Impact",","),
  _xlpm.complete,ISBLANK(H834:K834),
  _xlpm.missing,_xlfn._xlws.FILTER(_xlpm.key,_xlpm.complete,FALSE()),
  _xlpm.missing_string,"Missing: "&amp;_xlfn.TEXTJOIN(", ",TRUE,_xlpm.missing),
  _xlfn.IFS(
    COUNTA(C834:K834)=0,"Blank",
AND(_xlpm.missing=FALSE,ROWS(_xlpm.missing)=1),"Complete",
    ROWS(_xlpm.missing)&gt;0,_xlpm.missing_string,
    TRUE,"Error"
  )
)</f>
        <v>Blank</v>
      </c>
      <c r="B8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5" spans="1:2" x14ac:dyDescent="0.3">
      <c r="A835" s="2" t="str" cm="1">
        <f t="array" ref="A835">_xlfn.LET(
  _xlpm.key,_xlfn.TEXTSPLIT("Email,Org,IRN,Impact",","),
  _xlpm.complete,ISBLANK(H835:K835),
  _xlpm.missing,_xlfn._xlws.FILTER(_xlpm.key,_xlpm.complete,FALSE()),
  _xlpm.missing_string,"Missing: "&amp;_xlfn.TEXTJOIN(", ",TRUE,_xlpm.missing),
  _xlfn.IFS(
    COUNTA(C835:K835)=0,"Blank",
AND(_xlpm.missing=FALSE,ROWS(_xlpm.missing)=1),"Complete",
    ROWS(_xlpm.missing)&gt;0,_xlpm.missing_string,
    TRUE,"Error"
  )
)</f>
        <v>Blank</v>
      </c>
      <c r="B8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6" spans="1:2" x14ac:dyDescent="0.3">
      <c r="A836" s="2" t="str" cm="1">
        <f t="array" ref="A836">_xlfn.LET(
  _xlpm.key,_xlfn.TEXTSPLIT("Email,Org,IRN,Impact",","),
  _xlpm.complete,ISBLANK(H836:K836),
  _xlpm.missing,_xlfn._xlws.FILTER(_xlpm.key,_xlpm.complete,FALSE()),
  _xlpm.missing_string,"Missing: "&amp;_xlfn.TEXTJOIN(", ",TRUE,_xlpm.missing),
  _xlfn.IFS(
    COUNTA(C836:K836)=0,"Blank",
AND(_xlpm.missing=FALSE,ROWS(_xlpm.missing)=1),"Complete",
    ROWS(_xlpm.missing)&gt;0,_xlpm.missing_string,
    TRUE,"Error"
  )
)</f>
        <v>Blank</v>
      </c>
      <c r="B8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7" spans="1:2" x14ac:dyDescent="0.3">
      <c r="A837" s="2" t="str" cm="1">
        <f t="array" ref="A837">_xlfn.LET(
  _xlpm.key,_xlfn.TEXTSPLIT("Email,Org,IRN,Impact",","),
  _xlpm.complete,ISBLANK(H837:K837),
  _xlpm.missing,_xlfn._xlws.FILTER(_xlpm.key,_xlpm.complete,FALSE()),
  _xlpm.missing_string,"Missing: "&amp;_xlfn.TEXTJOIN(", ",TRUE,_xlpm.missing),
  _xlfn.IFS(
    COUNTA(C837:K837)=0,"Blank",
AND(_xlpm.missing=FALSE,ROWS(_xlpm.missing)=1),"Complete",
    ROWS(_xlpm.missing)&gt;0,_xlpm.missing_string,
    TRUE,"Error"
  )
)</f>
        <v>Blank</v>
      </c>
      <c r="B8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8" spans="1:2" x14ac:dyDescent="0.3">
      <c r="A838" s="2" t="str" cm="1">
        <f t="array" ref="A838">_xlfn.LET(
  _xlpm.key,_xlfn.TEXTSPLIT("Email,Org,IRN,Impact",","),
  _xlpm.complete,ISBLANK(H838:K838),
  _xlpm.missing,_xlfn._xlws.FILTER(_xlpm.key,_xlpm.complete,FALSE()),
  _xlpm.missing_string,"Missing: "&amp;_xlfn.TEXTJOIN(", ",TRUE,_xlpm.missing),
  _xlfn.IFS(
    COUNTA(C838:K838)=0,"Blank",
AND(_xlpm.missing=FALSE,ROWS(_xlpm.missing)=1),"Complete",
    ROWS(_xlpm.missing)&gt;0,_xlpm.missing_string,
    TRUE,"Error"
  )
)</f>
        <v>Blank</v>
      </c>
      <c r="B8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39" spans="1:2" x14ac:dyDescent="0.3">
      <c r="A839" s="2" t="str" cm="1">
        <f t="array" ref="A839">_xlfn.LET(
  _xlpm.key,_xlfn.TEXTSPLIT("Email,Org,IRN,Impact",","),
  _xlpm.complete,ISBLANK(H839:K839),
  _xlpm.missing,_xlfn._xlws.FILTER(_xlpm.key,_xlpm.complete,FALSE()),
  _xlpm.missing_string,"Missing: "&amp;_xlfn.TEXTJOIN(", ",TRUE,_xlpm.missing),
  _xlfn.IFS(
    COUNTA(C839:K839)=0,"Blank",
AND(_xlpm.missing=FALSE,ROWS(_xlpm.missing)=1),"Complete",
    ROWS(_xlpm.missing)&gt;0,_xlpm.missing_string,
    TRUE,"Error"
  )
)</f>
        <v>Blank</v>
      </c>
      <c r="B8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0" spans="1:2" x14ac:dyDescent="0.3">
      <c r="A840" s="2" t="str" cm="1">
        <f t="array" ref="A840">_xlfn.LET(
  _xlpm.key,_xlfn.TEXTSPLIT("Email,Org,IRN,Impact",","),
  _xlpm.complete,ISBLANK(H840:K840),
  _xlpm.missing,_xlfn._xlws.FILTER(_xlpm.key,_xlpm.complete,FALSE()),
  _xlpm.missing_string,"Missing: "&amp;_xlfn.TEXTJOIN(", ",TRUE,_xlpm.missing),
  _xlfn.IFS(
    COUNTA(C840:K840)=0,"Blank",
AND(_xlpm.missing=FALSE,ROWS(_xlpm.missing)=1),"Complete",
    ROWS(_xlpm.missing)&gt;0,_xlpm.missing_string,
    TRUE,"Error"
  )
)</f>
        <v>Blank</v>
      </c>
      <c r="B8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1" spans="1:2" x14ac:dyDescent="0.3">
      <c r="A841" s="2" t="str" cm="1">
        <f t="array" ref="A841">_xlfn.LET(
  _xlpm.key,_xlfn.TEXTSPLIT("Email,Org,IRN,Impact",","),
  _xlpm.complete,ISBLANK(H841:K841),
  _xlpm.missing,_xlfn._xlws.FILTER(_xlpm.key,_xlpm.complete,FALSE()),
  _xlpm.missing_string,"Missing: "&amp;_xlfn.TEXTJOIN(", ",TRUE,_xlpm.missing),
  _xlfn.IFS(
    COUNTA(C841:K841)=0,"Blank",
AND(_xlpm.missing=FALSE,ROWS(_xlpm.missing)=1),"Complete",
    ROWS(_xlpm.missing)&gt;0,_xlpm.missing_string,
    TRUE,"Error"
  )
)</f>
        <v>Blank</v>
      </c>
      <c r="B8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2" spans="1:2" x14ac:dyDescent="0.3">
      <c r="A842" s="2" t="str" cm="1">
        <f t="array" ref="A842">_xlfn.LET(
  _xlpm.key,_xlfn.TEXTSPLIT("Email,Org,IRN,Impact",","),
  _xlpm.complete,ISBLANK(H842:K842),
  _xlpm.missing,_xlfn._xlws.FILTER(_xlpm.key,_xlpm.complete,FALSE()),
  _xlpm.missing_string,"Missing: "&amp;_xlfn.TEXTJOIN(", ",TRUE,_xlpm.missing),
  _xlfn.IFS(
    COUNTA(C842:K842)=0,"Blank",
AND(_xlpm.missing=FALSE,ROWS(_xlpm.missing)=1),"Complete",
    ROWS(_xlpm.missing)&gt;0,_xlpm.missing_string,
    TRUE,"Error"
  )
)</f>
        <v>Blank</v>
      </c>
      <c r="B8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3" spans="1:2" x14ac:dyDescent="0.3">
      <c r="A843" s="2" t="str" cm="1">
        <f t="array" ref="A843">_xlfn.LET(
  _xlpm.key,_xlfn.TEXTSPLIT("Email,Org,IRN,Impact",","),
  _xlpm.complete,ISBLANK(H843:K843),
  _xlpm.missing,_xlfn._xlws.FILTER(_xlpm.key,_xlpm.complete,FALSE()),
  _xlpm.missing_string,"Missing: "&amp;_xlfn.TEXTJOIN(", ",TRUE,_xlpm.missing),
  _xlfn.IFS(
    COUNTA(C843:K843)=0,"Blank",
AND(_xlpm.missing=FALSE,ROWS(_xlpm.missing)=1),"Complete",
    ROWS(_xlpm.missing)&gt;0,_xlpm.missing_string,
    TRUE,"Error"
  )
)</f>
        <v>Blank</v>
      </c>
      <c r="B8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4" spans="1:2" x14ac:dyDescent="0.3">
      <c r="A844" s="2" t="str" cm="1">
        <f t="array" ref="A844">_xlfn.LET(
  _xlpm.key,_xlfn.TEXTSPLIT("Email,Org,IRN,Impact",","),
  _xlpm.complete,ISBLANK(H844:K844),
  _xlpm.missing,_xlfn._xlws.FILTER(_xlpm.key,_xlpm.complete,FALSE()),
  _xlpm.missing_string,"Missing: "&amp;_xlfn.TEXTJOIN(", ",TRUE,_xlpm.missing),
  _xlfn.IFS(
    COUNTA(C844:K844)=0,"Blank",
AND(_xlpm.missing=FALSE,ROWS(_xlpm.missing)=1),"Complete",
    ROWS(_xlpm.missing)&gt;0,_xlpm.missing_string,
    TRUE,"Error"
  )
)</f>
        <v>Blank</v>
      </c>
      <c r="B8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5" spans="1:2" x14ac:dyDescent="0.3">
      <c r="A845" s="2" t="str" cm="1">
        <f t="array" ref="A845">_xlfn.LET(
  _xlpm.key,_xlfn.TEXTSPLIT("Email,Org,IRN,Impact",","),
  _xlpm.complete,ISBLANK(H845:K845),
  _xlpm.missing,_xlfn._xlws.FILTER(_xlpm.key,_xlpm.complete,FALSE()),
  _xlpm.missing_string,"Missing: "&amp;_xlfn.TEXTJOIN(", ",TRUE,_xlpm.missing),
  _xlfn.IFS(
    COUNTA(C845:K845)=0,"Blank",
AND(_xlpm.missing=FALSE,ROWS(_xlpm.missing)=1),"Complete",
    ROWS(_xlpm.missing)&gt;0,_xlpm.missing_string,
    TRUE,"Error"
  )
)</f>
        <v>Blank</v>
      </c>
      <c r="B8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6" spans="1:2" x14ac:dyDescent="0.3">
      <c r="A846" s="2" t="str" cm="1">
        <f t="array" ref="A846">_xlfn.LET(
  _xlpm.key,_xlfn.TEXTSPLIT("Email,Org,IRN,Impact",","),
  _xlpm.complete,ISBLANK(H846:K846),
  _xlpm.missing,_xlfn._xlws.FILTER(_xlpm.key,_xlpm.complete,FALSE()),
  _xlpm.missing_string,"Missing: "&amp;_xlfn.TEXTJOIN(", ",TRUE,_xlpm.missing),
  _xlfn.IFS(
    COUNTA(C846:K846)=0,"Blank",
AND(_xlpm.missing=FALSE,ROWS(_xlpm.missing)=1),"Complete",
    ROWS(_xlpm.missing)&gt;0,_xlpm.missing_string,
    TRUE,"Error"
  )
)</f>
        <v>Blank</v>
      </c>
      <c r="B8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7" spans="1:2" x14ac:dyDescent="0.3">
      <c r="A847" s="2" t="str" cm="1">
        <f t="array" ref="A847">_xlfn.LET(
  _xlpm.key,_xlfn.TEXTSPLIT("Email,Org,IRN,Impact",","),
  _xlpm.complete,ISBLANK(H847:K847),
  _xlpm.missing,_xlfn._xlws.FILTER(_xlpm.key,_xlpm.complete,FALSE()),
  _xlpm.missing_string,"Missing: "&amp;_xlfn.TEXTJOIN(", ",TRUE,_xlpm.missing),
  _xlfn.IFS(
    COUNTA(C847:K847)=0,"Blank",
AND(_xlpm.missing=FALSE,ROWS(_xlpm.missing)=1),"Complete",
    ROWS(_xlpm.missing)&gt;0,_xlpm.missing_string,
    TRUE,"Error"
  )
)</f>
        <v>Blank</v>
      </c>
      <c r="B8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8" spans="1:2" x14ac:dyDescent="0.3">
      <c r="A848" s="2" t="str" cm="1">
        <f t="array" ref="A848">_xlfn.LET(
  _xlpm.key,_xlfn.TEXTSPLIT("Email,Org,IRN,Impact",","),
  _xlpm.complete,ISBLANK(H848:K848),
  _xlpm.missing,_xlfn._xlws.FILTER(_xlpm.key,_xlpm.complete,FALSE()),
  _xlpm.missing_string,"Missing: "&amp;_xlfn.TEXTJOIN(", ",TRUE,_xlpm.missing),
  _xlfn.IFS(
    COUNTA(C848:K848)=0,"Blank",
AND(_xlpm.missing=FALSE,ROWS(_xlpm.missing)=1),"Complete",
    ROWS(_xlpm.missing)&gt;0,_xlpm.missing_string,
    TRUE,"Error"
  )
)</f>
        <v>Blank</v>
      </c>
      <c r="B8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49" spans="1:2" x14ac:dyDescent="0.3">
      <c r="A849" s="2" t="str" cm="1">
        <f t="array" ref="A849">_xlfn.LET(
  _xlpm.key,_xlfn.TEXTSPLIT("Email,Org,IRN,Impact",","),
  _xlpm.complete,ISBLANK(H849:K849),
  _xlpm.missing,_xlfn._xlws.FILTER(_xlpm.key,_xlpm.complete,FALSE()),
  _xlpm.missing_string,"Missing: "&amp;_xlfn.TEXTJOIN(", ",TRUE,_xlpm.missing),
  _xlfn.IFS(
    COUNTA(C849:K849)=0,"Blank",
AND(_xlpm.missing=FALSE,ROWS(_xlpm.missing)=1),"Complete",
    ROWS(_xlpm.missing)&gt;0,_xlpm.missing_string,
    TRUE,"Error"
  )
)</f>
        <v>Blank</v>
      </c>
      <c r="B8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0" spans="1:2" x14ac:dyDescent="0.3">
      <c r="A850" s="2" t="str" cm="1">
        <f t="array" ref="A850">_xlfn.LET(
  _xlpm.key,_xlfn.TEXTSPLIT("Email,Org,IRN,Impact",","),
  _xlpm.complete,ISBLANK(H850:K850),
  _xlpm.missing,_xlfn._xlws.FILTER(_xlpm.key,_xlpm.complete,FALSE()),
  _xlpm.missing_string,"Missing: "&amp;_xlfn.TEXTJOIN(", ",TRUE,_xlpm.missing),
  _xlfn.IFS(
    COUNTA(C850:K850)=0,"Blank",
AND(_xlpm.missing=FALSE,ROWS(_xlpm.missing)=1),"Complete",
    ROWS(_xlpm.missing)&gt;0,_xlpm.missing_string,
    TRUE,"Error"
  )
)</f>
        <v>Blank</v>
      </c>
      <c r="B8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1" spans="1:2" x14ac:dyDescent="0.3">
      <c r="A851" s="2" t="str" cm="1">
        <f t="array" ref="A851">_xlfn.LET(
  _xlpm.key,_xlfn.TEXTSPLIT("Email,Org,IRN,Impact",","),
  _xlpm.complete,ISBLANK(H851:K851),
  _xlpm.missing,_xlfn._xlws.FILTER(_xlpm.key,_xlpm.complete,FALSE()),
  _xlpm.missing_string,"Missing: "&amp;_xlfn.TEXTJOIN(", ",TRUE,_xlpm.missing),
  _xlfn.IFS(
    COUNTA(C851:K851)=0,"Blank",
AND(_xlpm.missing=FALSE,ROWS(_xlpm.missing)=1),"Complete",
    ROWS(_xlpm.missing)&gt;0,_xlpm.missing_string,
    TRUE,"Error"
  )
)</f>
        <v>Blank</v>
      </c>
      <c r="B8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2" spans="1:2" x14ac:dyDescent="0.3">
      <c r="A852" s="2" t="str" cm="1">
        <f t="array" ref="A852">_xlfn.LET(
  _xlpm.key,_xlfn.TEXTSPLIT("Email,Org,IRN,Impact",","),
  _xlpm.complete,ISBLANK(H852:K852),
  _xlpm.missing,_xlfn._xlws.FILTER(_xlpm.key,_xlpm.complete,FALSE()),
  _xlpm.missing_string,"Missing: "&amp;_xlfn.TEXTJOIN(", ",TRUE,_xlpm.missing),
  _xlfn.IFS(
    COUNTA(C852:K852)=0,"Blank",
AND(_xlpm.missing=FALSE,ROWS(_xlpm.missing)=1),"Complete",
    ROWS(_xlpm.missing)&gt;0,_xlpm.missing_string,
    TRUE,"Error"
  )
)</f>
        <v>Blank</v>
      </c>
      <c r="B8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3" spans="1:2" x14ac:dyDescent="0.3">
      <c r="A853" s="2" t="str" cm="1">
        <f t="array" ref="A853">_xlfn.LET(
  _xlpm.key,_xlfn.TEXTSPLIT("Email,Org,IRN,Impact",","),
  _xlpm.complete,ISBLANK(H853:K853),
  _xlpm.missing,_xlfn._xlws.FILTER(_xlpm.key,_xlpm.complete,FALSE()),
  _xlpm.missing_string,"Missing: "&amp;_xlfn.TEXTJOIN(", ",TRUE,_xlpm.missing),
  _xlfn.IFS(
    COUNTA(C853:K853)=0,"Blank",
AND(_xlpm.missing=FALSE,ROWS(_xlpm.missing)=1),"Complete",
    ROWS(_xlpm.missing)&gt;0,_xlpm.missing_string,
    TRUE,"Error"
  )
)</f>
        <v>Blank</v>
      </c>
      <c r="B8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4" spans="1:2" x14ac:dyDescent="0.3">
      <c r="A854" s="2" t="str" cm="1">
        <f t="array" ref="A854">_xlfn.LET(
  _xlpm.key,_xlfn.TEXTSPLIT("Email,Org,IRN,Impact",","),
  _xlpm.complete,ISBLANK(H854:K854),
  _xlpm.missing,_xlfn._xlws.FILTER(_xlpm.key,_xlpm.complete,FALSE()),
  _xlpm.missing_string,"Missing: "&amp;_xlfn.TEXTJOIN(", ",TRUE,_xlpm.missing),
  _xlfn.IFS(
    COUNTA(C854:K854)=0,"Blank",
AND(_xlpm.missing=FALSE,ROWS(_xlpm.missing)=1),"Complete",
    ROWS(_xlpm.missing)&gt;0,_xlpm.missing_string,
    TRUE,"Error"
  )
)</f>
        <v>Blank</v>
      </c>
      <c r="B8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5" spans="1:2" x14ac:dyDescent="0.3">
      <c r="A855" s="2" t="str" cm="1">
        <f t="array" ref="A855">_xlfn.LET(
  _xlpm.key,_xlfn.TEXTSPLIT("Email,Org,IRN,Impact",","),
  _xlpm.complete,ISBLANK(H855:K855),
  _xlpm.missing,_xlfn._xlws.FILTER(_xlpm.key,_xlpm.complete,FALSE()),
  _xlpm.missing_string,"Missing: "&amp;_xlfn.TEXTJOIN(", ",TRUE,_xlpm.missing),
  _xlfn.IFS(
    COUNTA(C855:K855)=0,"Blank",
AND(_xlpm.missing=FALSE,ROWS(_xlpm.missing)=1),"Complete",
    ROWS(_xlpm.missing)&gt;0,_xlpm.missing_string,
    TRUE,"Error"
  )
)</f>
        <v>Blank</v>
      </c>
      <c r="B8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6" spans="1:2" x14ac:dyDescent="0.3">
      <c r="A856" s="2" t="str" cm="1">
        <f t="array" ref="A856">_xlfn.LET(
  _xlpm.key,_xlfn.TEXTSPLIT("Email,Org,IRN,Impact",","),
  _xlpm.complete,ISBLANK(H856:K856),
  _xlpm.missing,_xlfn._xlws.FILTER(_xlpm.key,_xlpm.complete,FALSE()),
  _xlpm.missing_string,"Missing: "&amp;_xlfn.TEXTJOIN(", ",TRUE,_xlpm.missing),
  _xlfn.IFS(
    COUNTA(C856:K856)=0,"Blank",
AND(_xlpm.missing=FALSE,ROWS(_xlpm.missing)=1),"Complete",
    ROWS(_xlpm.missing)&gt;0,_xlpm.missing_string,
    TRUE,"Error"
  )
)</f>
        <v>Blank</v>
      </c>
      <c r="B8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7" spans="1:2" x14ac:dyDescent="0.3">
      <c r="A857" s="2" t="str" cm="1">
        <f t="array" ref="A857">_xlfn.LET(
  _xlpm.key,_xlfn.TEXTSPLIT("Email,Org,IRN,Impact",","),
  _xlpm.complete,ISBLANK(H857:K857),
  _xlpm.missing,_xlfn._xlws.FILTER(_xlpm.key,_xlpm.complete,FALSE()),
  _xlpm.missing_string,"Missing: "&amp;_xlfn.TEXTJOIN(", ",TRUE,_xlpm.missing),
  _xlfn.IFS(
    COUNTA(C857:K857)=0,"Blank",
AND(_xlpm.missing=FALSE,ROWS(_xlpm.missing)=1),"Complete",
    ROWS(_xlpm.missing)&gt;0,_xlpm.missing_string,
    TRUE,"Error"
  )
)</f>
        <v>Blank</v>
      </c>
      <c r="B8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8" spans="1:2" x14ac:dyDescent="0.3">
      <c r="A858" s="2" t="str" cm="1">
        <f t="array" ref="A858">_xlfn.LET(
  _xlpm.key,_xlfn.TEXTSPLIT("Email,Org,IRN,Impact",","),
  _xlpm.complete,ISBLANK(H858:K858),
  _xlpm.missing,_xlfn._xlws.FILTER(_xlpm.key,_xlpm.complete,FALSE()),
  _xlpm.missing_string,"Missing: "&amp;_xlfn.TEXTJOIN(", ",TRUE,_xlpm.missing),
  _xlfn.IFS(
    COUNTA(C858:K858)=0,"Blank",
AND(_xlpm.missing=FALSE,ROWS(_xlpm.missing)=1),"Complete",
    ROWS(_xlpm.missing)&gt;0,_xlpm.missing_string,
    TRUE,"Error"
  )
)</f>
        <v>Blank</v>
      </c>
      <c r="B8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59" spans="1:2" x14ac:dyDescent="0.3">
      <c r="A859" s="2" t="str" cm="1">
        <f t="array" ref="A859">_xlfn.LET(
  _xlpm.key,_xlfn.TEXTSPLIT("Email,Org,IRN,Impact",","),
  _xlpm.complete,ISBLANK(H859:K859),
  _xlpm.missing,_xlfn._xlws.FILTER(_xlpm.key,_xlpm.complete,FALSE()),
  _xlpm.missing_string,"Missing: "&amp;_xlfn.TEXTJOIN(", ",TRUE,_xlpm.missing),
  _xlfn.IFS(
    COUNTA(C859:K859)=0,"Blank",
AND(_xlpm.missing=FALSE,ROWS(_xlpm.missing)=1),"Complete",
    ROWS(_xlpm.missing)&gt;0,_xlpm.missing_string,
    TRUE,"Error"
  )
)</f>
        <v>Blank</v>
      </c>
      <c r="B8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0" spans="1:2" x14ac:dyDescent="0.3">
      <c r="A860" s="2" t="str" cm="1">
        <f t="array" ref="A860">_xlfn.LET(
  _xlpm.key,_xlfn.TEXTSPLIT("Email,Org,IRN,Impact",","),
  _xlpm.complete,ISBLANK(H860:K860),
  _xlpm.missing,_xlfn._xlws.FILTER(_xlpm.key,_xlpm.complete,FALSE()),
  _xlpm.missing_string,"Missing: "&amp;_xlfn.TEXTJOIN(", ",TRUE,_xlpm.missing),
  _xlfn.IFS(
    COUNTA(C860:K860)=0,"Blank",
AND(_xlpm.missing=FALSE,ROWS(_xlpm.missing)=1),"Complete",
    ROWS(_xlpm.missing)&gt;0,_xlpm.missing_string,
    TRUE,"Error"
  )
)</f>
        <v>Blank</v>
      </c>
      <c r="B8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1" spans="1:2" x14ac:dyDescent="0.3">
      <c r="A861" s="2" t="str" cm="1">
        <f t="array" ref="A861">_xlfn.LET(
  _xlpm.key,_xlfn.TEXTSPLIT("Email,Org,IRN,Impact",","),
  _xlpm.complete,ISBLANK(H861:K861),
  _xlpm.missing,_xlfn._xlws.FILTER(_xlpm.key,_xlpm.complete,FALSE()),
  _xlpm.missing_string,"Missing: "&amp;_xlfn.TEXTJOIN(", ",TRUE,_xlpm.missing),
  _xlfn.IFS(
    COUNTA(C861:K861)=0,"Blank",
AND(_xlpm.missing=FALSE,ROWS(_xlpm.missing)=1),"Complete",
    ROWS(_xlpm.missing)&gt;0,_xlpm.missing_string,
    TRUE,"Error"
  )
)</f>
        <v>Blank</v>
      </c>
      <c r="B8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2" spans="1:2" x14ac:dyDescent="0.3">
      <c r="A862" s="2" t="str" cm="1">
        <f t="array" ref="A862">_xlfn.LET(
  _xlpm.key,_xlfn.TEXTSPLIT("Email,Org,IRN,Impact",","),
  _xlpm.complete,ISBLANK(H862:K862),
  _xlpm.missing,_xlfn._xlws.FILTER(_xlpm.key,_xlpm.complete,FALSE()),
  _xlpm.missing_string,"Missing: "&amp;_xlfn.TEXTJOIN(", ",TRUE,_xlpm.missing),
  _xlfn.IFS(
    COUNTA(C862:K862)=0,"Blank",
AND(_xlpm.missing=FALSE,ROWS(_xlpm.missing)=1),"Complete",
    ROWS(_xlpm.missing)&gt;0,_xlpm.missing_string,
    TRUE,"Error"
  )
)</f>
        <v>Blank</v>
      </c>
      <c r="B8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3" spans="1:2" x14ac:dyDescent="0.3">
      <c r="A863" s="2" t="str" cm="1">
        <f t="array" ref="A863">_xlfn.LET(
  _xlpm.key,_xlfn.TEXTSPLIT("Email,Org,IRN,Impact",","),
  _xlpm.complete,ISBLANK(H863:K863),
  _xlpm.missing,_xlfn._xlws.FILTER(_xlpm.key,_xlpm.complete,FALSE()),
  _xlpm.missing_string,"Missing: "&amp;_xlfn.TEXTJOIN(", ",TRUE,_xlpm.missing),
  _xlfn.IFS(
    COUNTA(C863:K863)=0,"Blank",
AND(_xlpm.missing=FALSE,ROWS(_xlpm.missing)=1),"Complete",
    ROWS(_xlpm.missing)&gt;0,_xlpm.missing_string,
    TRUE,"Error"
  )
)</f>
        <v>Blank</v>
      </c>
      <c r="B8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4" spans="1:2" x14ac:dyDescent="0.3">
      <c r="A864" s="2" t="str" cm="1">
        <f t="array" ref="A864">_xlfn.LET(
  _xlpm.key,_xlfn.TEXTSPLIT("Email,Org,IRN,Impact",","),
  _xlpm.complete,ISBLANK(H864:K864),
  _xlpm.missing,_xlfn._xlws.FILTER(_xlpm.key,_xlpm.complete,FALSE()),
  _xlpm.missing_string,"Missing: "&amp;_xlfn.TEXTJOIN(", ",TRUE,_xlpm.missing),
  _xlfn.IFS(
    COUNTA(C864:K864)=0,"Blank",
AND(_xlpm.missing=FALSE,ROWS(_xlpm.missing)=1),"Complete",
    ROWS(_xlpm.missing)&gt;0,_xlpm.missing_string,
    TRUE,"Error"
  )
)</f>
        <v>Blank</v>
      </c>
      <c r="B8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5" spans="1:2" x14ac:dyDescent="0.3">
      <c r="A865" s="2" t="str" cm="1">
        <f t="array" ref="A865">_xlfn.LET(
  _xlpm.key,_xlfn.TEXTSPLIT("Email,Org,IRN,Impact",","),
  _xlpm.complete,ISBLANK(H865:K865),
  _xlpm.missing,_xlfn._xlws.FILTER(_xlpm.key,_xlpm.complete,FALSE()),
  _xlpm.missing_string,"Missing: "&amp;_xlfn.TEXTJOIN(", ",TRUE,_xlpm.missing),
  _xlfn.IFS(
    COUNTA(C865:K865)=0,"Blank",
AND(_xlpm.missing=FALSE,ROWS(_xlpm.missing)=1),"Complete",
    ROWS(_xlpm.missing)&gt;0,_xlpm.missing_string,
    TRUE,"Error"
  )
)</f>
        <v>Blank</v>
      </c>
      <c r="B8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6" spans="1:2" x14ac:dyDescent="0.3">
      <c r="A866" s="2" t="str" cm="1">
        <f t="array" ref="A866">_xlfn.LET(
  _xlpm.key,_xlfn.TEXTSPLIT("Email,Org,IRN,Impact",","),
  _xlpm.complete,ISBLANK(H866:K866),
  _xlpm.missing,_xlfn._xlws.FILTER(_xlpm.key,_xlpm.complete,FALSE()),
  _xlpm.missing_string,"Missing: "&amp;_xlfn.TEXTJOIN(", ",TRUE,_xlpm.missing),
  _xlfn.IFS(
    COUNTA(C866:K866)=0,"Blank",
AND(_xlpm.missing=FALSE,ROWS(_xlpm.missing)=1),"Complete",
    ROWS(_xlpm.missing)&gt;0,_xlpm.missing_string,
    TRUE,"Error"
  )
)</f>
        <v>Blank</v>
      </c>
      <c r="B8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7" spans="1:2" x14ac:dyDescent="0.3">
      <c r="A867" s="2" t="str" cm="1">
        <f t="array" ref="A867">_xlfn.LET(
  _xlpm.key,_xlfn.TEXTSPLIT("Email,Org,IRN,Impact",","),
  _xlpm.complete,ISBLANK(H867:K867),
  _xlpm.missing,_xlfn._xlws.FILTER(_xlpm.key,_xlpm.complete,FALSE()),
  _xlpm.missing_string,"Missing: "&amp;_xlfn.TEXTJOIN(", ",TRUE,_xlpm.missing),
  _xlfn.IFS(
    COUNTA(C867:K867)=0,"Blank",
AND(_xlpm.missing=FALSE,ROWS(_xlpm.missing)=1),"Complete",
    ROWS(_xlpm.missing)&gt;0,_xlpm.missing_string,
    TRUE,"Error"
  )
)</f>
        <v>Blank</v>
      </c>
      <c r="B8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8" spans="1:2" x14ac:dyDescent="0.3">
      <c r="A868" s="2" t="str" cm="1">
        <f t="array" ref="A868">_xlfn.LET(
  _xlpm.key,_xlfn.TEXTSPLIT("Email,Org,IRN,Impact",","),
  _xlpm.complete,ISBLANK(H868:K868),
  _xlpm.missing,_xlfn._xlws.FILTER(_xlpm.key,_xlpm.complete,FALSE()),
  _xlpm.missing_string,"Missing: "&amp;_xlfn.TEXTJOIN(", ",TRUE,_xlpm.missing),
  _xlfn.IFS(
    COUNTA(C868:K868)=0,"Blank",
AND(_xlpm.missing=FALSE,ROWS(_xlpm.missing)=1),"Complete",
    ROWS(_xlpm.missing)&gt;0,_xlpm.missing_string,
    TRUE,"Error"
  )
)</f>
        <v>Blank</v>
      </c>
      <c r="B8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69" spans="1:2" x14ac:dyDescent="0.3">
      <c r="A869" s="2" t="str" cm="1">
        <f t="array" ref="A869">_xlfn.LET(
  _xlpm.key,_xlfn.TEXTSPLIT("Email,Org,IRN,Impact",","),
  _xlpm.complete,ISBLANK(H869:K869),
  _xlpm.missing,_xlfn._xlws.FILTER(_xlpm.key,_xlpm.complete,FALSE()),
  _xlpm.missing_string,"Missing: "&amp;_xlfn.TEXTJOIN(", ",TRUE,_xlpm.missing),
  _xlfn.IFS(
    COUNTA(C869:K869)=0,"Blank",
AND(_xlpm.missing=FALSE,ROWS(_xlpm.missing)=1),"Complete",
    ROWS(_xlpm.missing)&gt;0,_xlpm.missing_string,
    TRUE,"Error"
  )
)</f>
        <v>Blank</v>
      </c>
      <c r="B8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0" spans="1:2" x14ac:dyDescent="0.3">
      <c r="A870" s="2" t="str" cm="1">
        <f t="array" ref="A870">_xlfn.LET(
  _xlpm.key,_xlfn.TEXTSPLIT("Email,Org,IRN,Impact",","),
  _xlpm.complete,ISBLANK(H870:K870),
  _xlpm.missing,_xlfn._xlws.FILTER(_xlpm.key,_xlpm.complete,FALSE()),
  _xlpm.missing_string,"Missing: "&amp;_xlfn.TEXTJOIN(", ",TRUE,_xlpm.missing),
  _xlfn.IFS(
    COUNTA(C870:K870)=0,"Blank",
AND(_xlpm.missing=FALSE,ROWS(_xlpm.missing)=1),"Complete",
    ROWS(_xlpm.missing)&gt;0,_xlpm.missing_string,
    TRUE,"Error"
  )
)</f>
        <v>Blank</v>
      </c>
      <c r="B8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1" spans="1:2" x14ac:dyDescent="0.3">
      <c r="A871" s="2" t="str" cm="1">
        <f t="array" ref="A871">_xlfn.LET(
  _xlpm.key,_xlfn.TEXTSPLIT("Email,Org,IRN,Impact",","),
  _xlpm.complete,ISBLANK(H871:K871),
  _xlpm.missing,_xlfn._xlws.FILTER(_xlpm.key,_xlpm.complete,FALSE()),
  _xlpm.missing_string,"Missing: "&amp;_xlfn.TEXTJOIN(", ",TRUE,_xlpm.missing),
  _xlfn.IFS(
    COUNTA(C871:K871)=0,"Blank",
AND(_xlpm.missing=FALSE,ROWS(_xlpm.missing)=1),"Complete",
    ROWS(_xlpm.missing)&gt;0,_xlpm.missing_string,
    TRUE,"Error"
  )
)</f>
        <v>Blank</v>
      </c>
      <c r="B8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2" spans="1:2" x14ac:dyDescent="0.3">
      <c r="A872" s="2" t="str" cm="1">
        <f t="array" ref="A872">_xlfn.LET(
  _xlpm.key,_xlfn.TEXTSPLIT("Email,Org,IRN,Impact",","),
  _xlpm.complete,ISBLANK(H872:K872),
  _xlpm.missing,_xlfn._xlws.FILTER(_xlpm.key,_xlpm.complete,FALSE()),
  _xlpm.missing_string,"Missing: "&amp;_xlfn.TEXTJOIN(", ",TRUE,_xlpm.missing),
  _xlfn.IFS(
    COUNTA(C872:K872)=0,"Blank",
AND(_xlpm.missing=FALSE,ROWS(_xlpm.missing)=1),"Complete",
    ROWS(_xlpm.missing)&gt;0,_xlpm.missing_string,
    TRUE,"Error"
  )
)</f>
        <v>Blank</v>
      </c>
      <c r="B8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3" spans="1:2" x14ac:dyDescent="0.3">
      <c r="A873" s="2" t="str" cm="1">
        <f t="array" ref="A873">_xlfn.LET(
  _xlpm.key,_xlfn.TEXTSPLIT("Email,Org,IRN,Impact",","),
  _xlpm.complete,ISBLANK(H873:K873),
  _xlpm.missing,_xlfn._xlws.FILTER(_xlpm.key,_xlpm.complete,FALSE()),
  _xlpm.missing_string,"Missing: "&amp;_xlfn.TEXTJOIN(", ",TRUE,_xlpm.missing),
  _xlfn.IFS(
    COUNTA(C873:K873)=0,"Blank",
AND(_xlpm.missing=FALSE,ROWS(_xlpm.missing)=1),"Complete",
    ROWS(_xlpm.missing)&gt;0,_xlpm.missing_string,
    TRUE,"Error"
  )
)</f>
        <v>Blank</v>
      </c>
      <c r="B8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4" spans="1:2" x14ac:dyDescent="0.3">
      <c r="A874" s="2" t="str" cm="1">
        <f t="array" ref="A874">_xlfn.LET(
  _xlpm.key,_xlfn.TEXTSPLIT("Email,Org,IRN,Impact",","),
  _xlpm.complete,ISBLANK(H874:K874),
  _xlpm.missing,_xlfn._xlws.FILTER(_xlpm.key,_xlpm.complete,FALSE()),
  _xlpm.missing_string,"Missing: "&amp;_xlfn.TEXTJOIN(", ",TRUE,_xlpm.missing),
  _xlfn.IFS(
    COUNTA(C874:K874)=0,"Blank",
AND(_xlpm.missing=FALSE,ROWS(_xlpm.missing)=1),"Complete",
    ROWS(_xlpm.missing)&gt;0,_xlpm.missing_string,
    TRUE,"Error"
  )
)</f>
        <v>Blank</v>
      </c>
      <c r="B8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5" spans="1:2" x14ac:dyDescent="0.3">
      <c r="A875" s="2" t="str" cm="1">
        <f t="array" ref="A875">_xlfn.LET(
  _xlpm.key,_xlfn.TEXTSPLIT("Email,Org,IRN,Impact",","),
  _xlpm.complete,ISBLANK(H875:K875),
  _xlpm.missing,_xlfn._xlws.FILTER(_xlpm.key,_xlpm.complete,FALSE()),
  _xlpm.missing_string,"Missing: "&amp;_xlfn.TEXTJOIN(", ",TRUE,_xlpm.missing),
  _xlfn.IFS(
    COUNTA(C875:K875)=0,"Blank",
AND(_xlpm.missing=FALSE,ROWS(_xlpm.missing)=1),"Complete",
    ROWS(_xlpm.missing)&gt;0,_xlpm.missing_string,
    TRUE,"Error"
  )
)</f>
        <v>Blank</v>
      </c>
      <c r="B8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6" spans="1:2" x14ac:dyDescent="0.3">
      <c r="A876" s="2" t="str" cm="1">
        <f t="array" ref="A876">_xlfn.LET(
  _xlpm.key,_xlfn.TEXTSPLIT("Email,Org,IRN,Impact",","),
  _xlpm.complete,ISBLANK(H876:K876),
  _xlpm.missing,_xlfn._xlws.FILTER(_xlpm.key,_xlpm.complete,FALSE()),
  _xlpm.missing_string,"Missing: "&amp;_xlfn.TEXTJOIN(", ",TRUE,_xlpm.missing),
  _xlfn.IFS(
    COUNTA(C876:K876)=0,"Blank",
AND(_xlpm.missing=FALSE,ROWS(_xlpm.missing)=1),"Complete",
    ROWS(_xlpm.missing)&gt;0,_xlpm.missing_string,
    TRUE,"Error"
  )
)</f>
        <v>Blank</v>
      </c>
      <c r="B8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7" spans="1:2" x14ac:dyDescent="0.3">
      <c r="A877" s="2" t="str" cm="1">
        <f t="array" ref="A877">_xlfn.LET(
  _xlpm.key,_xlfn.TEXTSPLIT("Email,Org,IRN,Impact",","),
  _xlpm.complete,ISBLANK(H877:K877),
  _xlpm.missing,_xlfn._xlws.FILTER(_xlpm.key,_xlpm.complete,FALSE()),
  _xlpm.missing_string,"Missing: "&amp;_xlfn.TEXTJOIN(", ",TRUE,_xlpm.missing),
  _xlfn.IFS(
    COUNTA(C877:K877)=0,"Blank",
AND(_xlpm.missing=FALSE,ROWS(_xlpm.missing)=1),"Complete",
    ROWS(_xlpm.missing)&gt;0,_xlpm.missing_string,
    TRUE,"Error"
  )
)</f>
        <v>Blank</v>
      </c>
      <c r="B8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8" spans="1:2" x14ac:dyDescent="0.3">
      <c r="A878" s="2" t="str" cm="1">
        <f t="array" ref="A878">_xlfn.LET(
  _xlpm.key,_xlfn.TEXTSPLIT("Email,Org,IRN,Impact",","),
  _xlpm.complete,ISBLANK(H878:K878),
  _xlpm.missing,_xlfn._xlws.FILTER(_xlpm.key,_xlpm.complete,FALSE()),
  _xlpm.missing_string,"Missing: "&amp;_xlfn.TEXTJOIN(", ",TRUE,_xlpm.missing),
  _xlfn.IFS(
    COUNTA(C878:K878)=0,"Blank",
AND(_xlpm.missing=FALSE,ROWS(_xlpm.missing)=1),"Complete",
    ROWS(_xlpm.missing)&gt;0,_xlpm.missing_string,
    TRUE,"Error"
  )
)</f>
        <v>Blank</v>
      </c>
      <c r="B8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79" spans="1:2" x14ac:dyDescent="0.3">
      <c r="A879" s="2" t="str" cm="1">
        <f t="array" ref="A879">_xlfn.LET(
  _xlpm.key,_xlfn.TEXTSPLIT("Email,Org,IRN,Impact",","),
  _xlpm.complete,ISBLANK(H879:K879),
  _xlpm.missing,_xlfn._xlws.FILTER(_xlpm.key,_xlpm.complete,FALSE()),
  _xlpm.missing_string,"Missing: "&amp;_xlfn.TEXTJOIN(", ",TRUE,_xlpm.missing),
  _xlfn.IFS(
    COUNTA(C879:K879)=0,"Blank",
AND(_xlpm.missing=FALSE,ROWS(_xlpm.missing)=1),"Complete",
    ROWS(_xlpm.missing)&gt;0,_xlpm.missing_string,
    TRUE,"Error"
  )
)</f>
        <v>Blank</v>
      </c>
      <c r="B8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0" spans="1:2" x14ac:dyDescent="0.3">
      <c r="A880" s="2" t="str" cm="1">
        <f t="array" ref="A880">_xlfn.LET(
  _xlpm.key,_xlfn.TEXTSPLIT("Email,Org,IRN,Impact",","),
  _xlpm.complete,ISBLANK(H880:K880),
  _xlpm.missing,_xlfn._xlws.FILTER(_xlpm.key,_xlpm.complete,FALSE()),
  _xlpm.missing_string,"Missing: "&amp;_xlfn.TEXTJOIN(", ",TRUE,_xlpm.missing),
  _xlfn.IFS(
    COUNTA(C880:K880)=0,"Blank",
AND(_xlpm.missing=FALSE,ROWS(_xlpm.missing)=1),"Complete",
    ROWS(_xlpm.missing)&gt;0,_xlpm.missing_string,
    TRUE,"Error"
  )
)</f>
        <v>Blank</v>
      </c>
      <c r="B8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1" spans="1:2" x14ac:dyDescent="0.3">
      <c r="A881" s="2" t="str" cm="1">
        <f t="array" ref="A881">_xlfn.LET(
  _xlpm.key,_xlfn.TEXTSPLIT("Email,Org,IRN,Impact",","),
  _xlpm.complete,ISBLANK(H881:K881),
  _xlpm.missing,_xlfn._xlws.FILTER(_xlpm.key,_xlpm.complete,FALSE()),
  _xlpm.missing_string,"Missing: "&amp;_xlfn.TEXTJOIN(", ",TRUE,_xlpm.missing),
  _xlfn.IFS(
    COUNTA(C881:K881)=0,"Blank",
AND(_xlpm.missing=FALSE,ROWS(_xlpm.missing)=1),"Complete",
    ROWS(_xlpm.missing)&gt;0,_xlpm.missing_string,
    TRUE,"Error"
  )
)</f>
        <v>Blank</v>
      </c>
      <c r="B8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2" spans="1:2" x14ac:dyDescent="0.3">
      <c r="A882" s="2" t="str" cm="1">
        <f t="array" ref="A882">_xlfn.LET(
  _xlpm.key,_xlfn.TEXTSPLIT("Email,Org,IRN,Impact",","),
  _xlpm.complete,ISBLANK(H882:K882),
  _xlpm.missing,_xlfn._xlws.FILTER(_xlpm.key,_xlpm.complete,FALSE()),
  _xlpm.missing_string,"Missing: "&amp;_xlfn.TEXTJOIN(", ",TRUE,_xlpm.missing),
  _xlfn.IFS(
    COUNTA(C882:K882)=0,"Blank",
AND(_xlpm.missing=FALSE,ROWS(_xlpm.missing)=1),"Complete",
    ROWS(_xlpm.missing)&gt;0,_xlpm.missing_string,
    TRUE,"Error"
  )
)</f>
        <v>Blank</v>
      </c>
      <c r="B8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3" spans="1:2" x14ac:dyDescent="0.3">
      <c r="A883" s="2" t="str" cm="1">
        <f t="array" ref="A883">_xlfn.LET(
  _xlpm.key,_xlfn.TEXTSPLIT("Email,Org,IRN,Impact",","),
  _xlpm.complete,ISBLANK(H883:K883),
  _xlpm.missing,_xlfn._xlws.FILTER(_xlpm.key,_xlpm.complete,FALSE()),
  _xlpm.missing_string,"Missing: "&amp;_xlfn.TEXTJOIN(", ",TRUE,_xlpm.missing),
  _xlfn.IFS(
    COUNTA(C883:K883)=0,"Blank",
AND(_xlpm.missing=FALSE,ROWS(_xlpm.missing)=1),"Complete",
    ROWS(_xlpm.missing)&gt;0,_xlpm.missing_string,
    TRUE,"Error"
  )
)</f>
        <v>Blank</v>
      </c>
      <c r="B8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4" spans="1:2" x14ac:dyDescent="0.3">
      <c r="A884" s="2" t="str" cm="1">
        <f t="array" ref="A884">_xlfn.LET(
  _xlpm.key,_xlfn.TEXTSPLIT("Email,Org,IRN,Impact",","),
  _xlpm.complete,ISBLANK(H884:K884),
  _xlpm.missing,_xlfn._xlws.FILTER(_xlpm.key,_xlpm.complete,FALSE()),
  _xlpm.missing_string,"Missing: "&amp;_xlfn.TEXTJOIN(", ",TRUE,_xlpm.missing),
  _xlfn.IFS(
    COUNTA(C884:K884)=0,"Blank",
AND(_xlpm.missing=FALSE,ROWS(_xlpm.missing)=1),"Complete",
    ROWS(_xlpm.missing)&gt;0,_xlpm.missing_string,
    TRUE,"Error"
  )
)</f>
        <v>Blank</v>
      </c>
      <c r="B8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5" spans="1:2" x14ac:dyDescent="0.3">
      <c r="A885" s="2" t="str" cm="1">
        <f t="array" ref="A885">_xlfn.LET(
  _xlpm.key,_xlfn.TEXTSPLIT("Email,Org,IRN,Impact",","),
  _xlpm.complete,ISBLANK(H885:K885),
  _xlpm.missing,_xlfn._xlws.FILTER(_xlpm.key,_xlpm.complete,FALSE()),
  _xlpm.missing_string,"Missing: "&amp;_xlfn.TEXTJOIN(", ",TRUE,_xlpm.missing),
  _xlfn.IFS(
    COUNTA(C885:K885)=0,"Blank",
AND(_xlpm.missing=FALSE,ROWS(_xlpm.missing)=1),"Complete",
    ROWS(_xlpm.missing)&gt;0,_xlpm.missing_string,
    TRUE,"Error"
  )
)</f>
        <v>Blank</v>
      </c>
      <c r="B8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6" spans="1:2" x14ac:dyDescent="0.3">
      <c r="A886" s="2" t="str" cm="1">
        <f t="array" ref="A886">_xlfn.LET(
  _xlpm.key,_xlfn.TEXTSPLIT("Email,Org,IRN,Impact",","),
  _xlpm.complete,ISBLANK(H886:K886),
  _xlpm.missing,_xlfn._xlws.FILTER(_xlpm.key,_xlpm.complete,FALSE()),
  _xlpm.missing_string,"Missing: "&amp;_xlfn.TEXTJOIN(", ",TRUE,_xlpm.missing),
  _xlfn.IFS(
    COUNTA(C886:K886)=0,"Blank",
AND(_xlpm.missing=FALSE,ROWS(_xlpm.missing)=1),"Complete",
    ROWS(_xlpm.missing)&gt;0,_xlpm.missing_string,
    TRUE,"Error"
  )
)</f>
        <v>Blank</v>
      </c>
      <c r="B8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7" spans="1:2" x14ac:dyDescent="0.3">
      <c r="A887" s="2" t="str" cm="1">
        <f t="array" ref="A887">_xlfn.LET(
  _xlpm.key,_xlfn.TEXTSPLIT("Email,Org,IRN,Impact",","),
  _xlpm.complete,ISBLANK(H887:K887),
  _xlpm.missing,_xlfn._xlws.FILTER(_xlpm.key,_xlpm.complete,FALSE()),
  _xlpm.missing_string,"Missing: "&amp;_xlfn.TEXTJOIN(", ",TRUE,_xlpm.missing),
  _xlfn.IFS(
    COUNTA(C887:K887)=0,"Blank",
AND(_xlpm.missing=FALSE,ROWS(_xlpm.missing)=1),"Complete",
    ROWS(_xlpm.missing)&gt;0,_xlpm.missing_string,
    TRUE,"Error"
  )
)</f>
        <v>Blank</v>
      </c>
      <c r="B8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8" spans="1:2" x14ac:dyDescent="0.3">
      <c r="A888" s="2" t="str" cm="1">
        <f t="array" ref="A888">_xlfn.LET(
  _xlpm.key,_xlfn.TEXTSPLIT("Email,Org,IRN,Impact",","),
  _xlpm.complete,ISBLANK(H888:K888),
  _xlpm.missing,_xlfn._xlws.FILTER(_xlpm.key,_xlpm.complete,FALSE()),
  _xlpm.missing_string,"Missing: "&amp;_xlfn.TEXTJOIN(", ",TRUE,_xlpm.missing),
  _xlfn.IFS(
    COUNTA(C888:K888)=0,"Blank",
AND(_xlpm.missing=FALSE,ROWS(_xlpm.missing)=1),"Complete",
    ROWS(_xlpm.missing)&gt;0,_xlpm.missing_string,
    TRUE,"Error"
  )
)</f>
        <v>Blank</v>
      </c>
      <c r="B8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89" spans="1:2" x14ac:dyDescent="0.3">
      <c r="A889" s="2" t="str" cm="1">
        <f t="array" ref="A889">_xlfn.LET(
  _xlpm.key,_xlfn.TEXTSPLIT("Email,Org,IRN,Impact",","),
  _xlpm.complete,ISBLANK(H889:K889),
  _xlpm.missing,_xlfn._xlws.FILTER(_xlpm.key,_xlpm.complete,FALSE()),
  _xlpm.missing_string,"Missing: "&amp;_xlfn.TEXTJOIN(", ",TRUE,_xlpm.missing),
  _xlfn.IFS(
    COUNTA(C889:K889)=0,"Blank",
AND(_xlpm.missing=FALSE,ROWS(_xlpm.missing)=1),"Complete",
    ROWS(_xlpm.missing)&gt;0,_xlpm.missing_string,
    TRUE,"Error"
  )
)</f>
        <v>Blank</v>
      </c>
      <c r="B8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0" spans="1:2" x14ac:dyDescent="0.3">
      <c r="A890" s="2" t="str" cm="1">
        <f t="array" ref="A890">_xlfn.LET(
  _xlpm.key,_xlfn.TEXTSPLIT("Email,Org,IRN,Impact",","),
  _xlpm.complete,ISBLANK(H890:K890),
  _xlpm.missing,_xlfn._xlws.FILTER(_xlpm.key,_xlpm.complete,FALSE()),
  _xlpm.missing_string,"Missing: "&amp;_xlfn.TEXTJOIN(", ",TRUE,_xlpm.missing),
  _xlfn.IFS(
    COUNTA(C890:K890)=0,"Blank",
AND(_xlpm.missing=FALSE,ROWS(_xlpm.missing)=1),"Complete",
    ROWS(_xlpm.missing)&gt;0,_xlpm.missing_string,
    TRUE,"Error"
  )
)</f>
        <v>Blank</v>
      </c>
      <c r="B8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1" spans="1:2" x14ac:dyDescent="0.3">
      <c r="A891" s="2" t="str" cm="1">
        <f t="array" ref="A891">_xlfn.LET(
  _xlpm.key,_xlfn.TEXTSPLIT("Email,Org,IRN,Impact",","),
  _xlpm.complete,ISBLANK(H891:K891),
  _xlpm.missing,_xlfn._xlws.FILTER(_xlpm.key,_xlpm.complete,FALSE()),
  _xlpm.missing_string,"Missing: "&amp;_xlfn.TEXTJOIN(", ",TRUE,_xlpm.missing),
  _xlfn.IFS(
    COUNTA(C891:K891)=0,"Blank",
AND(_xlpm.missing=FALSE,ROWS(_xlpm.missing)=1),"Complete",
    ROWS(_xlpm.missing)&gt;0,_xlpm.missing_string,
    TRUE,"Error"
  )
)</f>
        <v>Blank</v>
      </c>
      <c r="B8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2" spans="1:2" x14ac:dyDescent="0.3">
      <c r="A892" s="2" t="str" cm="1">
        <f t="array" ref="A892">_xlfn.LET(
  _xlpm.key,_xlfn.TEXTSPLIT("Email,Org,IRN,Impact",","),
  _xlpm.complete,ISBLANK(H892:K892),
  _xlpm.missing,_xlfn._xlws.FILTER(_xlpm.key,_xlpm.complete,FALSE()),
  _xlpm.missing_string,"Missing: "&amp;_xlfn.TEXTJOIN(", ",TRUE,_xlpm.missing),
  _xlfn.IFS(
    COUNTA(C892:K892)=0,"Blank",
AND(_xlpm.missing=FALSE,ROWS(_xlpm.missing)=1),"Complete",
    ROWS(_xlpm.missing)&gt;0,_xlpm.missing_string,
    TRUE,"Error"
  )
)</f>
        <v>Blank</v>
      </c>
      <c r="B8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3" spans="1:2" x14ac:dyDescent="0.3">
      <c r="A893" s="2" t="str" cm="1">
        <f t="array" ref="A893">_xlfn.LET(
  _xlpm.key,_xlfn.TEXTSPLIT("Email,Org,IRN,Impact",","),
  _xlpm.complete,ISBLANK(H893:K893),
  _xlpm.missing,_xlfn._xlws.FILTER(_xlpm.key,_xlpm.complete,FALSE()),
  _xlpm.missing_string,"Missing: "&amp;_xlfn.TEXTJOIN(", ",TRUE,_xlpm.missing),
  _xlfn.IFS(
    COUNTA(C893:K893)=0,"Blank",
AND(_xlpm.missing=FALSE,ROWS(_xlpm.missing)=1),"Complete",
    ROWS(_xlpm.missing)&gt;0,_xlpm.missing_string,
    TRUE,"Error"
  )
)</f>
        <v>Blank</v>
      </c>
      <c r="B8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4" spans="1:2" x14ac:dyDescent="0.3">
      <c r="A894" s="2" t="str" cm="1">
        <f t="array" ref="A894">_xlfn.LET(
  _xlpm.key,_xlfn.TEXTSPLIT("Email,Org,IRN,Impact",","),
  _xlpm.complete,ISBLANK(H894:K894),
  _xlpm.missing,_xlfn._xlws.FILTER(_xlpm.key,_xlpm.complete,FALSE()),
  _xlpm.missing_string,"Missing: "&amp;_xlfn.TEXTJOIN(", ",TRUE,_xlpm.missing),
  _xlfn.IFS(
    COUNTA(C894:K894)=0,"Blank",
AND(_xlpm.missing=FALSE,ROWS(_xlpm.missing)=1),"Complete",
    ROWS(_xlpm.missing)&gt;0,_xlpm.missing_string,
    TRUE,"Error"
  )
)</f>
        <v>Blank</v>
      </c>
      <c r="B8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5" spans="1:2" x14ac:dyDescent="0.3">
      <c r="A895" s="2" t="str" cm="1">
        <f t="array" ref="A895">_xlfn.LET(
  _xlpm.key,_xlfn.TEXTSPLIT("Email,Org,IRN,Impact",","),
  _xlpm.complete,ISBLANK(H895:K895),
  _xlpm.missing,_xlfn._xlws.FILTER(_xlpm.key,_xlpm.complete,FALSE()),
  _xlpm.missing_string,"Missing: "&amp;_xlfn.TEXTJOIN(", ",TRUE,_xlpm.missing),
  _xlfn.IFS(
    COUNTA(C895:K895)=0,"Blank",
AND(_xlpm.missing=FALSE,ROWS(_xlpm.missing)=1),"Complete",
    ROWS(_xlpm.missing)&gt;0,_xlpm.missing_string,
    TRUE,"Error"
  )
)</f>
        <v>Blank</v>
      </c>
      <c r="B8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6" spans="1:2" x14ac:dyDescent="0.3">
      <c r="A896" s="2" t="str" cm="1">
        <f t="array" ref="A896">_xlfn.LET(
  _xlpm.key,_xlfn.TEXTSPLIT("Email,Org,IRN,Impact",","),
  _xlpm.complete,ISBLANK(H896:K896),
  _xlpm.missing,_xlfn._xlws.FILTER(_xlpm.key,_xlpm.complete,FALSE()),
  _xlpm.missing_string,"Missing: "&amp;_xlfn.TEXTJOIN(", ",TRUE,_xlpm.missing),
  _xlfn.IFS(
    COUNTA(C896:K896)=0,"Blank",
AND(_xlpm.missing=FALSE,ROWS(_xlpm.missing)=1),"Complete",
    ROWS(_xlpm.missing)&gt;0,_xlpm.missing_string,
    TRUE,"Error"
  )
)</f>
        <v>Blank</v>
      </c>
      <c r="B8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7" spans="1:2" x14ac:dyDescent="0.3">
      <c r="A897" s="2" t="str" cm="1">
        <f t="array" ref="A897">_xlfn.LET(
  _xlpm.key,_xlfn.TEXTSPLIT("Email,Org,IRN,Impact",","),
  _xlpm.complete,ISBLANK(H897:K897),
  _xlpm.missing,_xlfn._xlws.FILTER(_xlpm.key,_xlpm.complete,FALSE()),
  _xlpm.missing_string,"Missing: "&amp;_xlfn.TEXTJOIN(", ",TRUE,_xlpm.missing),
  _xlfn.IFS(
    COUNTA(C897:K897)=0,"Blank",
AND(_xlpm.missing=FALSE,ROWS(_xlpm.missing)=1),"Complete",
    ROWS(_xlpm.missing)&gt;0,_xlpm.missing_string,
    TRUE,"Error"
  )
)</f>
        <v>Blank</v>
      </c>
      <c r="B8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8" spans="1:2" x14ac:dyDescent="0.3">
      <c r="A898" s="2" t="str" cm="1">
        <f t="array" ref="A898">_xlfn.LET(
  _xlpm.key,_xlfn.TEXTSPLIT("Email,Org,IRN,Impact",","),
  _xlpm.complete,ISBLANK(H898:K898),
  _xlpm.missing,_xlfn._xlws.FILTER(_xlpm.key,_xlpm.complete,FALSE()),
  _xlpm.missing_string,"Missing: "&amp;_xlfn.TEXTJOIN(", ",TRUE,_xlpm.missing),
  _xlfn.IFS(
    COUNTA(C898:K898)=0,"Blank",
AND(_xlpm.missing=FALSE,ROWS(_xlpm.missing)=1),"Complete",
    ROWS(_xlpm.missing)&gt;0,_xlpm.missing_string,
    TRUE,"Error"
  )
)</f>
        <v>Blank</v>
      </c>
      <c r="B8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899" spans="1:2" x14ac:dyDescent="0.3">
      <c r="A899" s="2" t="str" cm="1">
        <f t="array" ref="A899">_xlfn.LET(
  _xlpm.key,_xlfn.TEXTSPLIT("Email,Org,IRN,Impact",","),
  _xlpm.complete,ISBLANK(H899:K899),
  _xlpm.missing,_xlfn._xlws.FILTER(_xlpm.key,_xlpm.complete,FALSE()),
  _xlpm.missing_string,"Missing: "&amp;_xlfn.TEXTJOIN(", ",TRUE,_xlpm.missing),
  _xlfn.IFS(
    COUNTA(C899:K899)=0,"Blank",
AND(_xlpm.missing=FALSE,ROWS(_xlpm.missing)=1),"Complete",
    ROWS(_xlpm.missing)&gt;0,_xlpm.missing_string,
    TRUE,"Error"
  )
)</f>
        <v>Blank</v>
      </c>
      <c r="B8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0" spans="1:2" x14ac:dyDescent="0.3">
      <c r="A900" s="2" t="str" cm="1">
        <f t="array" ref="A900">_xlfn.LET(
  _xlpm.key,_xlfn.TEXTSPLIT("Email,Org,IRN,Impact",","),
  _xlpm.complete,ISBLANK(H900:K900),
  _xlpm.missing,_xlfn._xlws.FILTER(_xlpm.key,_xlpm.complete,FALSE()),
  _xlpm.missing_string,"Missing: "&amp;_xlfn.TEXTJOIN(", ",TRUE,_xlpm.missing),
  _xlfn.IFS(
    COUNTA(C900:K900)=0,"Blank",
AND(_xlpm.missing=FALSE,ROWS(_xlpm.missing)=1),"Complete",
    ROWS(_xlpm.missing)&gt;0,_xlpm.missing_string,
    TRUE,"Error"
  )
)</f>
        <v>Blank</v>
      </c>
      <c r="B9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1" spans="1:2" x14ac:dyDescent="0.3">
      <c r="A901" s="2" t="str" cm="1">
        <f t="array" ref="A901">_xlfn.LET(
  _xlpm.key,_xlfn.TEXTSPLIT("Email,Org,IRN,Impact",","),
  _xlpm.complete,ISBLANK(H901:K901),
  _xlpm.missing,_xlfn._xlws.FILTER(_xlpm.key,_xlpm.complete,FALSE()),
  _xlpm.missing_string,"Missing: "&amp;_xlfn.TEXTJOIN(", ",TRUE,_xlpm.missing),
  _xlfn.IFS(
    COUNTA(C901:K901)=0,"Blank",
AND(_xlpm.missing=FALSE,ROWS(_xlpm.missing)=1),"Complete",
    ROWS(_xlpm.missing)&gt;0,_xlpm.missing_string,
    TRUE,"Error"
  )
)</f>
        <v>Blank</v>
      </c>
      <c r="B9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2" spans="1:2" x14ac:dyDescent="0.3">
      <c r="A902" s="2" t="str" cm="1">
        <f t="array" ref="A902">_xlfn.LET(
  _xlpm.key,_xlfn.TEXTSPLIT("Email,Org,IRN,Impact",","),
  _xlpm.complete,ISBLANK(H902:K902),
  _xlpm.missing,_xlfn._xlws.FILTER(_xlpm.key,_xlpm.complete,FALSE()),
  _xlpm.missing_string,"Missing: "&amp;_xlfn.TEXTJOIN(", ",TRUE,_xlpm.missing),
  _xlfn.IFS(
    COUNTA(C902:K902)=0,"Blank",
AND(_xlpm.missing=FALSE,ROWS(_xlpm.missing)=1),"Complete",
    ROWS(_xlpm.missing)&gt;0,_xlpm.missing_string,
    TRUE,"Error"
  )
)</f>
        <v>Blank</v>
      </c>
      <c r="B9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3" spans="1:2" x14ac:dyDescent="0.3">
      <c r="A903" s="2" t="str" cm="1">
        <f t="array" ref="A903">_xlfn.LET(
  _xlpm.key,_xlfn.TEXTSPLIT("Email,Org,IRN,Impact",","),
  _xlpm.complete,ISBLANK(H903:K903),
  _xlpm.missing,_xlfn._xlws.FILTER(_xlpm.key,_xlpm.complete,FALSE()),
  _xlpm.missing_string,"Missing: "&amp;_xlfn.TEXTJOIN(", ",TRUE,_xlpm.missing),
  _xlfn.IFS(
    COUNTA(C903:K903)=0,"Blank",
AND(_xlpm.missing=FALSE,ROWS(_xlpm.missing)=1),"Complete",
    ROWS(_xlpm.missing)&gt;0,_xlpm.missing_string,
    TRUE,"Error"
  )
)</f>
        <v>Blank</v>
      </c>
      <c r="B9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4" spans="1:2" x14ac:dyDescent="0.3">
      <c r="A904" s="2" t="str" cm="1">
        <f t="array" ref="A904">_xlfn.LET(
  _xlpm.key,_xlfn.TEXTSPLIT("Email,Org,IRN,Impact",","),
  _xlpm.complete,ISBLANK(H904:K904),
  _xlpm.missing,_xlfn._xlws.FILTER(_xlpm.key,_xlpm.complete,FALSE()),
  _xlpm.missing_string,"Missing: "&amp;_xlfn.TEXTJOIN(", ",TRUE,_xlpm.missing),
  _xlfn.IFS(
    COUNTA(C904:K904)=0,"Blank",
AND(_xlpm.missing=FALSE,ROWS(_xlpm.missing)=1),"Complete",
    ROWS(_xlpm.missing)&gt;0,_xlpm.missing_string,
    TRUE,"Error"
  )
)</f>
        <v>Blank</v>
      </c>
      <c r="B9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5" spans="1:2" x14ac:dyDescent="0.3">
      <c r="A905" s="2" t="str" cm="1">
        <f t="array" ref="A905">_xlfn.LET(
  _xlpm.key,_xlfn.TEXTSPLIT("Email,Org,IRN,Impact",","),
  _xlpm.complete,ISBLANK(H905:K905),
  _xlpm.missing,_xlfn._xlws.FILTER(_xlpm.key,_xlpm.complete,FALSE()),
  _xlpm.missing_string,"Missing: "&amp;_xlfn.TEXTJOIN(", ",TRUE,_xlpm.missing),
  _xlfn.IFS(
    COUNTA(C905:K905)=0,"Blank",
AND(_xlpm.missing=FALSE,ROWS(_xlpm.missing)=1),"Complete",
    ROWS(_xlpm.missing)&gt;0,_xlpm.missing_string,
    TRUE,"Error"
  )
)</f>
        <v>Blank</v>
      </c>
      <c r="B9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6" spans="1:2" x14ac:dyDescent="0.3">
      <c r="A906" s="2" t="str" cm="1">
        <f t="array" ref="A906">_xlfn.LET(
  _xlpm.key,_xlfn.TEXTSPLIT("Email,Org,IRN,Impact",","),
  _xlpm.complete,ISBLANK(H906:K906),
  _xlpm.missing,_xlfn._xlws.FILTER(_xlpm.key,_xlpm.complete,FALSE()),
  _xlpm.missing_string,"Missing: "&amp;_xlfn.TEXTJOIN(", ",TRUE,_xlpm.missing),
  _xlfn.IFS(
    COUNTA(C906:K906)=0,"Blank",
AND(_xlpm.missing=FALSE,ROWS(_xlpm.missing)=1),"Complete",
    ROWS(_xlpm.missing)&gt;0,_xlpm.missing_string,
    TRUE,"Error"
  )
)</f>
        <v>Blank</v>
      </c>
      <c r="B90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7" spans="1:2" x14ac:dyDescent="0.3">
      <c r="A907" s="2" t="str" cm="1">
        <f t="array" ref="A907">_xlfn.LET(
  _xlpm.key,_xlfn.TEXTSPLIT("Email,Org,IRN,Impact",","),
  _xlpm.complete,ISBLANK(H907:K907),
  _xlpm.missing,_xlfn._xlws.FILTER(_xlpm.key,_xlpm.complete,FALSE()),
  _xlpm.missing_string,"Missing: "&amp;_xlfn.TEXTJOIN(", ",TRUE,_xlpm.missing),
  _xlfn.IFS(
    COUNTA(C907:K907)=0,"Blank",
AND(_xlpm.missing=FALSE,ROWS(_xlpm.missing)=1),"Complete",
    ROWS(_xlpm.missing)&gt;0,_xlpm.missing_string,
    TRUE,"Error"
  )
)</f>
        <v>Blank</v>
      </c>
      <c r="B90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8" spans="1:2" x14ac:dyDescent="0.3">
      <c r="A908" s="2" t="str" cm="1">
        <f t="array" ref="A908">_xlfn.LET(
  _xlpm.key,_xlfn.TEXTSPLIT("Email,Org,IRN,Impact",","),
  _xlpm.complete,ISBLANK(H908:K908),
  _xlpm.missing,_xlfn._xlws.FILTER(_xlpm.key,_xlpm.complete,FALSE()),
  _xlpm.missing_string,"Missing: "&amp;_xlfn.TEXTJOIN(", ",TRUE,_xlpm.missing),
  _xlfn.IFS(
    COUNTA(C908:K908)=0,"Blank",
AND(_xlpm.missing=FALSE,ROWS(_xlpm.missing)=1),"Complete",
    ROWS(_xlpm.missing)&gt;0,_xlpm.missing_string,
    TRUE,"Error"
  )
)</f>
        <v>Blank</v>
      </c>
      <c r="B90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09" spans="1:2" x14ac:dyDescent="0.3">
      <c r="A909" s="2" t="str" cm="1">
        <f t="array" ref="A909">_xlfn.LET(
  _xlpm.key,_xlfn.TEXTSPLIT("Email,Org,IRN,Impact",","),
  _xlpm.complete,ISBLANK(H909:K909),
  _xlpm.missing,_xlfn._xlws.FILTER(_xlpm.key,_xlpm.complete,FALSE()),
  _xlpm.missing_string,"Missing: "&amp;_xlfn.TEXTJOIN(", ",TRUE,_xlpm.missing),
  _xlfn.IFS(
    COUNTA(C909:K909)=0,"Blank",
AND(_xlpm.missing=FALSE,ROWS(_xlpm.missing)=1),"Complete",
    ROWS(_xlpm.missing)&gt;0,_xlpm.missing_string,
    TRUE,"Error"
  )
)</f>
        <v>Blank</v>
      </c>
      <c r="B90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0" spans="1:2" x14ac:dyDescent="0.3">
      <c r="A910" s="2" t="str" cm="1">
        <f t="array" ref="A910">_xlfn.LET(
  _xlpm.key,_xlfn.TEXTSPLIT("Email,Org,IRN,Impact",","),
  _xlpm.complete,ISBLANK(H910:K910),
  _xlpm.missing,_xlfn._xlws.FILTER(_xlpm.key,_xlpm.complete,FALSE()),
  _xlpm.missing_string,"Missing: "&amp;_xlfn.TEXTJOIN(", ",TRUE,_xlpm.missing),
  _xlfn.IFS(
    COUNTA(C910:K910)=0,"Blank",
AND(_xlpm.missing=FALSE,ROWS(_xlpm.missing)=1),"Complete",
    ROWS(_xlpm.missing)&gt;0,_xlpm.missing_string,
    TRUE,"Error"
  )
)</f>
        <v>Blank</v>
      </c>
      <c r="B91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1" spans="1:2" x14ac:dyDescent="0.3">
      <c r="A911" s="2" t="str" cm="1">
        <f t="array" ref="A911">_xlfn.LET(
  _xlpm.key,_xlfn.TEXTSPLIT("Email,Org,IRN,Impact",","),
  _xlpm.complete,ISBLANK(H911:K911),
  _xlpm.missing,_xlfn._xlws.FILTER(_xlpm.key,_xlpm.complete,FALSE()),
  _xlpm.missing_string,"Missing: "&amp;_xlfn.TEXTJOIN(", ",TRUE,_xlpm.missing),
  _xlfn.IFS(
    COUNTA(C911:K911)=0,"Blank",
AND(_xlpm.missing=FALSE,ROWS(_xlpm.missing)=1),"Complete",
    ROWS(_xlpm.missing)&gt;0,_xlpm.missing_string,
    TRUE,"Error"
  )
)</f>
        <v>Blank</v>
      </c>
      <c r="B91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2" spans="1:2" x14ac:dyDescent="0.3">
      <c r="A912" s="2" t="str" cm="1">
        <f t="array" ref="A912">_xlfn.LET(
  _xlpm.key,_xlfn.TEXTSPLIT("Email,Org,IRN,Impact",","),
  _xlpm.complete,ISBLANK(H912:K912),
  _xlpm.missing,_xlfn._xlws.FILTER(_xlpm.key,_xlpm.complete,FALSE()),
  _xlpm.missing_string,"Missing: "&amp;_xlfn.TEXTJOIN(", ",TRUE,_xlpm.missing),
  _xlfn.IFS(
    COUNTA(C912:K912)=0,"Blank",
AND(_xlpm.missing=FALSE,ROWS(_xlpm.missing)=1),"Complete",
    ROWS(_xlpm.missing)&gt;0,_xlpm.missing_string,
    TRUE,"Error"
  )
)</f>
        <v>Blank</v>
      </c>
      <c r="B91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3" spans="1:2" x14ac:dyDescent="0.3">
      <c r="A913" s="2" t="str" cm="1">
        <f t="array" ref="A913">_xlfn.LET(
  _xlpm.key,_xlfn.TEXTSPLIT("Email,Org,IRN,Impact",","),
  _xlpm.complete,ISBLANK(H913:K913),
  _xlpm.missing,_xlfn._xlws.FILTER(_xlpm.key,_xlpm.complete,FALSE()),
  _xlpm.missing_string,"Missing: "&amp;_xlfn.TEXTJOIN(", ",TRUE,_xlpm.missing),
  _xlfn.IFS(
    COUNTA(C913:K913)=0,"Blank",
AND(_xlpm.missing=FALSE,ROWS(_xlpm.missing)=1),"Complete",
    ROWS(_xlpm.missing)&gt;0,_xlpm.missing_string,
    TRUE,"Error"
  )
)</f>
        <v>Blank</v>
      </c>
      <c r="B91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4" spans="1:2" x14ac:dyDescent="0.3">
      <c r="A914" s="2" t="str" cm="1">
        <f t="array" ref="A914">_xlfn.LET(
  _xlpm.key,_xlfn.TEXTSPLIT("Email,Org,IRN,Impact",","),
  _xlpm.complete,ISBLANK(H914:K914),
  _xlpm.missing,_xlfn._xlws.FILTER(_xlpm.key,_xlpm.complete,FALSE()),
  _xlpm.missing_string,"Missing: "&amp;_xlfn.TEXTJOIN(", ",TRUE,_xlpm.missing),
  _xlfn.IFS(
    COUNTA(C914:K914)=0,"Blank",
AND(_xlpm.missing=FALSE,ROWS(_xlpm.missing)=1),"Complete",
    ROWS(_xlpm.missing)&gt;0,_xlpm.missing_string,
    TRUE,"Error"
  )
)</f>
        <v>Blank</v>
      </c>
      <c r="B91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5" spans="1:2" x14ac:dyDescent="0.3">
      <c r="A915" s="2" t="str" cm="1">
        <f t="array" ref="A915">_xlfn.LET(
  _xlpm.key,_xlfn.TEXTSPLIT("Email,Org,IRN,Impact",","),
  _xlpm.complete,ISBLANK(H915:K915),
  _xlpm.missing,_xlfn._xlws.FILTER(_xlpm.key,_xlpm.complete,FALSE()),
  _xlpm.missing_string,"Missing: "&amp;_xlfn.TEXTJOIN(", ",TRUE,_xlpm.missing),
  _xlfn.IFS(
    COUNTA(C915:K915)=0,"Blank",
AND(_xlpm.missing=FALSE,ROWS(_xlpm.missing)=1),"Complete",
    ROWS(_xlpm.missing)&gt;0,_xlpm.missing_string,
    TRUE,"Error"
  )
)</f>
        <v>Blank</v>
      </c>
      <c r="B91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6" spans="1:2" x14ac:dyDescent="0.3">
      <c r="A916" s="2" t="str" cm="1">
        <f t="array" ref="A916">_xlfn.LET(
  _xlpm.key,_xlfn.TEXTSPLIT("Email,Org,IRN,Impact",","),
  _xlpm.complete,ISBLANK(H916:K916),
  _xlpm.missing,_xlfn._xlws.FILTER(_xlpm.key,_xlpm.complete,FALSE()),
  _xlpm.missing_string,"Missing: "&amp;_xlfn.TEXTJOIN(", ",TRUE,_xlpm.missing),
  _xlfn.IFS(
    COUNTA(C916:K916)=0,"Blank",
AND(_xlpm.missing=FALSE,ROWS(_xlpm.missing)=1),"Complete",
    ROWS(_xlpm.missing)&gt;0,_xlpm.missing_string,
    TRUE,"Error"
  )
)</f>
        <v>Blank</v>
      </c>
      <c r="B91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7" spans="1:2" x14ac:dyDescent="0.3">
      <c r="A917" s="2" t="str" cm="1">
        <f t="array" ref="A917">_xlfn.LET(
  _xlpm.key,_xlfn.TEXTSPLIT("Email,Org,IRN,Impact",","),
  _xlpm.complete,ISBLANK(H917:K917),
  _xlpm.missing,_xlfn._xlws.FILTER(_xlpm.key,_xlpm.complete,FALSE()),
  _xlpm.missing_string,"Missing: "&amp;_xlfn.TEXTJOIN(", ",TRUE,_xlpm.missing),
  _xlfn.IFS(
    COUNTA(C917:K917)=0,"Blank",
AND(_xlpm.missing=FALSE,ROWS(_xlpm.missing)=1),"Complete",
    ROWS(_xlpm.missing)&gt;0,_xlpm.missing_string,
    TRUE,"Error"
  )
)</f>
        <v>Blank</v>
      </c>
      <c r="B91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8" spans="1:2" x14ac:dyDescent="0.3">
      <c r="A918" s="2" t="str" cm="1">
        <f t="array" ref="A918">_xlfn.LET(
  _xlpm.key,_xlfn.TEXTSPLIT("Email,Org,IRN,Impact",","),
  _xlpm.complete,ISBLANK(H918:K918),
  _xlpm.missing,_xlfn._xlws.FILTER(_xlpm.key,_xlpm.complete,FALSE()),
  _xlpm.missing_string,"Missing: "&amp;_xlfn.TEXTJOIN(", ",TRUE,_xlpm.missing),
  _xlfn.IFS(
    COUNTA(C918:K918)=0,"Blank",
AND(_xlpm.missing=FALSE,ROWS(_xlpm.missing)=1),"Complete",
    ROWS(_xlpm.missing)&gt;0,_xlpm.missing_string,
    TRUE,"Error"
  )
)</f>
        <v>Blank</v>
      </c>
      <c r="B91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19" spans="1:2" x14ac:dyDescent="0.3">
      <c r="A919" s="2" t="str" cm="1">
        <f t="array" ref="A919">_xlfn.LET(
  _xlpm.key,_xlfn.TEXTSPLIT("Email,Org,IRN,Impact",","),
  _xlpm.complete,ISBLANK(H919:K919),
  _xlpm.missing,_xlfn._xlws.FILTER(_xlpm.key,_xlpm.complete,FALSE()),
  _xlpm.missing_string,"Missing: "&amp;_xlfn.TEXTJOIN(", ",TRUE,_xlpm.missing),
  _xlfn.IFS(
    COUNTA(C919:K919)=0,"Blank",
AND(_xlpm.missing=FALSE,ROWS(_xlpm.missing)=1),"Complete",
    ROWS(_xlpm.missing)&gt;0,_xlpm.missing_string,
    TRUE,"Error"
  )
)</f>
        <v>Blank</v>
      </c>
      <c r="B91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0" spans="1:2" x14ac:dyDescent="0.3">
      <c r="A920" s="2" t="str" cm="1">
        <f t="array" ref="A920">_xlfn.LET(
  _xlpm.key,_xlfn.TEXTSPLIT("Email,Org,IRN,Impact",","),
  _xlpm.complete,ISBLANK(H920:K920),
  _xlpm.missing,_xlfn._xlws.FILTER(_xlpm.key,_xlpm.complete,FALSE()),
  _xlpm.missing_string,"Missing: "&amp;_xlfn.TEXTJOIN(", ",TRUE,_xlpm.missing),
  _xlfn.IFS(
    COUNTA(C920:K920)=0,"Blank",
AND(_xlpm.missing=FALSE,ROWS(_xlpm.missing)=1),"Complete",
    ROWS(_xlpm.missing)&gt;0,_xlpm.missing_string,
    TRUE,"Error"
  )
)</f>
        <v>Blank</v>
      </c>
      <c r="B92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1" spans="1:2" x14ac:dyDescent="0.3">
      <c r="A921" s="2" t="str" cm="1">
        <f t="array" ref="A921">_xlfn.LET(
  _xlpm.key,_xlfn.TEXTSPLIT("Email,Org,IRN,Impact",","),
  _xlpm.complete,ISBLANK(H921:K921),
  _xlpm.missing,_xlfn._xlws.FILTER(_xlpm.key,_xlpm.complete,FALSE()),
  _xlpm.missing_string,"Missing: "&amp;_xlfn.TEXTJOIN(", ",TRUE,_xlpm.missing),
  _xlfn.IFS(
    COUNTA(C921:K921)=0,"Blank",
AND(_xlpm.missing=FALSE,ROWS(_xlpm.missing)=1),"Complete",
    ROWS(_xlpm.missing)&gt;0,_xlpm.missing_string,
    TRUE,"Error"
  )
)</f>
        <v>Blank</v>
      </c>
      <c r="B92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2" spans="1:2" x14ac:dyDescent="0.3">
      <c r="A922" s="2" t="str" cm="1">
        <f t="array" ref="A922">_xlfn.LET(
  _xlpm.key,_xlfn.TEXTSPLIT("Email,Org,IRN,Impact",","),
  _xlpm.complete,ISBLANK(H922:K922),
  _xlpm.missing,_xlfn._xlws.FILTER(_xlpm.key,_xlpm.complete,FALSE()),
  _xlpm.missing_string,"Missing: "&amp;_xlfn.TEXTJOIN(", ",TRUE,_xlpm.missing),
  _xlfn.IFS(
    COUNTA(C922:K922)=0,"Blank",
AND(_xlpm.missing=FALSE,ROWS(_xlpm.missing)=1),"Complete",
    ROWS(_xlpm.missing)&gt;0,_xlpm.missing_string,
    TRUE,"Error"
  )
)</f>
        <v>Blank</v>
      </c>
      <c r="B92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3" spans="1:2" x14ac:dyDescent="0.3">
      <c r="A923" s="2" t="str" cm="1">
        <f t="array" ref="A923">_xlfn.LET(
  _xlpm.key,_xlfn.TEXTSPLIT("Email,Org,IRN,Impact",","),
  _xlpm.complete,ISBLANK(H923:K923),
  _xlpm.missing,_xlfn._xlws.FILTER(_xlpm.key,_xlpm.complete,FALSE()),
  _xlpm.missing_string,"Missing: "&amp;_xlfn.TEXTJOIN(", ",TRUE,_xlpm.missing),
  _xlfn.IFS(
    COUNTA(C923:K923)=0,"Blank",
AND(_xlpm.missing=FALSE,ROWS(_xlpm.missing)=1),"Complete",
    ROWS(_xlpm.missing)&gt;0,_xlpm.missing_string,
    TRUE,"Error"
  )
)</f>
        <v>Blank</v>
      </c>
      <c r="B92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4" spans="1:2" x14ac:dyDescent="0.3">
      <c r="A924" s="2" t="str" cm="1">
        <f t="array" ref="A924">_xlfn.LET(
  _xlpm.key,_xlfn.TEXTSPLIT("Email,Org,IRN,Impact",","),
  _xlpm.complete,ISBLANK(H924:K924),
  _xlpm.missing,_xlfn._xlws.FILTER(_xlpm.key,_xlpm.complete,FALSE()),
  _xlpm.missing_string,"Missing: "&amp;_xlfn.TEXTJOIN(", ",TRUE,_xlpm.missing),
  _xlfn.IFS(
    COUNTA(C924:K924)=0,"Blank",
AND(_xlpm.missing=FALSE,ROWS(_xlpm.missing)=1),"Complete",
    ROWS(_xlpm.missing)&gt;0,_xlpm.missing_string,
    TRUE,"Error"
  )
)</f>
        <v>Blank</v>
      </c>
      <c r="B92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5" spans="1:2" x14ac:dyDescent="0.3">
      <c r="A925" s="2" t="str" cm="1">
        <f t="array" ref="A925">_xlfn.LET(
  _xlpm.key,_xlfn.TEXTSPLIT("Email,Org,IRN,Impact",","),
  _xlpm.complete,ISBLANK(H925:K925),
  _xlpm.missing,_xlfn._xlws.FILTER(_xlpm.key,_xlpm.complete,FALSE()),
  _xlpm.missing_string,"Missing: "&amp;_xlfn.TEXTJOIN(", ",TRUE,_xlpm.missing),
  _xlfn.IFS(
    COUNTA(C925:K925)=0,"Blank",
AND(_xlpm.missing=FALSE,ROWS(_xlpm.missing)=1),"Complete",
    ROWS(_xlpm.missing)&gt;0,_xlpm.missing_string,
    TRUE,"Error"
  )
)</f>
        <v>Blank</v>
      </c>
      <c r="B92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6" spans="1:2" x14ac:dyDescent="0.3">
      <c r="A926" s="2" t="str" cm="1">
        <f t="array" ref="A926">_xlfn.LET(
  _xlpm.key,_xlfn.TEXTSPLIT("Email,Org,IRN,Impact",","),
  _xlpm.complete,ISBLANK(H926:K926),
  _xlpm.missing,_xlfn._xlws.FILTER(_xlpm.key,_xlpm.complete,FALSE()),
  _xlpm.missing_string,"Missing: "&amp;_xlfn.TEXTJOIN(", ",TRUE,_xlpm.missing),
  _xlfn.IFS(
    COUNTA(C926:K926)=0,"Blank",
AND(_xlpm.missing=FALSE,ROWS(_xlpm.missing)=1),"Complete",
    ROWS(_xlpm.missing)&gt;0,_xlpm.missing_string,
    TRUE,"Error"
  )
)</f>
        <v>Blank</v>
      </c>
      <c r="B92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7" spans="1:2" x14ac:dyDescent="0.3">
      <c r="A927" s="2" t="str" cm="1">
        <f t="array" ref="A927">_xlfn.LET(
  _xlpm.key,_xlfn.TEXTSPLIT("Email,Org,IRN,Impact",","),
  _xlpm.complete,ISBLANK(H927:K927),
  _xlpm.missing,_xlfn._xlws.FILTER(_xlpm.key,_xlpm.complete,FALSE()),
  _xlpm.missing_string,"Missing: "&amp;_xlfn.TEXTJOIN(", ",TRUE,_xlpm.missing),
  _xlfn.IFS(
    COUNTA(C927:K927)=0,"Blank",
AND(_xlpm.missing=FALSE,ROWS(_xlpm.missing)=1),"Complete",
    ROWS(_xlpm.missing)&gt;0,_xlpm.missing_string,
    TRUE,"Error"
  )
)</f>
        <v>Blank</v>
      </c>
      <c r="B92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8" spans="1:2" x14ac:dyDescent="0.3">
      <c r="A928" s="2" t="str" cm="1">
        <f t="array" ref="A928">_xlfn.LET(
  _xlpm.key,_xlfn.TEXTSPLIT("Email,Org,IRN,Impact",","),
  _xlpm.complete,ISBLANK(H928:K928),
  _xlpm.missing,_xlfn._xlws.FILTER(_xlpm.key,_xlpm.complete,FALSE()),
  _xlpm.missing_string,"Missing: "&amp;_xlfn.TEXTJOIN(", ",TRUE,_xlpm.missing),
  _xlfn.IFS(
    COUNTA(C928:K928)=0,"Blank",
AND(_xlpm.missing=FALSE,ROWS(_xlpm.missing)=1),"Complete",
    ROWS(_xlpm.missing)&gt;0,_xlpm.missing_string,
    TRUE,"Error"
  )
)</f>
        <v>Blank</v>
      </c>
      <c r="B92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29" spans="1:2" x14ac:dyDescent="0.3">
      <c r="A929" s="2" t="str" cm="1">
        <f t="array" ref="A929">_xlfn.LET(
  _xlpm.key,_xlfn.TEXTSPLIT("Email,Org,IRN,Impact",","),
  _xlpm.complete,ISBLANK(H929:K929),
  _xlpm.missing,_xlfn._xlws.FILTER(_xlpm.key,_xlpm.complete,FALSE()),
  _xlpm.missing_string,"Missing: "&amp;_xlfn.TEXTJOIN(", ",TRUE,_xlpm.missing),
  _xlfn.IFS(
    COUNTA(C929:K929)=0,"Blank",
AND(_xlpm.missing=FALSE,ROWS(_xlpm.missing)=1),"Complete",
    ROWS(_xlpm.missing)&gt;0,_xlpm.missing_string,
    TRUE,"Error"
  )
)</f>
        <v>Blank</v>
      </c>
      <c r="B92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0" spans="1:2" x14ac:dyDescent="0.3">
      <c r="A930" s="2" t="str" cm="1">
        <f t="array" ref="A930">_xlfn.LET(
  _xlpm.key,_xlfn.TEXTSPLIT("Email,Org,IRN,Impact",","),
  _xlpm.complete,ISBLANK(H930:K930),
  _xlpm.missing,_xlfn._xlws.FILTER(_xlpm.key,_xlpm.complete,FALSE()),
  _xlpm.missing_string,"Missing: "&amp;_xlfn.TEXTJOIN(", ",TRUE,_xlpm.missing),
  _xlfn.IFS(
    COUNTA(C930:K930)=0,"Blank",
AND(_xlpm.missing=FALSE,ROWS(_xlpm.missing)=1),"Complete",
    ROWS(_xlpm.missing)&gt;0,_xlpm.missing_string,
    TRUE,"Error"
  )
)</f>
        <v>Blank</v>
      </c>
      <c r="B93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1" spans="1:2" x14ac:dyDescent="0.3">
      <c r="A931" s="2" t="str" cm="1">
        <f t="array" ref="A931">_xlfn.LET(
  _xlpm.key,_xlfn.TEXTSPLIT("Email,Org,IRN,Impact",","),
  _xlpm.complete,ISBLANK(H931:K931),
  _xlpm.missing,_xlfn._xlws.FILTER(_xlpm.key,_xlpm.complete,FALSE()),
  _xlpm.missing_string,"Missing: "&amp;_xlfn.TEXTJOIN(", ",TRUE,_xlpm.missing),
  _xlfn.IFS(
    COUNTA(C931:K931)=0,"Blank",
AND(_xlpm.missing=FALSE,ROWS(_xlpm.missing)=1),"Complete",
    ROWS(_xlpm.missing)&gt;0,_xlpm.missing_string,
    TRUE,"Error"
  )
)</f>
        <v>Blank</v>
      </c>
      <c r="B93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2" spans="1:2" x14ac:dyDescent="0.3">
      <c r="A932" s="2" t="str" cm="1">
        <f t="array" ref="A932">_xlfn.LET(
  _xlpm.key,_xlfn.TEXTSPLIT("Email,Org,IRN,Impact",","),
  _xlpm.complete,ISBLANK(H932:K932),
  _xlpm.missing,_xlfn._xlws.FILTER(_xlpm.key,_xlpm.complete,FALSE()),
  _xlpm.missing_string,"Missing: "&amp;_xlfn.TEXTJOIN(", ",TRUE,_xlpm.missing),
  _xlfn.IFS(
    COUNTA(C932:K932)=0,"Blank",
AND(_xlpm.missing=FALSE,ROWS(_xlpm.missing)=1),"Complete",
    ROWS(_xlpm.missing)&gt;0,_xlpm.missing_string,
    TRUE,"Error"
  )
)</f>
        <v>Blank</v>
      </c>
      <c r="B93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3" spans="1:2" x14ac:dyDescent="0.3">
      <c r="A933" s="2" t="str" cm="1">
        <f t="array" ref="A933">_xlfn.LET(
  _xlpm.key,_xlfn.TEXTSPLIT("Email,Org,IRN,Impact",","),
  _xlpm.complete,ISBLANK(H933:K933),
  _xlpm.missing,_xlfn._xlws.FILTER(_xlpm.key,_xlpm.complete,FALSE()),
  _xlpm.missing_string,"Missing: "&amp;_xlfn.TEXTJOIN(", ",TRUE,_xlpm.missing),
  _xlfn.IFS(
    COUNTA(C933:K933)=0,"Blank",
AND(_xlpm.missing=FALSE,ROWS(_xlpm.missing)=1),"Complete",
    ROWS(_xlpm.missing)&gt;0,_xlpm.missing_string,
    TRUE,"Error"
  )
)</f>
        <v>Blank</v>
      </c>
      <c r="B93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4" spans="1:2" x14ac:dyDescent="0.3">
      <c r="A934" s="2" t="str" cm="1">
        <f t="array" ref="A934">_xlfn.LET(
  _xlpm.key,_xlfn.TEXTSPLIT("Email,Org,IRN,Impact",","),
  _xlpm.complete,ISBLANK(H934:K934),
  _xlpm.missing,_xlfn._xlws.FILTER(_xlpm.key,_xlpm.complete,FALSE()),
  _xlpm.missing_string,"Missing: "&amp;_xlfn.TEXTJOIN(", ",TRUE,_xlpm.missing),
  _xlfn.IFS(
    COUNTA(C934:K934)=0,"Blank",
AND(_xlpm.missing=FALSE,ROWS(_xlpm.missing)=1),"Complete",
    ROWS(_xlpm.missing)&gt;0,_xlpm.missing_string,
    TRUE,"Error"
  )
)</f>
        <v>Blank</v>
      </c>
      <c r="B93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5" spans="1:2" x14ac:dyDescent="0.3">
      <c r="A935" s="2" t="str" cm="1">
        <f t="array" ref="A935">_xlfn.LET(
  _xlpm.key,_xlfn.TEXTSPLIT("Email,Org,IRN,Impact",","),
  _xlpm.complete,ISBLANK(H935:K935),
  _xlpm.missing,_xlfn._xlws.FILTER(_xlpm.key,_xlpm.complete,FALSE()),
  _xlpm.missing_string,"Missing: "&amp;_xlfn.TEXTJOIN(", ",TRUE,_xlpm.missing),
  _xlfn.IFS(
    COUNTA(C935:K935)=0,"Blank",
AND(_xlpm.missing=FALSE,ROWS(_xlpm.missing)=1),"Complete",
    ROWS(_xlpm.missing)&gt;0,_xlpm.missing_string,
    TRUE,"Error"
  )
)</f>
        <v>Blank</v>
      </c>
      <c r="B93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6" spans="1:2" x14ac:dyDescent="0.3">
      <c r="A936" s="2" t="str" cm="1">
        <f t="array" ref="A936">_xlfn.LET(
  _xlpm.key,_xlfn.TEXTSPLIT("Email,Org,IRN,Impact",","),
  _xlpm.complete,ISBLANK(H936:K936),
  _xlpm.missing,_xlfn._xlws.FILTER(_xlpm.key,_xlpm.complete,FALSE()),
  _xlpm.missing_string,"Missing: "&amp;_xlfn.TEXTJOIN(", ",TRUE,_xlpm.missing),
  _xlfn.IFS(
    COUNTA(C936:K936)=0,"Blank",
AND(_xlpm.missing=FALSE,ROWS(_xlpm.missing)=1),"Complete",
    ROWS(_xlpm.missing)&gt;0,_xlpm.missing_string,
    TRUE,"Error"
  )
)</f>
        <v>Blank</v>
      </c>
      <c r="B93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7" spans="1:2" x14ac:dyDescent="0.3">
      <c r="A937" s="2" t="str" cm="1">
        <f t="array" ref="A937">_xlfn.LET(
  _xlpm.key,_xlfn.TEXTSPLIT("Email,Org,IRN,Impact",","),
  _xlpm.complete,ISBLANK(H937:K937),
  _xlpm.missing,_xlfn._xlws.FILTER(_xlpm.key,_xlpm.complete,FALSE()),
  _xlpm.missing_string,"Missing: "&amp;_xlfn.TEXTJOIN(", ",TRUE,_xlpm.missing),
  _xlfn.IFS(
    COUNTA(C937:K937)=0,"Blank",
AND(_xlpm.missing=FALSE,ROWS(_xlpm.missing)=1),"Complete",
    ROWS(_xlpm.missing)&gt;0,_xlpm.missing_string,
    TRUE,"Error"
  )
)</f>
        <v>Blank</v>
      </c>
      <c r="B93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8" spans="1:2" x14ac:dyDescent="0.3">
      <c r="A938" s="2" t="str" cm="1">
        <f t="array" ref="A938">_xlfn.LET(
  _xlpm.key,_xlfn.TEXTSPLIT("Email,Org,IRN,Impact",","),
  _xlpm.complete,ISBLANK(H938:K938),
  _xlpm.missing,_xlfn._xlws.FILTER(_xlpm.key,_xlpm.complete,FALSE()),
  _xlpm.missing_string,"Missing: "&amp;_xlfn.TEXTJOIN(", ",TRUE,_xlpm.missing),
  _xlfn.IFS(
    COUNTA(C938:K938)=0,"Blank",
AND(_xlpm.missing=FALSE,ROWS(_xlpm.missing)=1),"Complete",
    ROWS(_xlpm.missing)&gt;0,_xlpm.missing_string,
    TRUE,"Error"
  )
)</f>
        <v>Blank</v>
      </c>
      <c r="B93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39" spans="1:2" x14ac:dyDescent="0.3">
      <c r="A939" s="2" t="str" cm="1">
        <f t="array" ref="A939">_xlfn.LET(
  _xlpm.key,_xlfn.TEXTSPLIT("Email,Org,IRN,Impact",","),
  _xlpm.complete,ISBLANK(H939:K939),
  _xlpm.missing,_xlfn._xlws.FILTER(_xlpm.key,_xlpm.complete,FALSE()),
  _xlpm.missing_string,"Missing: "&amp;_xlfn.TEXTJOIN(", ",TRUE,_xlpm.missing),
  _xlfn.IFS(
    COUNTA(C939:K939)=0,"Blank",
AND(_xlpm.missing=FALSE,ROWS(_xlpm.missing)=1),"Complete",
    ROWS(_xlpm.missing)&gt;0,_xlpm.missing_string,
    TRUE,"Error"
  )
)</f>
        <v>Blank</v>
      </c>
      <c r="B93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0" spans="1:2" x14ac:dyDescent="0.3">
      <c r="A940" s="2" t="str" cm="1">
        <f t="array" ref="A940">_xlfn.LET(
  _xlpm.key,_xlfn.TEXTSPLIT("Email,Org,IRN,Impact",","),
  _xlpm.complete,ISBLANK(H940:K940),
  _xlpm.missing,_xlfn._xlws.FILTER(_xlpm.key,_xlpm.complete,FALSE()),
  _xlpm.missing_string,"Missing: "&amp;_xlfn.TEXTJOIN(", ",TRUE,_xlpm.missing),
  _xlfn.IFS(
    COUNTA(C940:K940)=0,"Blank",
AND(_xlpm.missing=FALSE,ROWS(_xlpm.missing)=1),"Complete",
    ROWS(_xlpm.missing)&gt;0,_xlpm.missing_string,
    TRUE,"Error"
  )
)</f>
        <v>Blank</v>
      </c>
      <c r="B94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1" spans="1:2" x14ac:dyDescent="0.3">
      <c r="A941" s="2" t="str" cm="1">
        <f t="array" ref="A941">_xlfn.LET(
  _xlpm.key,_xlfn.TEXTSPLIT("Email,Org,IRN,Impact",","),
  _xlpm.complete,ISBLANK(H941:K941),
  _xlpm.missing,_xlfn._xlws.FILTER(_xlpm.key,_xlpm.complete,FALSE()),
  _xlpm.missing_string,"Missing: "&amp;_xlfn.TEXTJOIN(", ",TRUE,_xlpm.missing),
  _xlfn.IFS(
    COUNTA(C941:K941)=0,"Blank",
AND(_xlpm.missing=FALSE,ROWS(_xlpm.missing)=1),"Complete",
    ROWS(_xlpm.missing)&gt;0,_xlpm.missing_string,
    TRUE,"Error"
  )
)</f>
        <v>Blank</v>
      </c>
      <c r="B94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2" spans="1:2" x14ac:dyDescent="0.3">
      <c r="A942" s="2" t="str" cm="1">
        <f t="array" ref="A942">_xlfn.LET(
  _xlpm.key,_xlfn.TEXTSPLIT("Email,Org,IRN,Impact",","),
  _xlpm.complete,ISBLANK(H942:K942),
  _xlpm.missing,_xlfn._xlws.FILTER(_xlpm.key,_xlpm.complete,FALSE()),
  _xlpm.missing_string,"Missing: "&amp;_xlfn.TEXTJOIN(", ",TRUE,_xlpm.missing),
  _xlfn.IFS(
    COUNTA(C942:K942)=0,"Blank",
AND(_xlpm.missing=FALSE,ROWS(_xlpm.missing)=1),"Complete",
    ROWS(_xlpm.missing)&gt;0,_xlpm.missing_string,
    TRUE,"Error"
  )
)</f>
        <v>Blank</v>
      </c>
      <c r="B94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3" spans="1:2" x14ac:dyDescent="0.3">
      <c r="A943" s="2" t="str" cm="1">
        <f t="array" ref="A943">_xlfn.LET(
  _xlpm.key,_xlfn.TEXTSPLIT("Email,Org,IRN,Impact",","),
  _xlpm.complete,ISBLANK(H943:K943),
  _xlpm.missing,_xlfn._xlws.FILTER(_xlpm.key,_xlpm.complete,FALSE()),
  _xlpm.missing_string,"Missing: "&amp;_xlfn.TEXTJOIN(", ",TRUE,_xlpm.missing),
  _xlfn.IFS(
    COUNTA(C943:K943)=0,"Blank",
AND(_xlpm.missing=FALSE,ROWS(_xlpm.missing)=1),"Complete",
    ROWS(_xlpm.missing)&gt;0,_xlpm.missing_string,
    TRUE,"Error"
  )
)</f>
        <v>Blank</v>
      </c>
      <c r="B94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4" spans="1:2" x14ac:dyDescent="0.3">
      <c r="A944" s="2" t="str" cm="1">
        <f t="array" ref="A944">_xlfn.LET(
  _xlpm.key,_xlfn.TEXTSPLIT("Email,Org,IRN,Impact",","),
  _xlpm.complete,ISBLANK(H944:K944),
  _xlpm.missing,_xlfn._xlws.FILTER(_xlpm.key,_xlpm.complete,FALSE()),
  _xlpm.missing_string,"Missing: "&amp;_xlfn.TEXTJOIN(", ",TRUE,_xlpm.missing),
  _xlfn.IFS(
    COUNTA(C944:K944)=0,"Blank",
AND(_xlpm.missing=FALSE,ROWS(_xlpm.missing)=1),"Complete",
    ROWS(_xlpm.missing)&gt;0,_xlpm.missing_string,
    TRUE,"Error"
  )
)</f>
        <v>Blank</v>
      </c>
      <c r="B94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5" spans="1:2" x14ac:dyDescent="0.3">
      <c r="A945" s="2" t="str" cm="1">
        <f t="array" ref="A945">_xlfn.LET(
  _xlpm.key,_xlfn.TEXTSPLIT("Email,Org,IRN,Impact",","),
  _xlpm.complete,ISBLANK(H945:K945),
  _xlpm.missing,_xlfn._xlws.FILTER(_xlpm.key,_xlpm.complete,FALSE()),
  _xlpm.missing_string,"Missing: "&amp;_xlfn.TEXTJOIN(", ",TRUE,_xlpm.missing),
  _xlfn.IFS(
    COUNTA(C945:K945)=0,"Blank",
AND(_xlpm.missing=FALSE,ROWS(_xlpm.missing)=1),"Complete",
    ROWS(_xlpm.missing)&gt;0,_xlpm.missing_string,
    TRUE,"Error"
  )
)</f>
        <v>Blank</v>
      </c>
      <c r="B94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6" spans="1:2" x14ac:dyDescent="0.3">
      <c r="A946" s="2" t="str" cm="1">
        <f t="array" ref="A946">_xlfn.LET(
  _xlpm.key,_xlfn.TEXTSPLIT("Email,Org,IRN,Impact",","),
  _xlpm.complete,ISBLANK(H946:K946),
  _xlpm.missing,_xlfn._xlws.FILTER(_xlpm.key,_xlpm.complete,FALSE()),
  _xlpm.missing_string,"Missing: "&amp;_xlfn.TEXTJOIN(", ",TRUE,_xlpm.missing),
  _xlfn.IFS(
    COUNTA(C946:K946)=0,"Blank",
AND(_xlpm.missing=FALSE,ROWS(_xlpm.missing)=1),"Complete",
    ROWS(_xlpm.missing)&gt;0,_xlpm.missing_string,
    TRUE,"Error"
  )
)</f>
        <v>Blank</v>
      </c>
      <c r="B94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7" spans="1:2" x14ac:dyDescent="0.3">
      <c r="A947" s="2" t="str" cm="1">
        <f t="array" ref="A947">_xlfn.LET(
  _xlpm.key,_xlfn.TEXTSPLIT("Email,Org,IRN,Impact",","),
  _xlpm.complete,ISBLANK(H947:K947),
  _xlpm.missing,_xlfn._xlws.FILTER(_xlpm.key,_xlpm.complete,FALSE()),
  _xlpm.missing_string,"Missing: "&amp;_xlfn.TEXTJOIN(", ",TRUE,_xlpm.missing),
  _xlfn.IFS(
    COUNTA(C947:K947)=0,"Blank",
AND(_xlpm.missing=FALSE,ROWS(_xlpm.missing)=1),"Complete",
    ROWS(_xlpm.missing)&gt;0,_xlpm.missing_string,
    TRUE,"Error"
  )
)</f>
        <v>Blank</v>
      </c>
      <c r="B94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8" spans="1:2" x14ac:dyDescent="0.3">
      <c r="A948" s="2" t="str" cm="1">
        <f t="array" ref="A948">_xlfn.LET(
  _xlpm.key,_xlfn.TEXTSPLIT("Email,Org,IRN,Impact",","),
  _xlpm.complete,ISBLANK(H948:K948),
  _xlpm.missing,_xlfn._xlws.FILTER(_xlpm.key,_xlpm.complete,FALSE()),
  _xlpm.missing_string,"Missing: "&amp;_xlfn.TEXTJOIN(", ",TRUE,_xlpm.missing),
  _xlfn.IFS(
    COUNTA(C948:K948)=0,"Blank",
AND(_xlpm.missing=FALSE,ROWS(_xlpm.missing)=1),"Complete",
    ROWS(_xlpm.missing)&gt;0,_xlpm.missing_string,
    TRUE,"Error"
  )
)</f>
        <v>Blank</v>
      </c>
      <c r="B94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49" spans="1:2" x14ac:dyDescent="0.3">
      <c r="A949" s="2" t="str" cm="1">
        <f t="array" ref="A949">_xlfn.LET(
  _xlpm.key,_xlfn.TEXTSPLIT("Email,Org,IRN,Impact",","),
  _xlpm.complete,ISBLANK(H949:K949),
  _xlpm.missing,_xlfn._xlws.FILTER(_xlpm.key,_xlpm.complete,FALSE()),
  _xlpm.missing_string,"Missing: "&amp;_xlfn.TEXTJOIN(", ",TRUE,_xlpm.missing),
  _xlfn.IFS(
    COUNTA(C949:K949)=0,"Blank",
AND(_xlpm.missing=FALSE,ROWS(_xlpm.missing)=1),"Complete",
    ROWS(_xlpm.missing)&gt;0,_xlpm.missing_string,
    TRUE,"Error"
  )
)</f>
        <v>Blank</v>
      </c>
      <c r="B94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0" spans="1:2" x14ac:dyDescent="0.3">
      <c r="A950" s="2" t="str" cm="1">
        <f t="array" ref="A950">_xlfn.LET(
  _xlpm.key,_xlfn.TEXTSPLIT("Email,Org,IRN,Impact",","),
  _xlpm.complete,ISBLANK(H950:K950),
  _xlpm.missing,_xlfn._xlws.FILTER(_xlpm.key,_xlpm.complete,FALSE()),
  _xlpm.missing_string,"Missing: "&amp;_xlfn.TEXTJOIN(", ",TRUE,_xlpm.missing),
  _xlfn.IFS(
    COUNTA(C950:K950)=0,"Blank",
AND(_xlpm.missing=FALSE,ROWS(_xlpm.missing)=1),"Complete",
    ROWS(_xlpm.missing)&gt;0,_xlpm.missing_string,
    TRUE,"Error"
  )
)</f>
        <v>Blank</v>
      </c>
      <c r="B95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1" spans="1:2" x14ac:dyDescent="0.3">
      <c r="A951" s="2" t="str" cm="1">
        <f t="array" ref="A951">_xlfn.LET(
  _xlpm.key,_xlfn.TEXTSPLIT("Email,Org,IRN,Impact",","),
  _xlpm.complete,ISBLANK(H951:K951),
  _xlpm.missing,_xlfn._xlws.FILTER(_xlpm.key,_xlpm.complete,FALSE()),
  _xlpm.missing_string,"Missing: "&amp;_xlfn.TEXTJOIN(", ",TRUE,_xlpm.missing),
  _xlfn.IFS(
    COUNTA(C951:K951)=0,"Blank",
AND(_xlpm.missing=FALSE,ROWS(_xlpm.missing)=1),"Complete",
    ROWS(_xlpm.missing)&gt;0,_xlpm.missing_string,
    TRUE,"Error"
  )
)</f>
        <v>Blank</v>
      </c>
      <c r="B95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2" spans="1:2" x14ac:dyDescent="0.3">
      <c r="A952" s="2" t="str" cm="1">
        <f t="array" ref="A952">_xlfn.LET(
  _xlpm.key,_xlfn.TEXTSPLIT("Email,Org,IRN,Impact",","),
  _xlpm.complete,ISBLANK(H952:K952),
  _xlpm.missing,_xlfn._xlws.FILTER(_xlpm.key,_xlpm.complete,FALSE()),
  _xlpm.missing_string,"Missing: "&amp;_xlfn.TEXTJOIN(", ",TRUE,_xlpm.missing),
  _xlfn.IFS(
    COUNTA(C952:K952)=0,"Blank",
AND(_xlpm.missing=FALSE,ROWS(_xlpm.missing)=1),"Complete",
    ROWS(_xlpm.missing)&gt;0,_xlpm.missing_string,
    TRUE,"Error"
  )
)</f>
        <v>Blank</v>
      </c>
      <c r="B95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3" spans="1:2" x14ac:dyDescent="0.3">
      <c r="A953" s="2" t="str" cm="1">
        <f t="array" ref="A953">_xlfn.LET(
  _xlpm.key,_xlfn.TEXTSPLIT("Email,Org,IRN,Impact",","),
  _xlpm.complete,ISBLANK(H953:K953),
  _xlpm.missing,_xlfn._xlws.FILTER(_xlpm.key,_xlpm.complete,FALSE()),
  _xlpm.missing_string,"Missing: "&amp;_xlfn.TEXTJOIN(", ",TRUE,_xlpm.missing),
  _xlfn.IFS(
    COUNTA(C953:K953)=0,"Blank",
AND(_xlpm.missing=FALSE,ROWS(_xlpm.missing)=1),"Complete",
    ROWS(_xlpm.missing)&gt;0,_xlpm.missing_string,
    TRUE,"Error"
  )
)</f>
        <v>Blank</v>
      </c>
      <c r="B95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4" spans="1:2" x14ac:dyDescent="0.3">
      <c r="A954" s="2" t="str" cm="1">
        <f t="array" ref="A954">_xlfn.LET(
  _xlpm.key,_xlfn.TEXTSPLIT("Email,Org,IRN,Impact",","),
  _xlpm.complete,ISBLANK(H954:K954),
  _xlpm.missing,_xlfn._xlws.FILTER(_xlpm.key,_xlpm.complete,FALSE()),
  _xlpm.missing_string,"Missing: "&amp;_xlfn.TEXTJOIN(", ",TRUE,_xlpm.missing),
  _xlfn.IFS(
    COUNTA(C954:K954)=0,"Blank",
AND(_xlpm.missing=FALSE,ROWS(_xlpm.missing)=1),"Complete",
    ROWS(_xlpm.missing)&gt;0,_xlpm.missing_string,
    TRUE,"Error"
  )
)</f>
        <v>Blank</v>
      </c>
      <c r="B95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5" spans="1:2" x14ac:dyDescent="0.3">
      <c r="A955" s="2" t="str" cm="1">
        <f t="array" ref="A955">_xlfn.LET(
  _xlpm.key,_xlfn.TEXTSPLIT("Email,Org,IRN,Impact",","),
  _xlpm.complete,ISBLANK(H955:K955),
  _xlpm.missing,_xlfn._xlws.FILTER(_xlpm.key,_xlpm.complete,FALSE()),
  _xlpm.missing_string,"Missing: "&amp;_xlfn.TEXTJOIN(", ",TRUE,_xlpm.missing),
  _xlfn.IFS(
    COUNTA(C955:K955)=0,"Blank",
AND(_xlpm.missing=FALSE,ROWS(_xlpm.missing)=1),"Complete",
    ROWS(_xlpm.missing)&gt;0,_xlpm.missing_string,
    TRUE,"Error"
  )
)</f>
        <v>Blank</v>
      </c>
      <c r="B95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6" spans="1:2" x14ac:dyDescent="0.3">
      <c r="A956" s="2" t="str" cm="1">
        <f t="array" ref="A956">_xlfn.LET(
  _xlpm.key,_xlfn.TEXTSPLIT("Email,Org,IRN,Impact",","),
  _xlpm.complete,ISBLANK(H956:K956),
  _xlpm.missing,_xlfn._xlws.FILTER(_xlpm.key,_xlpm.complete,FALSE()),
  _xlpm.missing_string,"Missing: "&amp;_xlfn.TEXTJOIN(", ",TRUE,_xlpm.missing),
  _xlfn.IFS(
    COUNTA(C956:K956)=0,"Blank",
AND(_xlpm.missing=FALSE,ROWS(_xlpm.missing)=1),"Complete",
    ROWS(_xlpm.missing)&gt;0,_xlpm.missing_string,
    TRUE,"Error"
  )
)</f>
        <v>Blank</v>
      </c>
      <c r="B95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7" spans="1:2" x14ac:dyDescent="0.3">
      <c r="A957" s="2" t="str" cm="1">
        <f t="array" ref="A957">_xlfn.LET(
  _xlpm.key,_xlfn.TEXTSPLIT("Email,Org,IRN,Impact",","),
  _xlpm.complete,ISBLANK(H957:K957),
  _xlpm.missing,_xlfn._xlws.FILTER(_xlpm.key,_xlpm.complete,FALSE()),
  _xlpm.missing_string,"Missing: "&amp;_xlfn.TEXTJOIN(", ",TRUE,_xlpm.missing),
  _xlfn.IFS(
    COUNTA(C957:K957)=0,"Blank",
AND(_xlpm.missing=FALSE,ROWS(_xlpm.missing)=1),"Complete",
    ROWS(_xlpm.missing)&gt;0,_xlpm.missing_string,
    TRUE,"Error"
  )
)</f>
        <v>Blank</v>
      </c>
      <c r="B95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8" spans="1:2" x14ac:dyDescent="0.3">
      <c r="A958" s="2" t="str" cm="1">
        <f t="array" ref="A958">_xlfn.LET(
  _xlpm.key,_xlfn.TEXTSPLIT("Email,Org,IRN,Impact",","),
  _xlpm.complete,ISBLANK(H958:K958),
  _xlpm.missing,_xlfn._xlws.FILTER(_xlpm.key,_xlpm.complete,FALSE()),
  _xlpm.missing_string,"Missing: "&amp;_xlfn.TEXTJOIN(", ",TRUE,_xlpm.missing),
  _xlfn.IFS(
    COUNTA(C958:K958)=0,"Blank",
AND(_xlpm.missing=FALSE,ROWS(_xlpm.missing)=1),"Complete",
    ROWS(_xlpm.missing)&gt;0,_xlpm.missing_string,
    TRUE,"Error"
  )
)</f>
        <v>Blank</v>
      </c>
      <c r="B95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59" spans="1:2" x14ac:dyDescent="0.3">
      <c r="A959" s="2" t="str" cm="1">
        <f t="array" ref="A959">_xlfn.LET(
  _xlpm.key,_xlfn.TEXTSPLIT("Email,Org,IRN,Impact",","),
  _xlpm.complete,ISBLANK(H959:K959),
  _xlpm.missing,_xlfn._xlws.FILTER(_xlpm.key,_xlpm.complete,FALSE()),
  _xlpm.missing_string,"Missing: "&amp;_xlfn.TEXTJOIN(", ",TRUE,_xlpm.missing),
  _xlfn.IFS(
    COUNTA(C959:K959)=0,"Blank",
AND(_xlpm.missing=FALSE,ROWS(_xlpm.missing)=1),"Complete",
    ROWS(_xlpm.missing)&gt;0,_xlpm.missing_string,
    TRUE,"Error"
  )
)</f>
        <v>Blank</v>
      </c>
      <c r="B95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0" spans="1:2" x14ac:dyDescent="0.3">
      <c r="A960" s="2" t="str" cm="1">
        <f t="array" ref="A960">_xlfn.LET(
  _xlpm.key,_xlfn.TEXTSPLIT("Email,Org,IRN,Impact",","),
  _xlpm.complete,ISBLANK(H960:K960),
  _xlpm.missing,_xlfn._xlws.FILTER(_xlpm.key,_xlpm.complete,FALSE()),
  _xlpm.missing_string,"Missing: "&amp;_xlfn.TEXTJOIN(", ",TRUE,_xlpm.missing),
  _xlfn.IFS(
    COUNTA(C960:K960)=0,"Blank",
AND(_xlpm.missing=FALSE,ROWS(_xlpm.missing)=1),"Complete",
    ROWS(_xlpm.missing)&gt;0,_xlpm.missing_string,
    TRUE,"Error"
  )
)</f>
        <v>Blank</v>
      </c>
      <c r="B96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1" spans="1:2" x14ac:dyDescent="0.3">
      <c r="A961" s="2" t="str" cm="1">
        <f t="array" ref="A961">_xlfn.LET(
  _xlpm.key,_xlfn.TEXTSPLIT("Email,Org,IRN,Impact",","),
  _xlpm.complete,ISBLANK(H961:K961),
  _xlpm.missing,_xlfn._xlws.FILTER(_xlpm.key,_xlpm.complete,FALSE()),
  _xlpm.missing_string,"Missing: "&amp;_xlfn.TEXTJOIN(", ",TRUE,_xlpm.missing),
  _xlfn.IFS(
    COUNTA(C961:K961)=0,"Blank",
AND(_xlpm.missing=FALSE,ROWS(_xlpm.missing)=1),"Complete",
    ROWS(_xlpm.missing)&gt;0,_xlpm.missing_string,
    TRUE,"Error"
  )
)</f>
        <v>Blank</v>
      </c>
      <c r="B96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2" spans="1:2" x14ac:dyDescent="0.3">
      <c r="A962" s="2" t="str" cm="1">
        <f t="array" ref="A962">_xlfn.LET(
  _xlpm.key,_xlfn.TEXTSPLIT("Email,Org,IRN,Impact",","),
  _xlpm.complete,ISBLANK(H962:K962),
  _xlpm.missing,_xlfn._xlws.FILTER(_xlpm.key,_xlpm.complete,FALSE()),
  _xlpm.missing_string,"Missing: "&amp;_xlfn.TEXTJOIN(", ",TRUE,_xlpm.missing),
  _xlfn.IFS(
    COUNTA(C962:K962)=0,"Blank",
AND(_xlpm.missing=FALSE,ROWS(_xlpm.missing)=1),"Complete",
    ROWS(_xlpm.missing)&gt;0,_xlpm.missing_string,
    TRUE,"Error"
  )
)</f>
        <v>Blank</v>
      </c>
      <c r="B96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3" spans="1:2" x14ac:dyDescent="0.3">
      <c r="A963" s="2" t="str" cm="1">
        <f t="array" ref="A963">_xlfn.LET(
  _xlpm.key,_xlfn.TEXTSPLIT("Email,Org,IRN,Impact",","),
  _xlpm.complete,ISBLANK(H963:K963),
  _xlpm.missing,_xlfn._xlws.FILTER(_xlpm.key,_xlpm.complete,FALSE()),
  _xlpm.missing_string,"Missing: "&amp;_xlfn.TEXTJOIN(", ",TRUE,_xlpm.missing),
  _xlfn.IFS(
    COUNTA(C963:K963)=0,"Blank",
AND(_xlpm.missing=FALSE,ROWS(_xlpm.missing)=1),"Complete",
    ROWS(_xlpm.missing)&gt;0,_xlpm.missing_string,
    TRUE,"Error"
  )
)</f>
        <v>Blank</v>
      </c>
      <c r="B96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4" spans="1:2" x14ac:dyDescent="0.3">
      <c r="A964" s="2" t="str" cm="1">
        <f t="array" ref="A964">_xlfn.LET(
  _xlpm.key,_xlfn.TEXTSPLIT("Email,Org,IRN,Impact",","),
  _xlpm.complete,ISBLANK(H964:K964),
  _xlpm.missing,_xlfn._xlws.FILTER(_xlpm.key,_xlpm.complete,FALSE()),
  _xlpm.missing_string,"Missing: "&amp;_xlfn.TEXTJOIN(", ",TRUE,_xlpm.missing),
  _xlfn.IFS(
    COUNTA(C964:K964)=0,"Blank",
AND(_xlpm.missing=FALSE,ROWS(_xlpm.missing)=1),"Complete",
    ROWS(_xlpm.missing)&gt;0,_xlpm.missing_string,
    TRUE,"Error"
  )
)</f>
        <v>Blank</v>
      </c>
      <c r="B96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5" spans="1:2" x14ac:dyDescent="0.3">
      <c r="A965" s="2" t="str" cm="1">
        <f t="array" ref="A965">_xlfn.LET(
  _xlpm.key,_xlfn.TEXTSPLIT("Email,Org,IRN,Impact",","),
  _xlpm.complete,ISBLANK(H965:K965),
  _xlpm.missing,_xlfn._xlws.FILTER(_xlpm.key,_xlpm.complete,FALSE()),
  _xlpm.missing_string,"Missing: "&amp;_xlfn.TEXTJOIN(", ",TRUE,_xlpm.missing),
  _xlfn.IFS(
    COUNTA(C965:K965)=0,"Blank",
AND(_xlpm.missing=FALSE,ROWS(_xlpm.missing)=1),"Complete",
    ROWS(_xlpm.missing)&gt;0,_xlpm.missing_string,
    TRUE,"Error"
  )
)</f>
        <v>Blank</v>
      </c>
      <c r="B96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6" spans="1:2" x14ac:dyDescent="0.3">
      <c r="A966" s="2" t="str" cm="1">
        <f t="array" ref="A966">_xlfn.LET(
  _xlpm.key,_xlfn.TEXTSPLIT("Email,Org,IRN,Impact",","),
  _xlpm.complete,ISBLANK(H966:K966),
  _xlpm.missing,_xlfn._xlws.FILTER(_xlpm.key,_xlpm.complete,FALSE()),
  _xlpm.missing_string,"Missing: "&amp;_xlfn.TEXTJOIN(", ",TRUE,_xlpm.missing),
  _xlfn.IFS(
    COUNTA(C966:K966)=0,"Blank",
AND(_xlpm.missing=FALSE,ROWS(_xlpm.missing)=1),"Complete",
    ROWS(_xlpm.missing)&gt;0,_xlpm.missing_string,
    TRUE,"Error"
  )
)</f>
        <v>Blank</v>
      </c>
      <c r="B96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7" spans="1:2" x14ac:dyDescent="0.3">
      <c r="A967" s="2" t="str" cm="1">
        <f t="array" ref="A967">_xlfn.LET(
  _xlpm.key,_xlfn.TEXTSPLIT("Email,Org,IRN,Impact",","),
  _xlpm.complete,ISBLANK(H967:K967),
  _xlpm.missing,_xlfn._xlws.FILTER(_xlpm.key,_xlpm.complete,FALSE()),
  _xlpm.missing_string,"Missing: "&amp;_xlfn.TEXTJOIN(", ",TRUE,_xlpm.missing),
  _xlfn.IFS(
    COUNTA(C967:K967)=0,"Blank",
AND(_xlpm.missing=FALSE,ROWS(_xlpm.missing)=1),"Complete",
    ROWS(_xlpm.missing)&gt;0,_xlpm.missing_string,
    TRUE,"Error"
  )
)</f>
        <v>Blank</v>
      </c>
      <c r="B96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8" spans="1:2" x14ac:dyDescent="0.3">
      <c r="A968" s="2" t="str" cm="1">
        <f t="array" ref="A968">_xlfn.LET(
  _xlpm.key,_xlfn.TEXTSPLIT("Email,Org,IRN,Impact",","),
  _xlpm.complete,ISBLANK(H968:K968),
  _xlpm.missing,_xlfn._xlws.FILTER(_xlpm.key,_xlpm.complete,FALSE()),
  _xlpm.missing_string,"Missing: "&amp;_xlfn.TEXTJOIN(", ",TRUE,_xlpm.missing),
  _xlfn.IFS(
    COUNTA(C968:K968)=0,"Blank",
AND(_xlpm.missing=FALSE,ROWS(_xlpm.missing)=1),"Complete",
    ROWS(_xlpm.missing)&gt;0,_xlpm.missing_string,
    TRUE,"Error"
  )
)</f>
        <v>Blank</v>
      </c>
      <c r="B96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69" spans="1:2" x14ac:dyDescent="0.3">
      <c r="A969" s="2" t="str" cm="1">
        <f t="array" ref="A969">_xlfn.LET(
  _xlpm.key,_xlfn.TEXTSPLIT("Email,Org,IRN,Impact",","),
  _xlpm.complete,ISBLANK(H969:K969),
  _xlpm.missing,_xlfn._xlws.FILTER(_xlpm.key,_xlpm.complete,FALSE()),
  _xlpm.missing_string,"Missing: "&amp;_xlfn.TEXTJOIN(", ",TRUE,_xlpm.missing),
  _xlfn.IFS(
    COUNTA(C969:K969)=0,"Blank",
AND(_xlpm.missing=FALSE,ROWS(_xlpm.missing)=1),"Complete",
    ROWS(_xlpm.missing)&gt;0,_xlpm.missing_string,
    TRUE,"Error"
  )
)</f>
        <v>Blank</v>
      </c>
      <c r="B96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0" spans="1:2" x14ac:dyDescent="0.3">
      <c r="A970" s="2" t="str" cm="1">
        <f t="array" ref="A970">_xlfn.LET(
  _xlpm.key,_xlfn.TEXTSPLIT("Email,Org,IRN,Impact",","),
  _xlpm.complete,ISBLANK(H970:K970),
  _xlpm.missing,_xlfn._xlws.FILTER(_xlpm.key,_xlpm.complete,FALSE()),
  _xlpm.missing_string,"Missing: "&amp;_xlfn.TEXTJOIN(", ",TRUE,_xlpm.missing),
  _xlfn.IFS(
    COUNTA(C970:K970)=0,"Blank",
AND(_xlpm.missing=FALSE,ROWS(_xlpm.missing)=1),"Complete",
    ROWS(_xlpm.missing)&gt;0,_xlpm.missing_string,
    TRUE,"Error"
  )
)</f>
        <v>Blank</v>
      </c>
      <c r="B97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1" spans="1:2" x14ac:dyDescent="0.3">
      <c r="A971" s="2" t="str" cm="1">
        <f t="array" ref="A971">_xlfn.LET(
  _xlpm.key,_xlfn.TEXTSPLIT("Email,Org,IRN,Impact",","),
  _xlpm.complete,ISBLANK(H971:K971),
  _xlpm.missing,_xlfn._xlws.FILTER(_xlpm.key,_xlpm.complete,FALSE()),
  _xlpm.missing_string,"Missing: "&amp;_xlfn.TEXTJOIN(", ",TRUE,_xlpm.missing),
  _xlfn.IFS(
    COUNTA(C971:K971)=0,"Blank",
AND(_xlpm.missing=FALSE,ROWS(_xlpm.missing)=1),"Complete",
    ROWS(_xlpm.missing)&gt;0,_xlpm.missing_string,
    TRUE,"Error"
  )
)</f>
        <v>Blank</v>
      </c>
      <c r="B97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2" spans="1:2" x14ac:dyDescent="0.3">
      <c r="A972" s="2" t="str" cm="1">
        <f t="array" ref="A972">_xlfn.LET(
  _xlpm.key,_xlfn.TEXTSPLIT("Email,Org,IRN,Impact",","),
  _xlpm.complete,ISBLANK(H972:K972),
  _xlpm.missing,_xlfn._xlws.FILTER(_xlpm.key,_xlpm.complete,FALSE()),
  _xlpm.missing_string,"Missing: "&amp;_xlfn.TEXTJOIN(", ",TRUE,_xlpm.missing),
  _xlfn.IFS(
    COUNTA(C972:K972)=0,"Blank",
AND(_xlpm.missing=FALSE,ROWS(_xlpm.missing)=1),"Complete",
    ROWS(_xlpm.missing)&gt;0,_xlpm.missing_string,
    TRUE,"Error"
  )
)</f>
        <v>Blank</v>
      </c>
      <c r="B97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3" spans="1:2" x14ac:dyDescent="0.3">
      <c r="A973" s="2" t="str" cm="1">
        <f t="array" ref="A973">_xlfn.LET(
  _xlpm.key,_xlfn.TEXTSPLIT("Email,Org,IRN,Impact",","),
  _xlpm.complete,ISBLANK(H973:K973),
  _xlpm.missing,_xlfn._xlws.FILTER(_xlpm.key,_xlpm.complete,FALSE()),
  _xlpm.missing_string,"Missing: "&amp;_xlfn.TEXTJOIN(", ",TRUE,_xlpm.missing),
  _xlfn.IFS(
    COUNTA(C973:K973)=0,"Blank",
AND(_xlpm.missing=FALSE,ROWS(_xlpm.missing)=1),"Complete",
    ROWS(_xlpm.missing)&gt;0,_xlpm.missing_string,
    TRUE,"Error"
  )
)</f>
        <v>Blank</v>
      </c>
      <c r="B97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4" spans="1:2" x14ac:dyDescent="0.3">
      <c r="A974" s="2" t="str" cm="1">
        <f t="array" ref="A974">_xlfn.LET(
  _xlpm.key,_xlfn.TEXTSPLIT("Email,Org,IRN,Impact",","),
  _xlpm.complete,ISBLANK(H974:K974),
  _xlpm.missing,_xlfn._xlws.FILTER(_xlpm.key,_xlpm.complete,FALSE()),
  _xlpm.missing_string,"Missing: "&amp;_xlfn.TEXTJOIN(", ",TRUE,_xlpm.missing),
  _xlfn.IFS(
    COUNTA(C974:K974)=0,"Blank",
AND(_xlpm.missing=FALSE,ROWS(_xlpm.missing)=1),"Complete",
    ROWS(_xlpm.missing)&gt;0,_xlpm.missing_string,
    TRUE,"Error"
  )
)</f>
        <v>Blank</v>
      </c>
      <c r="B97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5" spans="1:2" x14ac:dyDescent="0.3">
      <c r="A975" s="2" t="str" cm="1">
        <f t="array" ref="A975">_xlfn.LET(
  _xlpm.key,_xlfn.TEXTSPLIT("Email,Org,IRN,Impact",","),
  _xlpm.complete,ISBLANK(H975:K975),
  _xlpm.missing,_xlfn._xlws.FILTER(_xlpm.key,_xlpm.complete,FALSE()),
  _xlpm.missing_string,"Missing: "&amp;_xlfn.TEXTJOIN(", ",TRUE,_xlpm.missing),
  _xlfn.IFS(
    COUNTA(C975:K975)=0,"Blank",
AND(_xlpm.missing=FALSE,ROWS(_xlpm.missing)=1),"Complete",
    ROWS(_xlpm.missing)&gt;0,_xlpm.missing_string,
    TRUE,"Error"
  )
)</f>
        <v>Blank</v>
      </c>
      <c r="B97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6" spans="1:2" x14ac:dyDescent="0.3">
      <c r="A976" s="2" t="str" cm="1">
        <f t="array" ref="A976">_xlfn.LET(
  _xlpm.key,_xlfn.TEXTSPLIT("Email,Org,IRN,Impact",","),
  _xlpm.complete,ISBLANK(H976:K976),
  _xlpm.missing,_xlfn._xlws.FILTER(_xlpm.key,_xlpm.complete,FALSE()),
  _xlpm.missing_string,"Missing: "&amp;_xlfn.TEXTJOIN(", ",TRUE,_xlpm.missing),
  _xlfn.IFS(
    COUNTA(C976:K976)=0,"Blank",
AND(_xlpm.missing=FALSE,ROWS(_xlpm.missing)=1),"Complete",
    ROWS(_xlpm.missing)&gt;0,_xlpm.missing_string,
    TRUE,"Error"
  )
)</f>
        <v>Blank</v>
      </c>
      <c r="B97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7" spans="1:2" x14ac:dyDescent="0.3">
      <c r="A977" s="2" t="str" cm="1">
        <f t="array" ref="A977">_xlfn.LET(
  _xlpm.key,_xlfn.TEXTSPLIT("Email,Org,IRN,Impact",","),
  _xlpm.complete,ISBLANK(H977:K977),
  _xlpm.missing,_xlfn._xlws.FILTER(_xlpm.key,_xlpm.complete,FALSE()),
  _xlpm.missing_string,"Missing: "&amp;_xlfn.TEXTJOIN(", ",TRUE,_xlpm.missing),
  _xlfn.IFS(
    COUNTA(C977:K977)=0,"Blank",
AND(_xlpm.missing=FALSE,ROWS(_xlpm.missing)=1),"Complete",
    ROWS(_xlpm.missing)&gt;0,_xlpm.missing_string,
    TRUE,"Error"
  )
)</f>
        <v>Blank</v>
      </c>
      <c r="B97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8" spans="1:2" x14ac:dyDescent="0.3">
      <c r="A978" s="2" t="str" cm="1">
        <f t="array" ref="A978">_xlfn.LET(
  _xlpm.key,_xlfn.TEXTSPLIT("Email,Org,IRN,Impact",","),
  _xlpm.complete,ISBLANK(H978:K978),
  _xlpm.missing,_xlfn._xlws.FILTER(_xlpm.key,_xlpm.complete,FALSE()),
  _xlpm.missing_string,"Missing: "&amp;_xlfn.TEXTJOIN(", ",TRUE,_xlpm.missing),
  _xlfn.IFS(
    COUNTA(C978:K978)=0,"Blank",
AND(_xlpm.missing=FALSE,ROWS(_xlpm.missing)=1),"Complete",
    ROWS(_xlpm.missing)&gt;0,_xlpm.missing_string,
    TRUE,"Error"
  )
)</f>
        <v>Blank</v>
      </c>
      <c r="B97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79" spans="1:2" x14ac:dyDescent="0.3">
      <c r="A979" s="2" t="str" cm="1">
        <f t="array" ref="A979">_xlfn.LET(
  _xlpm.key,_xlfn.TEXTSPLIT("Email,Org,IRN,Impact",","),
  _xlpm.complete,ISBLANK(H979:K979),
  _xlpm.missing,_xlfn._xlws.FILTER(_xlpm.key,_xlpm.complete,FALSE()),
  _xlpm.missing_string,"Missing: "&amp;_xlfn.TEXTJOIN(", ",TRUE,_xlpm.missing),
  _xlfn.IFS(
    COUNTA(C979:K979)=0,"Blank",
AND(_xlpm.missing=FALSE,ROWS(_xlpm.missing)=1),"Complete",
    ROWS(_xlpm.missing)&gt;0,_xlpm.missing_string,
    TRUE,"Error"
  )
)</f>
        <v>Blank</v>
      </c>
      <c r="B97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0" spans="1:2" x14ac:dyDescent="0.3">
      <c r="A980" s="2" t="str" cm="1">
        <f t="array" ref="A980">_xlfn.LET(
  _xlpm.key,_xlfn.TEXTSPLIT("Email,Org,IRN,Impact",","),
  _xlpm.complete,ISBLANK(H980:K980),
  _xlpm.missing,_xlfn._xlws.FILTER(_xlpm.key,_xlpm.complete,FALSE()),
  _xlpm.missing_string,"Missing: "&amp;_xlfn.TEXTJOIN(", ",TRUE,_xlpm.missing),
  _xlfn.IFS(
    COUNTA(C980:K980)=0,"Blank",
AND(_xlpm.missing=FALSE,ROWS(_xlpm.missing)=1),"Complete",
    ROWS(_xlpm.missing)&gt;0,_xlpm.missing_string,
    TRUE,"Error"
  )
)</f>
        <v>Blank</v>
      </c>
      <c r="B98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1" spans="1:2" x14ac:dyDescent="0.3">
      <c r="A981" s="2" t="str" cm="1">
        <f t="array" ref="A981">_xlfn.LET(
  _xlpm.key,_xlfn.TEXTSPLIT("Email,Org,IRN,Impact",","),
  _xlpm.complete,ISBLANK(H981:K981),
  _xlpm.missing,_xlfn._xlws.FILTER(_xlpm.key,_xlpm.complete,FALSE()),
  _xlpm.missing_string,"Missing: "&amp;_xlfn.TEXTJOIN(", ",TRUE,_xlpm.missing),
  _xlfn.IFS(
    COUNTA(C981:K981)=0,"Blank",
AND(_xlpm.missing=FALSE,ROWS(_xlpm.missing)=1),"Complete",
    ROWS(_xlpm.missing)&gt;0,_xlpm.missing_string,
    TRUE,"Error"
  )
)</f>
        <v>Blank</v>
      </c>
      <c r="B98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2" spans="1:2" x14ac:dyDescent="0.3">
      <c r="A982" s="2" t="str" cm="1">
        <f t="array" ref="A982">_xlfn.LET(
  _xlpm.key,_xlfn.TEXTSPLIT("Email,Org,IRN,Impact",","),
  _xlpm.complete,ISBLANK(H982:K982),
  _xlpm.missing,_xlfn._xlws.FILTER(_xlpm.key,_xlpm.complete,FALSE()),
  _xlpm.missing_string,"Missing: "&amp;_xlfn.TEXTJOIN(", ",TRUE,_xlpm.missing),
  _xlfn.IFS(
    COUNTA(C982:K982)=0,"Blank",
AND(_xlpm.missing=FALSE,ROWS(_xlpm.missing)=1),"Complete",
    ROWS(_xlpm.missing)&gt;0,_xlpm.missing_string,
    TRUE,"Error"
  )
)</f>
        <v>Blank</v>
      </c>
      <c r="B98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3" spans="1:2" x14ac:dyDescent="0.3">
      <c r="A983" s="2" t="str" cm="1">
        <f t="array" ref="A983">_xlfn.LET(
  _xlpm.key,_xlfn.TEXTSPLIT("Email,Org,IRN,Impact",","),
  _xlpm.complete,ISBLANK(H983:K983),
  _xlpm.missing,_xlfn._xlws.FILTER(_xlpm.key,_xlpm.complete,FALSE()),
  _xlpm.missing_string,"Missing: "&amp;_xlfn.TEXTJOIN(", ",TRUE,_xlpm.missing),
  _xlfn.IFS(
    COUNTA(C983:K983)=0,"Blank",
AND(_xlpm.missing=FALSE,ROWS(_xlpm.missing)=1),"Complete",
    ROWS(_xlpm.missing)&gt;0,_xlpm.missing_string,
    TRUE,"Error"
  )
)</f>
        <v>Blank</v>
      </c>
      <c r="B98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4" spans="1:2" x14ac:dyDescent="0.3">
      <c r="A984" s="2" t="str" cm="1">
        <f t="array" ref="A984">_xlfn.LET(
  _xlpm.key,_xlfn.TEXTSPLIT("Email,Org,IRN,Impact",","),
  _xlpm.complete,ISBLANK(H984:K984),
  _xlpm.missing,_xlfn._xlws.FILTER(_xlpm.key,_xlpm.complete,FALSE()),
  _xlpm.missing_string,"Missing: "&amp;_xlfn.TEXTJOIN(", ",TRUE,_xlpm.missing),
  _xlfn.IFS(
    COUNTA(C984:K984)=0,"Blank",
AND(_xlpm.missing=FALSE,ROWS(_xlpm.missing)=1),"Complete",
    ROWS(_xlpm.missing)&gt;0,_xlpm.missing_string,
    TRUE,"Error"
  )
)</f>
        <v>Blank</v>
      </c>
      <c r="B98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5" spans="1:2" x14ac:dyDescent="0.3">
      <c r="A985" s="2" t="str" cm="1">
        <f t="array" ref="A985">_xlfn.LET(
  _xlpm.key,_xlfn.TEXTSPLIT("Email,Org,IRN,Impact",","),
  _xlpm.complete,ISBLANK(H985:K985),
  _xlpm.missing,_xlfn._xlws.FILTER(_xlpm.key,_xlpm.complete,FALSE()),
  _xlpm.missing_string,"Missing: "&amp;_xlfn.TEXTJOIN(", ",TRUE,_xlpm.missing),
  _xlfn.IFS(
    COUNTA(C985:K985)=0,"Blank",
AND(_xlpm.missing=FALSE,ROWS(_xlpm.missing)=1),"Complete",
    ROWS(_xlpm.missing)&gt;0,_xlpm.missing_string,
    TRUE,"Error"
  )
)</f>
        <v>Blank</v>
      </c>
      <c r="B98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6" spans="1:2" x14ac:dyDescent="0.3">
      <c r="A986" s="2" t="str" cm="1">
        <f t="array" ref="A986">_xlfn.LET(
  _xlpm.key,_xlfn.TEXTSPLIT("Email,Org,IRN,Impact",","),
  _xlpm.complete,ISBLANK(H986:K986),
  _xlpm.missing,_xlfn._xlws.FILTER(_xlpm.key,_xlpm.complete,FALSE()),
  _xlpm.missing_string,"Missing: "&amp;_xlfn.TEXTJOIN(", ",TRUE,_xlpm.missing),
  _xlfn.IFS(
    COUNTA(C986:K986)=0,"Blank",
AND(_xlpm.missing=FALSE,ROWS(_xlpm.missing)=1),"Complete",
    ROWS(_xlpm.missing)&gt;0,_xlpm.missing_string,
    TRUE,"Error"
  )
)</f>
        <v>Blank</v>
      </c>
      <c r="B98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7" spans="1:2" x14ac:dyDescent="0.3">
      <c r="A987" s="2" t="str" cm="1">
        <f t="array" ref="A987">_xlfn.LET(
  _xlpm.key,_xlfn.TEXTSPLIT("Email,Org,IRN,Impact",","),
  _xlpm.complete,ISBLANK(H987:K987),
  _xlpm.missing,_xlfn._xlws.FILTER(_xlpm.key,_xlpm.complete,FALSE()),
  _xlpm.missing_string,"Missing: "&amp;_xlfn.TEXTJOIN(", ",TRUE,_xlpm.missing),
  _xlfn.IFS(
    COUNTA(C987:K987)=0,"Blank",
AND(_xlpm.missing=FALSE,ROWS(_xlpm.missing)=1),"Complete",
    ROWS(_xlpm.missing)&gt;0,_xlpm.missing_string,
    TRUE,"Error"
  )
)</f>
        <v>Blank</v>
      </c>
      <c r="B98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8" spans="1:2" x14ac:dyDescent="0.3">
      <c r="A988" s="2" t="str" cm="1">
        <f t="array" ref="A988">_xlfn.LET(
  _xlpm.key,_xlfn.TEXTSPLIT("Email,Org,IRN,Impact",","),
  _xlpm.complete,ISBLANK(H988:K988),
  _xlpm.missing,_xlfn._xlws.FILTER(_xlpm.key,_xlpm.complete,FALSE()),
  _xlpm.missing_string,"Missing: "&amp;_xlfn.TEXTJOIN(", ",TRUE,_xlpm.missing),
  _xlfn.IFS(
    COUNTA(C988:K988)=0,"Blank",
AND(_xlpm.missing=FALSE,ROWS(_xlpm.missing)=1),"Complete",
    ROWS(_xlpm.missing)&gt;0,_xlpm.missing_string,
    TRUE,"Error"
  )
)</f>
        <v>Blank</v>
      </c>
      <c r="B98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89" spans="1:2" x14ac:dyDescent="0.3">
      <c r="A989" s="2" t="str" cm="1">
        <f t="array" ref="A989">_xlfn.LET(
  _xlpm.key,_xlfn.TEXTSPLIT("Email,Org,IRN,Impact",","),
  _xlpm.complete,ISBLANK(H989:K989),
  _xlpm.missing,_xlfn._xlws.FILTER(_xlpm.key,_xlpm.complete,FALSE()),
  _xlpm.missing_string,"Missing: "&amp;_xlfn.TEXTJOIN(", ",TRUE,_xlpm.missing),
  _xlfn.IFS(
    COUNTA(C989:K989)=0,"Blank",
AND(_xlpm.missing=FALSE,ROWS(_xlpm.missing)=1),"Complete",
    ROWS(_xlpm.missing)&gt;0,_xlpm.missing_string,
    TRUE,"Error"
  )
)</f>
        <v>Blank</v>
      </c>
      <c r="B98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0" spans="1:2" x14ac:dyDescent="0.3">
      <c r="A990" s="2" t="str" cm="1">
        <f t="array" ref="A990">_xlfn.LET(
  _xlpm.key,_xlfn.TEXTSPLIT("Email,Org,IRN,Impact",","),
  _xlpm.complete,ISBLANK(H990:K990),
  _xlpm.missing,_xlfn._xlws.FILTER(_xlpm.key,_xlpm.complete,FALSE()),
  _xlpm.missing_string,"Missing: "&amp;_xlfn.TEXTJOIN(", ",TRUE,_xlpm.missing),
  _xlfn.IFS(
    COUNTA(C990:K990)=0,"Blank",
AND(_xlpm.missing=FALSE,ROWS(_xlpm.missing)=1),"Complete",
    ROWS(_xlpm.missing)&gt;0,_xlpm.missing_string,
    TRUE,"Error"
  )
)</f>
        <v>Blank</v>
      </c>
      <c r="B99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1" spans="1:2" x14ac:dyDescent="0.3">
      <c r="A991" s="2" t="str" cm="1">
        <f t="array" ref="A991">_xlfn.LET(
  _xlpm.key,_xlfn.TEXTSPLIT("Email,Org,IRN,Impact",","),
  _xlpm.complete,ISBLANK(H991:K991),
  _xlpm.missing,_xlfn._xlws.FILTER(_xlpm.key,_xlpm.complete,FALSE()),
  _xlpm.missing_string,"Missing: "&amp;_xlfn.TEXTJOIN(", ",TRUE,_xlpm.missing),
  _xlfn.IFS(
    COUNTA(C991:K991)=0,"Blank",
AND(_xlpm.missing=FALSE,ROWS(_xlpm.missing)=1),"Complete",
    ROWS(_xlpm.missing)&gt;0,_xlpm.missing_string,
    TRUE,"Error"
  )
)</f>
        <v>Blank</v>
      </c>
      <c r="B99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2" spans="1:2" x14ac:dyDescent="0.3">
      <c r="A992" s="2" t="str" cm="1">
        <f t="array" ref="A992">_xlfn.LET(
  _xlpm.key,_xlfn.TEXTSPLIT("Email,Org,IRN,Impact",","),
  _xlpm.complete,ISBLANK(H992:K992),
  _xlpm.missing,_xlfn._xlws.FILTER(_xlpm.key,_xlpm.complete,FALSE()),
  _xlpm.missing_string,"Missing: "&amp;_xlfn.TEXTJOIN(", ",TRUE,_xlpm.missing),
  _xlfn.IFS(
    COUNTA(C992:K992)=0,"Blank",
AND(_xlpm.missing=FALSE,ROWS(_xlpm.missing)=1),"Complete",
    ROWS(_xlpm.missing)&gt;0,_xlpm.missing_string,
    TRUE,"Error"
  )
)</f>
        <v>Blank</v>
      </c>
      <c r="B99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3" spans="1:2" x14ac:dyDescent="0.3">
      <c r="A993" s="2" t="str" cm="1">
        <f t="array" ref="A993">_xlfn.LET(
  _xlpm.key,_xlfn.TEXTSPLIT("Email,Org,IRN,Impact",","),
  _xlpm.complete,ISBLANK(H993:K993),
  _xlpm.missing,_xlfn._xlws.FILTER(_xlpm.key,_xlpm.complete,FALSE()),
  _xlpm.missing_string,"Missing: "&amp;_xlfn.TEXTJOIN(", ",TRUE,_xlpm.missing),
  _xlfn.IFS(
    COUNTA(C993:K993)=0,"Blank",
AND(_xlpm.missing=FALSE,ROWS(_xlpm.missing)=1),"Complete",
    ROWS(_xlpm.missing)&gt;0,_xlpm.missing_string,
    TRUE,"Error"
  )
)</f>
        <v>Blank</v>
      </c>
      <c r="B99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4" spans="1:2" x14ac:dyDescent="0.3">
      <c r="A994" s="2" t="str" cm="1">
        <f t="array" ref="A994">_xlfn.LET(
  _xlpm.key,_xlfn.TEXTSPLIT("Email,Org,IRN,Impact",","),
  _xlpm.complete,ISBLANK(H994:K994),
  _xlpm.missing,_xlfn._xlws.FILTER(_xlpm.key,_xlpm.complete,FALSE()),
  _xlpm.missing_string,"Missing: "&amp;_xlfn.TEXTJOIN(", ",TRUE,_xlpm.missing),
  _xlfn.IFS(
    COUNTA(C994:K994)=0,"Blank",
AND(_xlpm.missing=FALSE,ROWS(_xlpm.missing)=1),"Complete",
    ROWS(_xlpm.missing)&gt;0,_xlpm.missing_string,
    TRUE,"Error"
  )
)</f>
        <v>Blank</v>
      </c>
      <c r="B99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5" spans="1:2" x14ac:dyDescent="0.3">
      <c r="A995" s="2" t="str" cm="1">
        <f t="array" ref="A995">_xlfn.LET(
  _xlpm.key,_xlfn.TEXTSPLIT("Email,Org,IRN,Impact",","),
  _xlpm.complete,ISBLANK(H995:K995),
  _xlpm.missing,_xlfn._xlws.FILTER(_xlpm.key,_xlpm.complete,FALSE()),
  _xlpm.missing_string,"Missing: "&amp;_xlfn.TEXTJOIN(", ",TRUE,_xlpm.missing),
  _xlfn.IFS(
    COUNTA(C995:K995)=0,"Blank",
AND(_xlpm.missing=FALSE,ROWS(_xlpm.missing)=1),"Complete",
    ROWS(_xlpm.missing)&gt;0,_xlpm.missing_string,
    TRUE,"Error"
  )
)</f>
        <v>Blank</v>
      </c>
      <c r="B99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6" spans="1:2" x14ac:dyDescent="0.3">
      <c r="A996" s="2" t="str" cm="1">
        <f t="array" ref="A996">_xlfn.LET(
  _xlpm.key,_xlfn.TEXTSPLIT("Email,Org,IRN,Impact",","),
  _xlpm.complete,ISBLANK(H996:K996),
  _xlpm.missing,_xlfn._xlws.FILTER(_xlpm.key,_xlpm.complete,FALSE()),
  _xlpm.missing_string,"Missing: "&amp;_xlfn.TEXTJOIN(", ",TRUE,_xlpm.missing),
  _xlfn.IFS(
    COUNTA(C996:K996)=0,"Blank",
AND(_xlpm.missing=FALSE,ROWS(_xlpm.missing)=1),"Complete",
    ROWS(_xlpm.missing)&gt;0,_xlpm.missing_string,
    TRUE,"Error"
  )
)</f>
        <v>Blank</v>
      </c>
      <c r="B996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7" spans="1:2" x14ac:dyDescent="0.3">
      <c r="A997" s="2" t="str" cm="1">
        <f t="array" ref="A997">_xlfn.LET(
  _xlpm.key,_xlfn.TEXTSPLIT("Email,Org,IRN,Impact",","),
  _xlpm.complete,ISBLANK(H997:K997),
  _xlpm.missing,_xlfn._xlws.FILTER(_xlpm.key,_xlpm.complete,FALSE()),
  _xlpm.missing_string,"Missing: "&amp;_xlfn.TEXTJOIN(", ",TRUE,_xlpm.missing),
  _xlfn.IFS(
    COUNTA(C997:K997)=0,"Blank",
AND(_xlpm.missing=FALSE,ROWS(_xlpm.missing)=1),"Complete",
    ROWS(_xlpm.missing)&gt;0,_xlpm.missing_string,
    TRUE,"Error"
  )
)</f>
        <v>Blank</v>
      </c>
      <c r="B997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8" spans="1:2" x14ac:dyDescent="0.3">
      <c r="A998" s="2" t="str" cm="1">
        <f t="array" ref="A998">_xlfn.LET(
  _xlpm.key,_xlfn.TEXTSPLIT("Email,Org,IRN,Impact",","),
  _xlpm.complete,ISBLANK(H998:K998),
  _xlpm.missing,_xlfn._xlws.FILTER(_xlpm.key,_xlpm.complete,FALSE()),
  _xlpm.missing_string,"Missing: "&amp;_xlfn.TEXTJOIN(", ",TRUE,_xlpm.missing),
  _xlfn.IFS(
    COUNTA(C998:K998)=0,"Blank",
AND(_xlpm.missing=FALSE,ROWS(_xlpm.missing)=1),"Complete",
    ROWS(_xlpm.missing)&gt;0,_xlpm.missing_string,
    TRUE,"Error"
  )
)</f>
        <v>Blank</v>
      </c>
      <c r="B998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999" spans="1:2" x14ac:dyDescent="0.3">
      <c r="A999" s="2" t="str" cm="1">
        <f t="array" ref="A999">_xlfn.LET(
  _xlpm.key,_xlfn.TEXTSPLIT("Email,Org,IRN,Impact",","),
  _xlpm.complete,ISBLANK(H999:K999),
  _xlpm.missing,_xlfn._xlws.FILTER(_xlpm.key,_xlpm.complete,FALSE()),
  _xlpm.missing_string,"Missing: "&amp;_xlfn.TEXTJOIN(", ",TRUE,_xlpm.missing),
  _xlfn.IFS(
    COUNTA(C999:K999)=0,"Blank",
AND(_xlpm.missing=FALSE,ROWS(_xlpm.missing)=1),"Complete",
    ROWS(_xlpm.missing)&gt;0,_xlpm.missing_string,
    TRUE,"Error"
  )
)</f>
        <v>Blank</v>
      </c>
      <c r="B999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00" spans="1:2" x14ac:dyDescent="0.3">
      <c r="A1000" s="2" t="str" cm="1">
        <f t="array" ref="A1000">_xlfn.LET(
  _xlpm.key,_xlfn.TEXTSPLIT("Email,Org,IRN,Impact",","),
  _xlpm.complete,ISBLANK(H1000:K1000),
  _xlpm.missing,_xlfn._xlws.FILTER(_xlpm.key,_xlpm.complete,FALSE()),
  _xlpm.missing_string,"Missing: "&amp;_xlfn.TEXTJOIN(", ",TRUE,_xlpm.missing),
  _xlfn.IFS(
    COUNTA(C1000:K1000)=0,"Blank",
AND(_xlpm.missing=FALSE,ROWS(_xlpm.missing)=1),"Complete",
    ROWS(_xlpm.missing)&gt;0,_xlpm.missing_string,
    TRUE,"Error"
  )
)</f>
        <v>Blank</v>
      </c>
      <c r="B1000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01" spans="1:2" x14ac:dyDescent="0.3">
      <c r="A1001" s="2" t="str" cm="1">
        <f t="array" ref="A1001">_xlfn.LET(
  _xlpm.key,_xlfn.TEXTSPLIT("Email,Org,IRN,Impact",","),
  _xlpm.complete,ISBLANK(H1001:K1001),
  _xlpm.missing,_xlfn._xlws.FILTER(_xlpm.key,_xlpm.complete,FALSE()),
  _xlpm.missing_string,"Missing: "&amp;_xlfn.TEXTJOIN(", ",TRUE,_xlpm.missing),
  _xlfn.IFS(
    COUNTA(C1001:K1001)=0,"Blank",
AND(_xlpm.missing=FALSE,ROWS(_xlpm.missing)=1),"Complete",
    ROWS(_xlpm.missing)&gt;0,_xlpm.missing_string,
    TRUE,"Error"
  )
)</f>
        <v>Blank</v>
      </c>
      <c r="B1001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02" spans="1:2" x14ac:dyDescent="0.3">
      <c r="A1002" s="2" t="str" cm="1">
        <f t="array" ref="A1002">_xlfn.LET(
  _xlpm.key,_xlfn.TEXTSPLIT("Email,Org,IRN,Impact",","),
  _xlpm.complete,ISBLANK(H1002:K1002),
  _xlpm.missing,_xlfn._xlws.FILTER(_xlpm.key,_xlpm.complete,FALSE()),
  _xlpm.missing_string,"Missing: "&amp;_xlfn.TEXTJOIN(", ",TRUE,_xlpm.missing),
  _xlfn.IFS(
    COUNTA(C1002:K1002)=0,"Blank",
AND(_xlpm.missing=FALSE,ROWS(_xlpm.missing)=1),"Complete",
    ROWS(_xlpm.missing)&gt;0,_xlpm.missing_string,
    TRUE,"Error"
  )
)</f>
        <v>Blank</v>
      </c>
      <c r="B1002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03" spans="1:2" x14ac:dyDescent="0.3">
      <c r="A1003" s="2" t="str" cm="1">
        <f t="array" ref="A1003">_xlfn.LET(
  _xlpm.key,_xlfn.TEXTSPLIT("Email,Org,IRN,Impact",","),
  _xlpm.complete,ISBLANK(H1003:K1003),
  _xlpm.missing,_xlfn._xlws.FILTER(_xlpm.key,_xlpm.complete,FALSE()),
  _xlpm.missing_string,"Missing: "&amp;_xlfn.TEXTJOIN(", ",TRUE,_xlpm.missing),
  _xlfn.IFS(
    COUNTA(C1003:K1003)=0,"Blank",
AND(_xlpm.missing=FALSE,ROWS(_xlpm.missing)=1),"Complete",
    ROWS(_xlpm.missing)&gt;0,_xlpm.missing_string,
    TRUE,"Error"
  )
)</f>
        <v>Blank</v>
      </c>
      <c r="B1003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04" spans="1:2" x14ac:dyDescent="0.3">
      <c r="A1004" s="2" t="str" cm="1">
        <f t="array" ref="A1004">_xlfn.LET(
  _xlpm.key,_xlfn.TEXTSPLIT("Email,Org,IRN,Impact",","),
  _xlpm.complete,ISBLANK(H1004:K1004),
  _xlpm.missing,_xlfn._xlws.FILTER(_xlpm.key,_xlpm.complete,FALSE()),
  _xlpm.missing_string,"Missing: "&amp;_xlfn.TEXTJOIN(", ",TRUE,_xlpm.missing),
  _xlfn.IFS(
    COUNTA(C1004:K1004)=0,"Blank",
AND(_xlpm.missing=FALSE,ROWS(_xlpm.missing)=1),"Complete",
    ROWS(_xlpm.missing)&gt;0,_xlpm.missing_string,
    TRUE,"Error"
  )
)</f>
        <v>Blank</v>
      </c>
      <c r="B1004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  <row r="1005" spans="1:2" x14ac:dyDescent="0.3">
      <c r="A1005" s="2" t="str" cm="1">
        <f t="array" ref="A1005">_xlfn.LET(
  _xlpm.key,_xlfn.TEXTSPLIT("Email,Org,IRN,Impact",","),
  _xlpm.complete,ISBLANK(H1005:K1005),
  _xlpm.missing,_xlfn._xlws.FILTER(_xlpm.key,_xlpm.complete,FALSE()),
  _xlpm.missing_string,"Missing: "&amp;_xlfn.TEXTJOIN(", ",TRUE,_xlpm.missing),
  _xlfn.IFS(
    COUNTA(C1005:K1005)=0,"Blank",
AND(_xlpm.missing=FALSE,ROWS(_xlpm.missing)=1),"Complete",
    ROWS(_xlpm.missing)&gt;0,_xlpm.missing_string,
    TRUE,"Error"
  )
)</f>
        <v>Blank</v>
      </c>
      <c r="B1005" s="2" t="str">
        <f>IF(ISNUMBER(IFERROR(MATCH(_xlfn.NUMBERVALUE(Table1[[#This Row],[School IRN '# (Use District IRN '# if more relevant). Recommend directing participants to https://oeds.ode.state.oh.us/SearchOrg]]),IRNs!A:A,0),"IRN failed")),"Valid IRN","IRN failed")</f>
        <v>IRN failed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A32C8-2ECD-4CB4-BC2C-F497A6EA7150}">
  <dimension ref="A1:C101"/>
  <sheetViews>
    <sheetView workbookViewId="0">
      <selection activeCell="A10" sqref="A10"/>
    </sheetView>
  </sheetViews>
  <sheetFormatPr defaultRowHeight="14.5" x14ac:dyDescent="0.35"/>
  <cols>
    <col min="1" max="1" width="48.54296875" customWidth="1"/>
    <col min="2" max="2" width="21.81640625" customWidth="1"/>
    <col min="3" max="3" width="174.81640625" customWidth="1"/>
  </cols>
  <sheetData>
    <row r="1" spans="1:3" ht="112.5" customHeight="1" x14ac:dyDescent="0.35"/>
    <row r="4" spans="1:3" ht="28.5" thickBot="1" x14ac:dyDescent="0.4">
      <c r="A4" s="6" t="str" cm="1">
        <f t="array" ref="A4:A7">_xlfn.UNIQUE(_xlfn._xlws.FILTER('data (required)'!E:E,NOT(ISBLANK('data (required)'!E:E))))</f>
        <v>Title of event</v>
      </c>
      <c r="B4" s="7" t="s">
        <v>27</v>
      </c>
      <c r="C4" s="7" t="s">
        <v>28</v>
      </c>
    </row>
    <row r="5" spans="1:3" ht="30" customHeight="1" thickTop="1" x14ac:dyDescent="0.35">
      <c r="A5" s="8" t="str">
        <v>Event 1</v>
      </c>
      <c r="B5" s="8"/>
      <c r="C5" s="9"/>
    </row>
    <row r="6" spans="1:3" ht="30" customHeight="1" x14ac:dyDescent="0.35">
      <c r="A6" s="10" t="str">
        <v>Event 4</v>
      </c>
      <c r="B6" s="10"/>
      <c r="C6" s="11"/>
    </row>
    <row r="7" spans="1:3" ht="30" customHeight="1" x14ac:dyDescent="0.35">
      <c r="A7" s="8" t="str">
        <v>Event 2</v>
      </c>
      <c r="B7" s="8"/>
      <c r="C7" s="9"/>
    </row>
    <row r="8" spans="1:3" ht="30" customHeight="1" x14ac:dyDescent="0.35">
      <c r="A8" s="10"/>
      <c r="B8" s="10"/>
      <c r="C8" s="11"/>
    </row>
    <row r="9" spans="1:3" ht="30" customHeight="1" x14ac:dyDescent="0.35">
      <c r="A9" s="8"/>
      <c r="B9" s="8"/>
      <c r="C9" s="9"/>
    </row>
    <row r="10" spans="1:3" ht="30" customHeight="1" x14ac:dyDescent="0.35">
      <c r="A10" s="10"/>
      <c r="B10" s="10"/>
      <c r="C10" s="11"/>
    </row>
    <row r="11" spans="1:3" ht="30" customHeight="1" x14ac:dyDescent="0.35">
      <c r="A11" s="8"/>
      <c r="B11" s="8"/>
      <c r="C11" s="9"/>
    </row>
    <row r="12" spans="1:3" ht="30" customHeight="1" x14ac:dyDescent="0.35">
      <c r="A12" s="10"/>
      <c r="B12" s="10"/>
      <c r="C12" s="11"/>
    </row>
    <row r="13" spans="1:3" ht="30" customHeight="1" x14ac:dyDescent="0.35">
      <c r="A13" s="8"/>
      <c r="B13" s="8"/>
      <c r="C13" s="9"/>
    </row>
    <row r="14" spans="1:3" ht="30" customHeight="1" x14ac:dyDescent="0.35">
      <c r="A14" s="10"/>
      <c r="B14" s="10"/>
      <c r="C14" s="11"/>
    </row>
    <row r="15" spans="1:3" ht="30" customHeight="1" x14ac:dyDescent="0.35">
      <c r="A15" s="8"/>
      <c r="B15" s="8"/>
      <c r="C15" s="9"/>
    </row>
    <row r="16" spans="1:3" ht="30" customHeight="1" x14ac:dyDescent="0.35">
      <c r="A16" s="10"/>
      <c r="B16" s="10"/>
      <c r="C16" s="11"/>
    </row>
    <row r="17" spans="1:3" ht="30" customHeight="1" x14ac:dyDescent="0.35">
      <c r="A17" s="8"/>
      <c r="B17" s="8"/>
      <c r="C17" s="9"/>
    </row>
    <row r="18" spans="1:3" ht="30" customHeight="1" x14ac:dyDescent="0.35">
      <c r="A18" s="10"/>
      <c r="B18" s="10"/>
      <c r="C18" s="11"/>
    </row>
    <row r="19" spans="1:3" ht="30" customHeight="1" x14ac:dyDescent="0.35">
      <c r="A19" s="8"/>
      <c r="B19" s="8"/>
      <c r="C19" s="9"/>
    </row>
    <row r="20" spans="1:3" ht="30" customHeight="1" x14ac:dyDescent="0.35">
      <c r="A20" s="10"/>
      <c r="B20" s="10"/>
      <c r="C20" s="11"/>
    </row>
    <row r="21" spans="1:3" ht="30" customHeight="1" x14ac:dyDescent="0.35">
      <c r="A21" s="8"/>
      <c r="B21" s="8"/>
      <c r="C21" s="9"/>
    </row>
    <row r="22" spans="1:3" ht="30" customHeight="1" x14ac:dyDescent="0.35">
      <c r="A22" s="10"/>
      <c r="B22" s="10"/>
      <c r="C22" s="11"/>
    </row>
    <row r="23" spans="1:3" ht="30" customHeight="1" x14ac:dyDescent="0.35">
      <c r="A23" s="8"/>
      <c r="B23" s="8"/>
      <c r="C23" s="9"/>
    </row>
    <row r="24" spans="1:3" ht="30" customHeight="1" x14ac:dyDescent="0.35">
      <c r="A24" s="10"/>
      <c r="B24" s="10"/>
      <c r="C24" s="11"/>
    </row>
    <row r="25" spans="1:3" ht="30" customHeight="1" x14ac:dyDescent="0.35">
      <c r="A25" s="8"/>
      <c r="B25" s="8"/>
      <c r="C25" s="9"/>
    </row>
    <row r="26" spans="1:3" ht="30" customHeight="1" x14ac:dyDescent="0.35">
      <c r="A26" s="10"/>
      <c r="B26" s="10"/>
      <c r="C26" s="11"/>
    </row>
    <row r="27" spans="1:3" ht="30" customHeight="1" x14ac:dyDescent="0.35">
      <c r="A27" s="8"/>
      <c r="B27" s="8"/>
      <c r="C27" s="9"/>
    </row>
    <row r="28" spans="1:3" ht="30" customHeight="1" x14ac:dyDescent="0.35">
      <c r="A28" s="10"/>
      <c r="B28" s="10"/>
      <c r="C28" s="11"/>
    </row>
    <row r="29" spans="1:3" ht="30" customHeight="1" x14ac:dyDescent="0.35">
      <c r="A29" s="8"/>
      <c r="B29" s="8"/>
      <c r="C29" s="9"/>
    </row>
    <row r="30" spans="1:3" ht="30" customHeight="1" x14ac:dyDescent="0.35">
      <c r="A30" s="10"/>
      <c r="B30" s="10"/>
      <c r="C30" s="11"/>
    </row>
    <row r="31" spans="1:3" ht="30" customHeight="1" x14ac:dyDescent="0.35">
      <c r="A31" s="8"/>
      <c r="B31" s="8"/>
      <c r="C31" s="9"/>
    </row>
    <row r="32" spans="1:3" ht="30" customHeight="1" x14ac:dyDescent="0.35">
      <c r="A32" s="10"/>
      <c r="B32" s="10"/>
      <c r="C32" s="11"/>
    </row>
    <row r="33" spans="1:3" ht="30" customHeight="1" x14ac:dyDescent="0.35">
      <c r="A33" s="8"/>
      <c r="B33" s="8"/>
      <c r="C33" s="9"/>
    </row>
    <row r="34" spans="1:3" ht="30" customHeight="1" x14ac:dyDescent="0.35">
      <c r="A34" s="10"/>
      <c r="B34" s="10"/>
      <c r="C34" s="11"/>
    </row>
    <row r="35" spans="1:3" ht="30" customHeight="1" x14ac:dyDescent="0.35">
      <c r="A35" s="8"/>
      <c r="B35" s="8"/>
      <c r="C35" s="9"/>
    </row>
    <row r="36" spans="1:3" ht="30" customHeight="1" x14ac:dyDescent="0.35">
      <c r="A36" s="10"/>
      <c r="B36" s="10"/>
      <c r="C36" s="11"/>
    </row>
    <row r="37" spans="1:3" ht="30" customHeight="1" x14ac:dyDescent="0.35">
      <c r="A37" s="8"/>
      <c r="B37" s="8"/>
      <c r="C37" s="9"/>
    </row>
    <row r="38" spans="1:3" ht="30" customHeight="1" x14ac:dyDescent="0.35">
      <c r="A38" s="10"/>
      <c r="B38" s="10"/>
      <c r="C38" s="11"/>
    </row>
    <row r="39" spans="1:3" ht="30" customHeight="1" x14ac:dyDescent="0.35">
      <c r="A39" s="8"/>
      <c r="B39" s="8"/>
      <c r="C39" s="9"/>
    </row>
    <row r="40" spans="1:3" ht="30" customHeight="1" x14ac:dyDescent="0.35">
      <c r="A40" s="10"/>
      <c r="B40" s="10"/>
      <c r="C40" s="11"/>
    </row>
    <row r="41" spans="1:3" ht="30" customHeight="1" x14ac:dyDescent="0.35">
      <c r="A41" s="8"/>
      <c r="B41" s="8"/>
      <c r="C41" s="9"/>
    </row>
    <row r="42" spans="1:3" ht="30" customHeight="1" x14ac:dyDescent="0.35">
      <c r="A42" s="10"/>
      <c r="B42" s="10"/>
      <c r="C42" s="11"/>
    </row>
    <row r="43" spans="1:3" ht="30" customHeight="1" x14ac:dyDescent="0.35">
      <c r="A43" s="8"/>
      <c r="B43" s="8"/>
      <c r="C43" s="9"/>
    </row>
    <row r="44" spans="1:3" ht="30" customHeight="1" x14ac:dyDescent="0.35">
      <c r="A44" s="10"/>
      <c r="B44" s="10"/>
      <c r="C44" s="11"/>
    </row>
    <row r="45" spans="1:3" ht="30" customHeight="1" x14ac:dyDescent="0.35">
      <c r="A45" s="8"/>
      <c r="B45" s="8"/>
      <c r="C45" s="9"/>
    </row>
    <row r="46" spans="1:3" ht="30" customHeight="1" x14ac:dyDescent="0.35">
      <c r="A46" s="10"/>
      <c r="B46" s="10"/>
      <c r="C46" s="11"/>
    </row>
    <row r="47" spans="1:3" ht="30" customHeight="1" x14ac:dyDescent="0.35">
      <c r="A47" s="8"/>
      <c r="B47" s="8"/>
      <c r="C47" s="9"/>
    </row>
    <row r="48" spans="1:3" ht="30" customHeight="1" x14ac:dyDescent="0.35">
      <c r="A48" s="10"/>
      <c r="B48" s="10"/>
      <c r="C48" s="11"/>
    </row>
    <row r="49" spans="1:3" ht="30" customHeight="1" x14ac:dyDescent="0.35">
      <c r="A49" s="8"/>
      <c r="B49" s="8"/>
      <c r="C49" s="9"/>
    </row>
    <row r="50" spans="1:3" ht="30" customHeight="1" x14ac:dyDescent="0.35">
      <c r="A50" s="10"/>
      <c r="B50" s="10"/>
      <c r="C50" s="11"/>
    </row>
    <row r="51" spans="1:3" ht="30" customHeight="1" x14ac:dyDescent="0.35">
      <c r="A51" s="8"/>
      <c r="B51" s="8"/>
      <c r="C51" s="9"/>
    </row>
    <row r="52" spans="1:3" ht="30" customHeight="1" x14ac:dyDescent="0.35">
      <c r="A52" s="10"/>
      <c r="B52" s="10"/>
      <c r="C52" s="11"/>
    </row>
    <row r="53" spans="1:3" ht="30" customHeight="1" x14ac:dyDescent="0.35">
      <c r="A53" s="8"/>
      <c r="B53" s="8"/>
      <c r="C53" s="9"/>
    </row>
    <row r="54" spans="1:3" ht="30" customHeight="1" x14ac:dyDescent="0.35">
      <c r="A54" s="10"/>
      <c r="B54" s="10"/>
      <c r="C54" s="11"/>
    </row>
    <row r="55" spans="1:3" ht="30" customHeight="1" x14ac:dyDescent="0.35">
      <c r="A55" s="8"/>
      <c r="B55" s="8"/>
      <c r="C55" s="9"/>
    </row>
    <row r="56" spans="1:3" ht="30" customHeight="1" x14ac:dyDescent="0.35">
      <c r="A56" s="10"/>
      <c r="B56" s="10"/>
      <c r="C56" s="11"/>
    </row>
    <row r="57" spans="1:3" ht="30" customHeight="1" x14ac:dyDescent="0.35">
      <c r="A57" s="8"/>
      <c r="B57" s="8"/>
      <c r="C57" s="9"/>
    </row>
    <row r="58" spans="1:3" ht="30" customHeight="1" x14ac:dyDescent="0.35">
      <c r="A58" s="10"/>
      <c r="B58" s="10"/>
      <c r="C58" s="11"/>
    </row>
    <row r="59" spans="1:3" ht="30" customHeight="1" x14ac:dyDescent="0.35">
      <c r="A59" s="8"/>
      <c r="B59" s="8"/>
      <c r="C59" s="9"/>
    </row>
    <row r="60" spans="1:3" ht="30" customHeight="1" x14ac:dyDescent="0.35">
      <c r="A60" s="10"/>
      <c r="B60" s="10"/>
      <c r="C60" s="11"/>
    </row>
    <row r="61" spans="1:3" ht="30" customHeight="1" x14ac:dyDescent="0.35">
      <c r="A61" s="8"/>
      <c r="B61" s="8"/>
      <c r="C61" s="9"/>
    </row>
    <row r="62" spans="1:3" ht="30" customHeight="1" x14ac:dyDescent="0.35">
      <c r="A62" s="10"/>
      <c r="B62" s="10"/>
      <c r="C62" s="11"/>
    </row>
    <row r="63" spans="1:3" ht="30" customHeight="1" x14ac:dyDescent="0.35">
      <c r="A63" s="8"/>
      <c r="B63" s="8"/>
      <c r="C63" s="9"/>
    </row>
    <row r="64" spans="1:3" ht="30" customHeight="1" x14ac:dyDescent="0.35">
      <c r="A64" s="10"/>
      <c r="B64" s="10"/>
      <c r="C64" s="11"/>
    </row>
    <row r="65" spans="1:3" ht="30" customHeight="1" x14ac:dyDescent="0.35">
      <c r="A65" s="8"/>
      <c r="B65" s="8"/>
      <c r="C65" s="9"/>
    </row>
    <row r="66" spans="1:3" ht="30" customHeight="1" x14ac:dyDescent="0.35">
      <c r="A66" s="10"/>
      <c r="B66" s="10"/>
      <c r="C66" s="11"/>
    </row>
    <row r="67" spans="1:3" ht="30" customHeight="1" x14ac:dyDescent="0.35">
      <c r="A67" s="8"/>
      <c r="B67" s="8"/>
      <c r="C67" s="9"/>
    </row>
    <row r="68" spans="1:3" ht="30" customHeight="1" x14ac:dyDescent="0.35">
      <c r="A68" s="10"/>
      <c r="B68" s="10"/>
      <c r="C68" s="11"/>
    </row>
    <row r="69" spans="1:3" ht="30" customHeight="1" x14ac:dyDescent="0.35">
      <c r="A69" s="8"/>
      <c r="B69" s="8"/>
      <c r="C69" s="9"/>
    </row>
    <row r="70" spans="1:3" ht="30" customHeight="1" x14ac:dyDescent="0.35">
      <c r="A70" s="10"/>
      <c r="B70" s="10"/>
      <c r="C70" s="11"/>
    </row>
    <row r="71" spans="1:3" ht="30" customHeight="1" x14ac:dyDescent="0.35">
      <c r="A71" s="8"/>
      <c r="B71" s="8"/>
      <c r="C71" s="9"/>
    </row>
    <row r="72" spans="1:3" ht="30" customHeight="1" x14ac:dyDescent="0.35">
      <c r="A72" s="10"/>
      <c r="B72" s="10"/>
      <c r="C72" s="11"/>
    </row>
    <row r="73" spans="1:3" ht="30" customHeight="1" x14ac:dyDescent="0.35">
      <c r="A73" s="8"/>
      <c r="B73" s="8"/>
      <c r="C73" s="9"/>
    </row>
    <row r="74" spans="1:3" ht="30" customHeight="1" x14ac:dyDescent="0.35">
      <c r="A74" s="10"/>
      <c r="B74" s="10"/>
      <c r="C74" s="11"/>
    </row>
    <row r="75" spans="1:3" ht="30" customHeight="1" x14ac:dyDescent="0.35">
      <c r="A75" s="8"/>
      <c r="B75" s="8"/>
      <c r="C75" s="9"/>
    </row>
    <row r="76" spans="1:3" ht="30" customHeight="1" x14ac:dyDescent="0.35">
      <c r="A76" s="10"/>
      <c r="B76" s="10"/>
      <c r="C76" s="11"/>
    </row>
    <row r="77" spans="1:3" ht="30" customHeight="1" x14ac:dyDescent="0.35">
      <c r="A77" s="8"/>
      <c r="B77" s="8"/>
      <c r="C77" s="9"/>
    </row>
    <row r="78" spans="1:3" ht="30" customHeight="1" x14ac:dyDescent="0.35">
      <c r="A78" s="10"/>
      <c r="B78" s="10"/>
      <c r="C78" s="11"/>
    </row>
    <row r="79" spans="1:3" ht="30" customHeight="1" x14ac:dyDescent="0.35">
      <c r="A79" s="8"/>
      <c r="B79" s="8"/>
      <c r="C79" s="9"/>
    </row>
    <row r="80" spans="1:3" ht="30" customHeight="1" x14ac:dyDescent="0.35">
      <c r="A80" s="10"/>
      <c r="B80" s="10"/>
      <c r="C80" s="11"/>
    </row>
    <row r="81" spans="1:3" ht="30" customHeight="1" x14ac:dyDescent="0.35">
      <c r="A81" s="8"/>
      <c r="B81" s="8"/>
      <c r="C81" s="9"/>
    </row>
    <row r="82" spans="1:3" ht="30" customHeight="1" x14ac:dyDescent="0.35">
      <c r="A82" s="10"/>
      <c r="B82" s="10"/>
      <c r="C82" s="11"/>
    </row>
    <row r="83" spans="1:3" ht="30" customHeight="1" x14ac:dyDescent="0.35">
      <c r="A83" s="8"/>
      <c r="B83" s="8"/>
      <c r="C83" s="9"/>
    </row>
    <row r="84" spans="1:3" ht="30" customHeight="1" x14ac:dyDescent="0.35">
      <c r="A84" s="10"/>
      <c r="B84" s="10"/>
      <c r="C84" s="11"/>
    </row>
    <row r="85" spans="1:3" ht="30" customHeight="1" x14ac:dyDescent="0.35">
      <c r="A85" s="8"/>
      <c r="B85" s="8"/>
      <c r="C85" s="9"/>
    </row>
    <row r="86" spans="1:3" ht="30" customHeight="1" x14ac:dyDescent="0.35">
      <c r="A86" s="10"/>
      <c r="B86" s="10"/>
      <c r="C86" s="11"/>
    </row>
    <row r="87" spans="1:3" ht="30" customHeight="1" x14ac:dyDescent="0.35">
      <c r="A87" s="8"/>
      <c r="B87" s="8"/>
      <c r="C87" s="9"/>
    </row>
    <row r="88" spans="1:3" ht="30" customHeight="1" x14ac:dyDescent="0.35">
      <c r="A88" s="10"/>
      <c r="B88" s="10"/>
      <c r="C88" s="11"/>
    </row>
    <row r="89" spans="1:3" ht="30" customHeight="1" x14ac:dyDescent="0.35">
      <c r="A89" s="8"/>
      <c r="B89" s="8"/>
      <c r="C89" s="9"/>
    </row>
    <row r="90" spans="1:3" ht="30" customHeight="1" x14ac:dyDescent="0.35">
      <c r="A90" s="10"/>
      <c r="B90" s="10"/>
      <c r="C90" s="11"/>
    </row>
    <row r="91" spans="1:3" ht="30" customHeight="1" x14ac:dyDescent="0.35">
      <c r="A91" s="8"/>
      <c r="B91" s="8"/>
      <c r="C91" s="9"/>
    </row>
    <row r="92" spans="1:3" ht="30" customHeight="1" x14ac:dyDescent="0.35">
      <c r="A92" s="10"/>
      <c r="B92" s="10"/>
      <c r="C92" s="11"/>
    </row>
    <row r="93" spans="1:3" ht="30" customHeight="1" x14ac:dyDescent="0.35">
      <c r="A93" s="8"/>
      <c r="B93" s="8"/>
      <c r="C93" s="9"/>
    </row>
    <row r="94" spans="1:3" ht="30" customHeight="1" x14ac:dyDescent="0.35">
      <c r="A94" s="10"/>
      <c r="B94" s="10"/>
      <c r="C94" s="11"/>
    </row>
    <row r="95" spans="1:3" ht="30" customHeight="1" x14ac:dyDescent="0.35">
      <c r="A95" s="8"/>
      <c r="B95" s="8"/>
      <c r="C95" s="9"/>
    </row>
    <row r="96" spans="1:3" ht="30" customHeight="1" x14ac:dyDescent="0.35">
      <c r="A96" s="10"/>
      <c r="B96" s="10"/>
      <c r="C96" s="11"/>
    </row>
    <row r="97" spans="1:3" ht="30" customHeight="1" x14ac:dyDescent="0.35">
      <c r="A97" s="8"/>
      <c r="B97" s="8"/>
      <c r="C97" s="9"/>
    </row>
    <row r="98" spans="1:3" ht="30" customHeight="1" x14ac:dyDescent="0.35">
      <c r="A98" s="10"/>
      <c r="B98" s="10"/>
      <c r="C98" s="11"/>
    </row>
    <row r="99" spans="1:3" ht="30" customHeight="1" x14ac:dyDescent="0.35">
      <c r="A99" s="8"/>
      <c r="B99" s="8"/>
      <c r="C99" s="9"/>
    </row>
    <row r="100" spans="1:3" ht="30" customHeight="1" x14ac:dyDescent="0.35">
      <c r="A100" s="10"/>
      <c r="B100" s="10"/>
      <c r="C100" s="11"/>
    </row>
    <row r="101" spans="1:3" ht="30" customHeight="1" x14ac:dyDescent="0.35">
      <c r="A101" s="8"/>
      <c r="B101" s="8"/>
      <c r="C101" s="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2F1BD-7872-4B12-BAF0-023A23071CB4}">
  <dimension ref="A1:S5956"/>
  <sheetViews>
    <sheetView topLeftCell="A7" zoomScaleNormal="100" workbookViewId="0">
      <selection activeCell="A2" sqref="A2"/>
    </sheetView>
  </sheetViews>
  <sheetFormatPr defaultRowHeight="14.5" x14ac:dyDescent="0.35"/>
  <cols>
    <col min="1" max="1" width="12.54296875" bestFit="1" customWidth="1"/>
    <col min="2" max="2" width="7" bestFit="1" customWidth="1"/>
    <col min="3" max="3" width="26" customWidth="1"/>
    <col min="4" max="4" width="9.453125" customWidth="1"/>
    <col min="5" max="5" width="39.1796875" bestFit="1" customWidth="1"/>
    <col min="6" max="6" width="8.81640625" customWidth="1"/>
    <col min="7" max="7" width="22.453125" bestFit="1" customWidth="1"/>
    <col min="8" max="8" width="11.7265625" customWidth="1"/>
    <col min="9" max="9" width="7.26953125" customWidth="1"/>
    <col min="10" max="10" width="5.54296875" customWidth="1"/>
    <col min="11" max="11" width="7.81640625" bestFit="1" customWidth="1"/>
    <col min="12" max="12" width="6" bestFit="1" customWidth="1"/>
    <col min="13" max="13" width="12.81640625" bestFit="1" customWidth="1"/>
    <col min="14" max="14" width="13.81640625" bestFit="1" customWidth="1"/>
    <col min="15" max="15" width="54.26953125" bestFit="1" customWidth="1"/>
    <col min="16" max="16" width="17.1796875" bestFit="1" customWidth="1"/>
    <col min="17" max="17" width="15" bestFit="1" customWidth="1"/>
    <col min="18" max="18" width="13.1796875" bestFit="1" customWidth="1"/>
  </cols>
  <sheetData>
    <row r="1" spans="1:19" x14ac:dyDescent="0.35">
      <c r="A1" t="s">
        <v>29</v>
      </c>
      <c r="B1" t="s">
        <v>30</v>
      </c>
      <c r="C1" t="s">
        <v>31</v>
      </c>
      <c r="D1" t="s">
        <v>32</v>
      </c>
      <c r="E1" t="s">
        <v>33</v>
      </c>
      <c r="F1" t="s">
        <v>34</v>
      </c>
      <c r="G1" t="s">
        <v>35</v>
      </c>
      <c r="H1" t="s">
        <v>36</v>
      </c>
      <c r="I1" t="s">
        <v>37</v>
      </c>
      <c r="J1" t="s">
        <v>38</v>
      </c>
      <c r="K1" t="s">
        <v>39</v>
      </c>
      <c r="L1" t="s">
        <v>40</v>
      </c>
      <c r="M1" t="s">
        <v>41</v>
      </c>
      <c r="N1" t="s">
        <v>42</v>
      </c>
      <c r="O1" t="s">
        <v>43</v>
      </c>
      <c r="P1" t="s">
        <v>44</v>
      </c>
      <c r="Q1" t="s">
        <v>45</v>
      </c>
      <c r="R1" t="s">
        <v>46</v>
      </c>
      <c r="S1" t="s">
        <v>47</v>
      </c>
    </row>
    <row r="2" spans="1:19" x14ac:dyDescent="0.35">
      <c r="A2">
        <v>43877</v>
      </c>
      <c r="B2" t="str">
        <f>"043877"</f>
        <v>043877</v>
      </c>
      <c r="C2" t="s">
        <v>48</v>
      </c>
      <c r="D2" t="s">
        <v>49</v>
      </c>
      <c r="E2" t="s">
        <v>50</v>
      </c>
      <c r="F2" t="s">
        <v>51</v>
      </c>
      <c r="G2" t="s">
        <v>52</v>
      </c>
      <c r="H2" t="s">
        <v>53</v>
      </c>
      <c r="I2" t="s">
        <v>54</v>
      </c>
      <c r="J2" t="s">
        <v>52</v>
      </c>
      <c r="K2" t="s">
        <v>55</v>
      </c>
      <c r="L2" t="s">
        <v>56</v>
      </c>
      <c r="M2" t="s">
        <v>57</v>
      </c>
      <c r="N2" t="str">
        <f>"050765"</f>
        <v>050765</v>
      </c>
      <c r="O2" t="s">
        <v>58</v>
      </c>
      <c r="P2" t="s">
        <v>59</v>
      </c>
      <c r="Q2">
        <v>27.9</v>
      </c>
      <c r="R2">
        <v>22.400000000000006</v>
      </c>
      <c r="S2" t="s">
        <v>60</v>
      </c>
    </row>
    <row r="3" spans="1:19" x14ac:dyDescent="0.35">
      <c r="A3">
        <v>200026</v>
      </c>
      <c r="B3" t="str">
        <f>"200026"</f>
        <v>200026</v>
      </c>
      <c r="C3" t="s">
        <v>61</v>
      </c>
      <c r="D3" t="s">
        <v>49</v>
      </c>
      <c r="E3" t="s">
        <v>62</v>
      </c>
      <c r="F3" t="s">
        <v>51</v>
      </c>
      <c r="G3" t="s">
        <v>63</v>
      </c>
      <c r="H3" t="s">
        <v>64</v>
      </c>
      <c r="I3" t="s">
        <v>65</v>
      </c>
      <c r="J3" t="s">
        <v>66</v>
      </c>
      <c r="K3" t="s">
        <v>55</v>
      </c>
      <c r="L3" t="s">
        <v>67</v>
      </c>
      <c r="M3" t="s">
        <v>57</v>
      </c>
      <c r="N3" t="str">
        <f>"N/A"</f>
        <v>N/A</v>
      </c>
      <c r="O3" t="s">
        <v>49</v>
      </c>
      <c r="P3" t="s">
        <v>68</v>
      </c>
      <c r="Q3" t="s">
        <v>68</v>
      </c>
      <c r="R3" t="s">
        <v>68</v>
      </c>
      <c r="S3" t="s">
        <v>69</v>
      </c>
    </row>
    <row r="4" spans="1:19" x14ac:dyDescent="0.35">
      <c r="A4">
        <v>43778</v>
      </c>
      <c r="B4" t="str">
        <f>"043778"</f>
        <v>043778</v>
      </c>
      <c r="C4" t="s">
        <v>70</v>
      </c>
      <c r="D4" t="s">
        <v>49</v>
      </c>
      <c r="E4" t="s">
        <v>50</v>
      </c>
      <c r="F4" t="s">
        <v>51</v>
      </c>
      <c r="G4" t="s">
        <v>71</v>
      </c>
      <c r="H4" t="s">
        <v>72</v>
      </c>
      <c r="I4" t="s">
        <v>73</v>
      </c>
      <c r="J4" t="s">
        <v>74</v>
      </c>
      <c r="K4" t="s">
        <v>55</v>
      </c>
      <c r="L4" t="s">
        <v>75</v>
      </c>
      <c r="M4" t="s">
        <v>57</v>
      </c>
      <c r="N4" t="str">
        <f>"050765"</f>
        <v>050765</v>
      </c>
      <c r="O4" t="s">
        <v>58</v>
      </c>
      <c r="P4" t="s">
        <v>76</v>
      </c>
      <c r="Q4">
        <v>99.5</v>
      </c>
      <c r="R4">
        <v>7.4000000000000057</v>
      </c>
      <c r="S4" t="s">
        <v>77</v>
      </c>
    </row>
    <row r="5" spans="1:19" x14ac:dyDescent="0.35">
      <c r="A5">
        <v>45096</v>
      </c>
      <c r="B5" t="str">
        <f>"045096"</f>
        <v>045096</v>
      </c>
      <c r="C5" t="s">
        <v>78</v>
      </c>
      <c r="D5" t="s">
        <v>49</v>
      </c>
      <c r="E5" t="s">
        <v>50</v>
      </c>
      <c r="F5" t="s">
        <v>51</v>
      </c>
      <c r="G5" t="s">
        <v>79</v>
      </c>
      <c r="H5" t="s">
        <v>80</v>
      </c>
      <c r="I5" t="s">
        <v>81</v>
      </c>
      <c r="J5" t="s">
        <v>82</v>
      </c>
      <c r="K5" t="s">
        <v>55</v>
      </c>
      <c r="L5" t="s">
        <v>83</v>
      </c>
      <c r="M5" t="s">
        <v>57</v>
      </c>
      <c r="N5" t="str">
        <f>"050765"</f>
        <v>050765</v>
      </c>
      <c r="O5" t="s">
        <v>58</v>
      </c>
      <c r="P5" t="s">
        <v>84</v>
      </c>
      <c r="Q5">
        <v>59.5</v>
      </c>
      <c r="R5">
        <v>33.400000000000006</v>
      </c>
      <c r="S5" t="s">
        <v>69</v>
      </c>
    </row>
    <row r="6" spans="1:19" x14ac:dyDescent="0.35">
      <c r="A6">
        <v>45542</v>
      </c>
      <c r="B6" t="str">
        <f>"045542"</f>
        <v>045542</v>
      </c>
      <c r="C6" t="s">
        <v>85</v>
      </c>
      <c r="D6" t="s">
        <v>49</v>
      </c>
      <c r="E6" t="s">
        <v>50</v>
      </c>
      <c r="F6" t="s">
        <v>51</v>
      </c>
      <c r="G6" t="s">
        <v>71</v>
      </c>
      <c r="H6" t="s">
        <v>86</v>
      </c>
      <c r="I6" t="s">
        <v>87</v>
      </c>
      <c r="J6" t="s">
        <v>88</v>
      </c>
      <c r="K6" t="s">
        <v>55</v>
      </c>
      <c r="L6" t="s">
        <v>89</v>
      </c>
      <c r="M6" t="s">
        <v>57</v>
      </c>
      <c r="N6" t="str">
        <f>"125252"</f>
        <v>125252</v>
      </c>
      <c r="O6" t="s">
        <v>90</v>
      </c>
      <c r="P6" t="s">
        <v>76</v>
      </c>
      <c r="Q6">
        <v>62.1</v>
      </c>
      <c r="R6">
        <v>8.4000000000000057</v>
      </c>
      <c r="S6" t="s">
        <v>77</v>
      </c>
    </row>
    <row r="7" spans="1:19" x14ac:dyDescent="0.35">
      <c r="A7">
        <v>46904</v>
      </c>
      <c r="B7" t="str">
        <f>"046904"</f>
        <v>046904</v>
      </c>
      <c r="C7" t="s">
        <v>91</v>
      </c>
      <c r="D7" t="s">
        <v>49</v>
      </c>
      <c r="E7" t="s">
        <v>50</v>
      </c>
      <c r="F7" t="s">
        <v>51</v>
      </c>
      <c r="G7" t="s">
        <v>92</v>
      </c>
      <c r="H7" t="s">
        <v>93</v>
      </c>
      <c r="I7" t="s">
        <v>94</v>
      </c>
      <c r="J7" t="s">
        <v>95</v>
      </c>
      <c r="K7" t="s">
        <v>55</v>
      </c>
      <c r="L7" t="s">
        <v>96</v>
      </c>
      <c r="M7" t="s">
        <v>57</v>
      </c>
      <c r="N7" t="str">
        <f>"046839"</f>
        <v>046839</v>
      </c>
      <c r="O7" t="s">
        <v>97</v>
      </c>
      <c r="P7" t="s">
        <v>76</v>
      </c>
      <c r="Q7">
        <v>43.1</v>
      </c>
      <c r="R7">
        <v>5.5999999999999943</v>
      </c>
      <c r="S7" t="s">
        <v>60</v>
      </c>
    </row>
    <row r="8" spans="1:19" x14ac:dyDescent="0.35">
      <c r="A8">
        <v>44750</v>
      </c>
      <c r="B8" t="str">
        <f>"044750"</f>
        <v>044750</v>
      </c>
      <c r="C8" t="s">
        <v>98</v>
      </c>
      <c r="D8" t="s">
        <v>49</v>
      </c>
      <c r="E8" t="s">
        <v>50</v>
      </c>
      <c r="F8" t="s">
        <v>51</v>
      </c>
      <c r="G8" t="s">
        <v>63</v>
      </c>
      <c r="H8" t="s">
        <v>99</v>
      </c>
      <c r="I8" t="s">
        <v>100</v>
      </c>
      <c r="J8" t="s">
        <v>101</v>
      </c>
      <c r="K8" t="s">
        <v>55</v>
      </c>
      <c r="L8" t="s">
        <v>102</v>
      </c>
      <c r="M8" t="s">
        <v>57</v>
      </c>
      <c r="N8" t="str">
        <f>"050765"</f>
        <v>050765</v>
      </c>
      <c r="O8" t="s">
        <v>58</v>
      </c>
      <c r="P8" t="s">
        <v>59</v>
      </c>
      <c r="Q8">
        <v>35.9</v>
      </c>
      <c r="R8">
        <v>61.3</v>
      </c>
      <c r="S8" t="s">
        <v>69</v>
      </c>
    </row>
    <row r="9" spans="1:19" x14ac:dyDescent="0.35">
      <c r="A9">
        <v>45278</v>
      </c>
      <c r="B9" t="str">
        <f>"045278"</f>
        <v>045278</v>
      </c>
      <c r="C9" t="s">
        <v>103</v>
      </c>
      <c r="D9" t="s">
        <v>49</v>
      </c>
      <c r="E9" t="s">
        <v>50</v>
      </c>
      <c r="F9" t="s">
        <v>51</v>
      </c>
      <c r="G9" t="s">
        <v>104</v>
      </c>
      <c r="H9" t="s">
        <v>105</v>
      </c>
      <c r="I9" t="s">
        <v>106</v>
      </c>
      <c r="J9" t="s">
        <v>107</v>
      </c>
      <c r="K9" t="s">
        <v>55</v>
      </c>
      <c r="L9" t="s">
        <v>108</v>
      </c>
      <c r="M9" t="s">
        <v>57</v>
      </c>
      <c r="N9" t="str">
        <f>"050765"</f>
        <v>050765</v>
      </c>
      <c r="O9" t="s">
        <v>58</v>
      </c>
      <c r="P9" t="s">
        <v>76</v>
      </c>
      <c r="Q9">
        <v>47.2</v>
      </c>
      <c r="R9">
        <v>6.2999999999999972</v>
      </c>
      <c r="S9" t="s">
        <v>77</v>
      </c>
    </row>
    <row r="10" spans="1:19" x14ac:dyDescent="0.35">
      <c r="A10">
        <v>48033</v>
      </c>
      <c r="B10" t="str">
        <f>"048033"</f>
        <v>048033</v>
      </c>
      <c r="C10" t="s">
        <v>109</v>
      </c>
      <c r="D10" t="s">
        <v>49</v>
      </c>
      <c r="E10" t="s">
        <v>50</v>
      </c>
      <c r="F10" t="s">
        <v>51</v>
      </c>
      <c r="G10" t="s">
        <v>110</v>
      </c>
      <c r="H10" t="s">
        <v>111</v>
      </c>
      <c r="I10" t="s">
        <v>112</v>
      </c>
      <c r="J10" t="s">
        <v>113</v>
      </c>
      <c r="K10" t="s">
        <v>55</v>
      </c>
      <c r="L10" t="s">
        <v>114</v>
      </c>
      <c r="M10" t="s">
        <v>57</v>
      </c>
      <c r="N10" t="str">
        <f>"047977"</f>
        <v>047977</v>
      </c>
      <c r="O10" t="s">
        <v>115</v>
      </c>
      <c r="P10" t="s">
        <v>84</v>
      </c>
      <c r="Q10">
        <v>27.6</v>
      </c>
      <c r="R10">
        <v>8.7000000000000028</v>
      </c>
      <c r="S10" t="s">
        <v>60</v>
      </c>
    </row>
    <row r="11" spans="1:19" x14ac:dyDescent="0.35">
      <c r="A11">
        <v>49882</v>
      </c>
      <c r="B11" t="str">
        <f>"049882"</f>
        <v>049882</v>
      </c>
      <c r="C11" t="s">
        <v>116</v>
      </c>
      <c r="D11" t="s">
        <v>49</v>
      </c>
      <c r="E11" t="s">
        <v>50</v>
      </c>
      <c r="F11" t="s">
        <v>51</v>
      </c>
      <c r="G11" t="s">
        <v>117</v>
      </c>
      <c r="H11" t="s">
        <v>118</v>
      </c>
      <c r="I11" t="s">
        <v>119</v>
      </c>
      <c r="J11" t="s">
        <v>120</v>
      </c>
      <c r="K11" t="s">
        <v>55</v>
      </c>
      <c r="L11" t="s">
        <v>121</v>
      </c>
      <c r="M11" t="s">
        <v>57</v>
      </c>
      <c r="N11" t="str">
        <f>"049825"</f>
        <v>049825</v>
      </c>
      <c r="O11" t="s">
        <v>122</v>
      </c>
      <c r="P11" t="s">
        <v>84</v>
      </c>
      <c r="Q11">
        <v>38.4</v>
      </c>
      <c r="R11">
        <v>10.599999999999994</v>
      </c>
      <c r="S11" t="s">
        <v>77</v>
      </c>
    </row>
    <row r="12" spans="1:19" x14ac:dyDescent="0.35">
      <c r="A12">
        <v>50492</v>
      </c>
      <c r="B12" t="str">
        <f>"050492"</f>
        <v>050492</v>
      </c>
      <c r="C12" t="s">
        <v>123</v>
      </c>
      <c r="D12" t="s">
        <v>49</v>
      </c>
      <c r="E12" t="s">
        <v>50</v>
      </c>
      <c r="F12" t="s">
        <v>51</v>
      </c>
      <c r="G12" t="s">
        <v>124</v>
      </c>
      <c r="H12" t="s">
        <v>125</v>
      </c>
      <c r="I12" t="s">
        <v>126</v>
      </c>
      <c r="J12" t="s">
        <v>127</v>
      </c>
      <c r="K12" t="s">
        <v>55</v>
      </c>
      <c r="L12" t="s">
        <v>128</v>
      </c>
      <c r="M12" t="s">
        <v>57</v>
      </c>
      <c r="N12" t="str">
        <f>"123281"</f>
        <v>123281</v>
      </c>
      <c r="O12" t="s">
        <v>129</v>
      </c>
      <c r="P12" t="s">
        <v>76</v>
      </c>
      <c r="Q12">
        <v>30.9</v>
      </c>
      <c r="R12">
        <v>2.9000000000000057</v>
      </c>
      <c r="S12" t="s">
        <v>130</v>
      </c>
    </row>
    <row r="13" spans="1:19" x14ac:dyDescent="0.35">
      <c r="A13">
        <v>200004</v>
      </c>
      <c r="B13" t="str">
        <f>"200004"</f>
        <v>200004</v>
      </c>
      <c r="C13" t="s">
        <v>131</v>
      </c>
      <c r="D13" t="s">
        <v>49</v>
      </c>
      <c r="E13" t="s">
        <v>62</v>
      </c>
      <c r="F13" t="s">
        <v>51</v>
      </c>
      <c r="G13" t="s">
        <v>132</v>
      </c>
      <c r="H13" t="s">
        <v>133</v>
      </c>
      <c r="I13" t="s">
        <v>134</v>
      </c>
      <c r="J13" t="s">
        <v>135</v>
      </c>
      <c r="K13" t="s">
        <v>55</v>
      </c>
      <c r="L13" t="s">
        <v>136</v>
      </c>
      <c r="M13" t="s">
        <v>57</v>
      </c>
      <c r="N13" t="str">
        <f>"N/A"</f>
        <v>N/A</v>
      </c>
      <c r="O13" t="s">
        <v>49</v>
      </c>
      <c r="P13" t="s">
        <v>68</v>
      </c>
      <c r="Q13" t="s">
        <v>68</v>
      </c>
      <c r="R13" t="s">
        <v>68</v>
      </c>
      <c r="S13" t="s">
        <v>69</v>
      </c>
    </row>
    <row r="14" spans="1:19" x14ac:dyDescent="0.35">
      <c r="A14">
        <v>43646</v>
      </c>
      <c r="B14" t="str">
        <f>"043646"</f>
        <v>043646</v>
      </c>
      <c r="C14" t="s">
        <v>137</v>
      </c>
      <c r="D14" t="s">
        <v>49</v>
      </c>
      <c r="E14" t="s">
        <v>50</v>
      </c>
      <c r="F14" t="s">
        <v>51</v>
      </c>
      <c r="G14" t="s">
        <v>63</v>
      </c>
      <c r="H14" t="s">
        <v>138</v>
      </c>
      <c r="I14" t="s">
        <v>139</v>
      </c>
      <c r="J14" t="s">
        <v>140</v>
      </c>
      <c r="K14" t="s">
        <v>55</v>
      </c>
      <c r="L14" t="s">
        <v>141</v>
      </c>
      <c r="M14" t="s">
        <v>57</v>
      </c>
      <c r="N14" t="str">
        <f>"050765"</f>
        <v>050765</v>
      </c>
      <c r="O14" t="s">
        <v>58</v>
      </c>
      <c r="P14" t="s">
        <v>59</v>
      </c>
      <c r="Q14">
        <v>10.5</v>
      </c>
      <c r="R14">
        <v>17.099999999999994</v>
      </c>
      <c r="S14" t="s">
        <v>69</v>
      </c>
    </row>
    <row r="15" spans="1:19" x14ac:dyDescent="0.35">
      <c r="A15">
        <v>48165</v>
      </c>
      <c r="B15" t="str">
        <f>"048165"</f>
        <v>048165</v>
      </c>
      <c r="C15" t="s">
        <v>142</v>
      </c>
      <c r="D15" t="s">
        <v>49</v>
      </c>
      <c r="E15" t="s">
        <v>50</v>
      </c>
      <c r="F15" t="s">
        <v>51</v>
      </c>
      <c r="G15" t="s">
        <v>143</v>
      </c>
      <c r="H15" t="s">
        <v>144</v>
      </c>
      <c r="I15" t="s">
        <v>145</v>
      </c>
      <c r="J15" t="s">
        <v>146</v>
      </c>
      <c r="K15" t="s">
        <v>55</v>
      </c>
      <c r="L15" t="s">
        <v>147</v>
      </c>
      <c r="M15" t="s">
        <v>57</v>
      </c>
      <c r="N15" t="str">
        <f>"048108"</f>
        <v>048108</v>
      </c>
      <c r="O15" t="s">
        <v>148</v>
      </c>
      <c r="P15" t="s">
        <v>84</v>
      </c>
      <c r="Q15">
        <v>24.9</v>
      </c>
      <c r="R15">
        <v>8.0999999999999943</v>
      </c>
      <c r="S15" t="s">
        <v>69</v>
      </c>
    </row>
    <row r="16" spans="1:19" x14ac:dyDescent="0.35">
      <c r="A16">
        <v>49346</v>
      </c>
      <c r="B16" t="str">
        <f>"049346"</f>
        <v>049346</v>
      </c>
      <c r="C16" t="s">
        <v>149</v>
      </c>
      <c r="D16" t="s">
        <v>49</v>
      </c>
      <c r="E16" t="s">
        <v>50</v>
      </c>
      <c r="F16" t="s">
        <v>51</v>
      </c>
      <c r="G16" t="s">
        <v>150</v>
      </c>
      <c r="H16" t="s">
        <v>151</v>
      </c>
      <c r="I16" t="s">
        <v>152</v>
      </c>
      <c r="J16" t="s">
        <v>153</v>
      </c>
      <c r="K16" t="s">
        <v>55</v>
      </c>
      <c r="L16" t="s">
        <v>154</v>
      </c>
      <c r="M16" t="s">
        <v>57</v>
      </c>
      <c r="N16" t="str">
        <f>"049304"</f>
        <v>049304</v>
      </c>
      <c r="O16" t="s">
        <v>155</v>
      </c>
      <c r="P16" t="s">
        <v>84</v>
      </c>
      <c r="Q16">
        <v>6.5</v>
      </c>
      <c r="R16">
        <v>0.5</v>
      </c>
      <c r="S16" t="s">
        <v>156</v>
      </c>
    </row>
    <row r="17" spans="1:19" x14ac:dyDescent="0.35">
      <c r="A17">
        <v>49866</v>
      </c>
      <c r="B17" t="str">
        <f>"049866"</f>
        <v>049866</v>
      </c>
      <c r="C17" t="s">
        <v>157</v>
      </c>
      <c r="D17" t="s">
        <v>49</v>
      </c>
      <c r="E17" t="s">
        <v>50</v>
      </c>
      <c r="F17" t="s">
        <v>51</v>
      </c>
      <c r="G17" t="s">
        <v>117</v>
      </c>
      <c r="H17" t="s">
        <v>158</v>
      </c>
      <c r="I17" t="s">
        <v>159</v>
      </c>
      <c r="J17" t="s">
        <v>160</v>
      </c>
      <c r="K17" t="s">
        <v>55</v>
      </c>
      <c r="L17" t="s">
        <v>161</v>
      </c>
      <c r="M17" t="s">
        <v>57</v>
      </c>
      <c r="N17" t="str">
        <f>"049825"</f>
        <v>049825</v>
      </c>
      <c r="O17" t="s">
        <v>122</v>
      </c>
      <c r="P17" t="s">
        <v>84</v>
      </c>
      <c r="Q17">
        <v>14.9</v>
      </c>
      <c r="R17">
        <v>7</v>
      </c>
      <c r="S17" t="s">
        <v>77</v>
      </c>
    </row>
    <row r="18" spans="1:19" x14ac:dyDescent="0.35">
      <c r="A18">
        <v>51227</v>
      </c>
      <c r="B18" t="str">
        <f>"051227"</f>
        <v>051227</v>
      </c>
      <c r="C18" t="s">
        <v>162</v>
      </c>
      <c r="D18" t="s">
        <v>49</v>
      </c>
      <c r="E18" t="s">
        <v>163</v>
      </c>
      <c r="F18" t="s">
        <v>51</v>
      </c>
      <c r="G18" t="s">
        <v>143</v>
      </c>
      <c r="H18" t="s">
        <v>164</v>
      </c>
      <c r="I18" t="s">
        <v>165</v>
      </c>
      <c r="J18" t="s">
        <v>166</v>
      </c>
      <c r="K18" t="s">
        <v>55</v>
      </c>
      <c r="L18" t="s">
        <v>167</v>
      </c>
      <c r="M18" t="s">
        <v>57</v>
      </c>
      <c r="N18" t="str">
        <f>"050765"</f>
        <v>050765</v>
      </c>
      <c r="O18" t="s">
        <v>58</v>
      </c>
      <c r="P18" t="s">
        <v>68</v>
      </c>
      <c r="Q18" t="s">
        <v>68</v>
      </c>
      <c r="R18" t="s">
        <v>68</v>
      </c>
      <c r="S18" t="s">
        <v>69</v>
      </c>
    </row>
    <row r="19" spans="1:19" x14ac:dyDescent="0.35">
      <c r="A19">
        <v>51631</v>
      </c>
      <c r="B19" t="str">
        <f>"051631"</f>
        <v>051631</v>
      </c>
      <c r="C19" t="s">
        <v>168</v>
      </c>
      <c r="D19" t="s">
        <v>49</v>
      </c>
      <c r="E19" t="s">
        <v>163</v>
      </c>
      <c r="F19" t="s">
        <v>51</v>
      </c>
      <c r="G19" t="s">
        <v>169</v>
      </c>
      <c r="H19" t="s">
        <v>170</v>
      </c>
      <c r="I19" t="s">
        <v>171</v>
      </c>
      <c r="J19" t="s">
        <v>172</v>
      </c>
      <c r="K19" t="s">
        <v>55</v>
      </c>
      <c r="L19" t="s">
        <v>173</v>
      </c>
      <c r="M19" t="s">
        <v>57</v>
      </c>
      <c r="N19" t="str">
        <f>"050765"</f>
        <v>050765</v>
      </c>
      <c r="O19" t="s">
        <v>58</v>
      </c>
      <c r="P19" t="s">
        <v>68</v>
      </c>
      <c r="Q19" t="s">
        <v>68</v>
      </c>
      <c r="R19" t="s">
        <v>68</v>
      </c>
      <c r="S19" t="s">
        <v>77</v>
      </c>
    </row>
    <row r="20" spans="1:19" x14ac:dyDescent="0.35">
      <c r="A20">
        <v>44099</v>
      </c>
      <c r="B20" t="str">
        <f>"044099"</f>
        <v>044099</v>
      </c>
      <c r="C20" t="s">
        <v>174</v>
      </c>
      <c r="D20" t="s">
        <v>49</v>
      </c>
      <c r="E20" t="s">
        <v>50</v>
      </c>
      <c r="F20" t="s">
        <v>51</v>
      </c>
      <c r="G20" t="s">
        <v>175</v>
      </c>
      <c r="H20" t="s">
        <v>176</v>
      </c>
      <c r="I20" t="s">
        <v>177</v>
      </c>
      <c r="J20" t="s">
        <v>178</v>
      </c>
      <c r="K20" t="s">
        <v>55</v>
      </c>
      <c r="L20" t="s">
        <v>179</v>
      </c>
      <c r="M20" t="s">
        <v>57</v>
      </c>
      <c r="N20" t="str">
        <f>"050765"</f>
        <v>050765</v>
      </c>
      <c r="O20" t="s">
        <v>58</v>
      </c>
      <c r="P20" t="s">
        <v>84</v>
      </c>
      <c r="Q20">
        <v>43.1</v>
      </c>
      <c r="R20">
        <v>7.2999999999999972</v>
      </c>
      <c r="S20" t="s">
        <v>180</v>
      </c>
    </row>
    <row r="21" spans="1:19" x14ac:dyDescent="0.35">
      <c r="A21">
        <v>45856</v>
      </c>
      <c r="B21" t="str">
        <f>"045856"</f>
        <v>045856</v>
      </c>
      <c r="C21" t="s">
        <v>181</v>
      </c>
      <c r="D21" t="s">
        <v>49</v>
      </c>
      <c r="E21" t="s">
        <v>50</v>
      </c>
      <c r="F21" t="s">
        <v>51</v>
      </c>
      <c r="G21" t="s">
        <v>132</v>
      </c>
      <c r="H21" t="s">
        <v>182</v>
      </c>
      <c r="I21" t="s">
        <v>183</v>
      </c>
      <c r="J21" t="s">
        <v>132</v>
      </c>
      <c r="K21" t="s">
        <v>55</v>
      </c>
      <c r="L21" t="s">
        <v>184</v>
      </c>
      <c r="M21" t="s">
        <v>57</v>
      </c>
      <c r="N21" t="str">
        <f>"045849"</f>
        <v>045849</v>
      </c>
      <c r="O21" t="s">
        <v>185</v>
      </c>
      <c r="P21" t="s">
        <v>84</v>
      </c>
      <c r="Q21">
        <v>53.4</v>
      </c>
      <c r="R21">
        <v>17.5</v>
      </c>
      <c r="S21" t="s">
        <v>69</v>
      </c>
    </row>
    <row r="22" spans="1:19" x14ac:dyDescent="0.35">
      <c r="A22">
        <v>50534</v>
      </c>
      <c r="B22" t="str">
        <f>"050534"</f>
        <v>050534</v>
      </c>
      <c r="C22" t="s">
        <v>186</v>
      </c>
      <c r="D22" t="s">
        <v>49</v>
      </c>
      <c r="E22" t="s">
        <v>50</v>
      </c>
      <c r="F22" t="s">
        <v>51</v>
      </c>
      <c r="G22" t="s">
        <v>187</v>
      </c>
      <c r="H22" t="s">
        <v>188</v>
      </c>
      <c r="I22" t="s">
        <v>189</v>
      </c>
      <c r="J22" t="s">
        <v>190</v>
      </c>
      <c r="K22" t="s">
        <v>55</v>
      </c>
      <c r="L22" t="s">
        <v>191</v>
      </c>
      <c r="M22" t="s">
        <v>57</v>
      </c>
      <c r="N22" t="str">
        <f>"050526"</f>
        <v>050526</v>
      </c>
      <c r="O22" t="s">
        <v>192</v>
      </c>
      <c r="P22" t="s">
        <v>84</v>
      </c>
      <c r="Q22">
        <v>28.1</v>
      </c>
      <c r="R22">
        <v>5.5</v>
      </c>
      <c r="S22" t="s">
        <v>77</v>
      </c>
    </row>
    <row r="23" spans="1:19" x14ac:dyDescent="0.35">
      <c r="A23">
        <v>51375</v>
      </c>
      <c r="B23" t="str">
        <f>"051375"</f>
        <v>051375</v>
      </c>
      <c r="C23" t="s">
        <v>193</v>
      </c>
      <c r="D23" t="s">
        <v>49</v>
      </c>
      <c r="E23" t="s">
        <v>163</v>
      </c>
      <c r="F23" t="s">
        <v>51</v>
      </c>
      <c r="G23" t="s">
        <v>194</v>
      </c>
      <c r="H23" t="s">
        <v>195</v>
      </c>
      <c r="I23" t="s">
        <v>196</v>
      </c>
      <c r="J23" t="s">
        <v>197</v>
      </c>
      <c r="K23" t="s">
        <v>55</v>
      </c>
      <c r="L23" t="s">
        <v>198</v>
      </c>
      <c r="M23" t="s">
        <v>57</v>
      </c>
      <c r="N23" t="str">
        <f>"050765"</f>
        <v>050765</v>
      </c>
      <c r="O23" t="s">
        <v>58</v>
      </c>
      <c r="P23" t="s">
        <v>68</v>
      </c>
      <c r="Q23" t="s">
        <v>68</v>
      </c>
      <c r="R23" t="s">
        <v>68</v>
      </c>
      <c r="S23" t="s">
        <v>130</v>
      </c>
    </row>
    <row r="24" spans="1:19" x14ac:dyDescent="0.35">
      <c r="A24">
        <v>200060</v>
      </c>
      <c r="B24" t="str">
        <f>"200060"</f>
        <v>200060</v>
      </c>
      <c r="C24" t="s">
        <v>199</v>
      </c>
      <c r="D24" t="s">
        <v>49</v>
      </c>
      <c r="E24" t="s">
        <v>62</v>
      </c>
      <c r="F24" t="s">
        <v>51</v>
      </c>
      <c r="G24" t="s">
        <v>200</v>
      </c>
      <c r="H24" t="s">
        <v>201</v>
      </c>
      <c r="I24" t="s">
        <v>202</v>
      </c>
      <c r="J24" t="s">
        <v>203</v>
      </c>
      <c r="K24" t="s">
        <v>55</v>
      </c>
      <c r="L24" t="s">
        <v>204</v>
      </c>
      <c r="M24" t="s">
        <v>57</v>
      </c>
      <c r="N24" t="str">
        <f>"N/A"</f>
        <v>N/A</v>
      </c>
      <c r="O24" t="s">
        <v>49</v>
      </c>
      <c r="P24" t="s">
        <v>68</v>
      </c>
      <c r="Q24" t="s">
        <v>68</v>
      </c>
      <c r="R24" t="s">
        <v>68</v>
      </c>
      <c r="S24" t="s">
        <v>156</v>
      </c>
    </row>
    <row r="25" spans="1:19" x14ac:dyDescent="0.35">
      <c r="A25">
        <v>44941</v>
      </c>
      <c r="B25" t="str">
        <f>"044941"</f>
        <v>044941</v>
      </c>
      <c r="C25" t="s">
        <v>205</v>
      </c>
      <c r="D25" t="s">
        <v>49</v>
      </c>
      <c r="E25" t="s">
        <v>50</v>
      </c>
      <c r="F25" t="s">
        <v>51</v>
      </c>
      <c r="G25" t="s">
        <v>206</v>
      </c>
      <c r="H25" t="s">
        <v>207</v>
      </c>
      <c r="I25" t="s">
        <v>208</v>
      </c>
      <c r="J25" t="s">
        <v>209</v>
      </c>
      <c r="K25" t="s">
        <v>55</v>
      </c>
      <c r="L25" t="s">
        <v>210</v>
      </c>
      <c r="M25" t="s">
        <v>57</v>
      </c>
      <c r="N25" t="str">
        <f>"050765"</f>
        <v>050765</v>
      </c>
      <c r="O25" t="s">
        <v>58</v>
      </c>
      <c r="P25" t="s">
        <v>84</v>
      </c>
      <c r="Q25">
        <v>52.3</v>
      </c>
      <c r="R25">
        <v>17</v>
      </c>
      <c r="S25" t="s">
        <v>180</v>
      </c>
    </row>
    <row r="26" spans="1:19" x14ac:dyDescent="0.35">
      <c r="A26">
        <v>45435</v>
      </c>
      <c r="B26" t="str">
        <f>"045435"</f>
        <v>045435</v>
      </c>
      <c r="C26" t="s">
        <v>211</v>
      </c>
      <c r="D26" t="s">
        <v>49</v>
      </c>
      <c r="E26" t="s">
        <v>50</v>
      </c>
      <c r="F26" t="s">
        <v>51</v>
      </c>
      <c r="G26" t="s">
        <v>212</v>
      </c>
      <c r="H26" t="s">
        <v>213</v>
      </c>
      <c r="I26" t="s">
        <v>214</v>
      </c>
      <c r="J26" t="s">
        <v>215</v>
      </c>
      <c r="K26" t="s">
        <v>55</v>
      </c>
      <c r="L26" t="s">
        <v>216</v>
      </c>
      <c r="M26" t="s">
        <v>57</v>
      </c>
      <c r="N26" t="str">
        <f>"050765"</f>
        <v>050765</v>
      </c>
      <c r="O26" t="s">
        <v>58</v>
      </c>
      <c r="P26" t="s">
        <v>59</v>
      </c>
      <c r="Q26">
        <v>4.3</v>
      </c>
      <c r="R26">
        <v>24.599999999999994</v>
      </c>
      <c r="S26" t="s">
        <v>217</v>
      </c>
    </row>
    <row r="27" spans="1:19" x14ac:dyDescent="0.35">
      <c r="A27">
        <v>49601</v>
      </c>
      <c r="B27" t="str">
        <f>"049601"</f>
        <v>049601</v>
      </c>
      <c r="C27" t="s">
        <v>218</v>
      </c>
      <c r="D27" t="s">
        <v>49</v>
      </c>
      <c r="E27" t="s">
        <v>50</v>
      </c>
      <c r="F27" t="s">
        <v>51</v>
      </c>
      <c r="G27" t="s">
        <v>219</v>
      </c>
      <c r="H27" t="s">
        <v>220</v>
      </c>
      <c r="I27" t="s">
        <v>221</v>
      </c>
      <c r="J27" t="s">
        <v>222</v>
      </c>
      <c r="K27" t="s">
        <v>55</v>
      </c>
      <c r="L27" t="s">
        <v>223</v>
      </c>
      <c r="M27" t="s">
        <v>57</v>
      </c>
      <c r="N27" t="str">
        <f>"125658"</f>
        <v>125658</v>
      </c>
      <c r="O27" t="s">
        <v>224</v>
      </c>
      <c r="P27" t="s">
        <v>76</v>
      </c>
      <c r="Q27">
        <v>61.6</v>
      </c>
      <c r="R27">
        <v>7</v>
      </c>
      <c r="S27" t="s">
        <v>130</v>
      </c>
    </row>
    <row r="28" spans="1:19" x14ac:dyDescent="0.35">
      <c r="A28">
        <v>50682</v>
      </c>
      <c r="B28" t="str">
        <f>"050682"</f>
        <v>050682</v>
      </c>
      <c r="C28" t="s">
        <v>225</v>
      </c>
      <c r="D28" t="s">
        <v>49</v>
      </c>
      <c r="E28" t="s">
        <v>50</v>
      </c>
      <c r="F28" t="s">
        <v>51</v>
      </c>
      <c r="G28" t="s">
        <v>226</v>
      </c>
      <c r="H28" t="s">
        <v>227</v>
      </c>
      <c r="I28" t="s">
        <v>228</v>
      </c>
      <c r="J28" t="s">
        <v>229</v>
      </c>
      <c r="K28" t="s">
        <v>55</v>
      </c>
      <c r="L28" t="s">
        <v>230</v>
      </c>
      <c r="M28" t="s">
        <v>57</v>
      </c>
      <c r="N28" t="str">
        <f>"050666"</f>
        <v>050666</v>
      </c>
      <c r="O28" t="s">
        <v>231</v>
      </c>
      <c r="P28" t="s">
        <v>76</v>
      </c>
      <c r="Q28">
        <v>30.6</v>
      </c>
      <c r="R28">
        <v>10.900000000000006</v>
      </c>
      <c r="S28" t="s">
        <v>156</v>
      </c>
    </row>
    <row r="29" spans="1:19" x14ac:dyDescent="0.35">
      <c r="A29">
        <v>50856</v>
      </c>
      <c r="B29" t="str">
        <f>"050856"</f>
        <v>050856</v>
      </c>
      <c r="C29" t="s">
        <v>232</v>
      </c>
      <c r="D29" t="s">
        <v>49</v>
      </c>
      <c r="E29" t="s">
        <v>163</v>
      </c>
      <c r="F29" t="s">
        <v>51</v>
      </c>
      <c r="G29" t="s">
        <v>233</v>
      </c>
      <c r="H29" t="s">
        <v>234</v>
      </c>
      <c r="I29" t="s">
        <v>235</v>
      </c>
      <c r="J29" t="s">
        <v>236</v>
      </c>
      <c r="K29" t="s">
        <v>55</v>
      </c>
      <c r="L29" t="s">
        <v>237</v>
      </c>
      <c r="M29" t="s">
        <v>57</v>
      </c>
      <c r="N29" t="str">
        <f>"050765"</f>
        <v>050765</v>
      </c>
      <c r="O29" t="s">
        <v>58</v>
      </c>
      <c r="P29" t="s">
        <v>68</v>
      </c>
      <c r="Q29" t="s">
        <v>68</v>
      </c>
      <c r="R29" t="s">
        <v>68</v>
      </c>
      <c r="S29" t="s">
        <v>130</v>
      </c>
    </row>
    <row r="30" spans="1:19" x14ac:dyDescent="0.35">
      <c r="A30">
        <v>43810</v>
      </c>
      <c r="B30" t="str">
        <f>"043810"</f>
        <v>043810</v>
      </c>
      <c r="C30" t="s">
        <v>238</v>
      </c>
      <c r="D30" t="s">
        <v>49</v>
      </c>
      <c r="E30" t="s">
        <v>50</v>
      </c>
      <c r="F30" t="s">
        <v>51</v>
      </c>
      <c r="G30" t="s">
        <v>132</v>
      </c>
      <c r="H30" t="s">
        <v>239</v>
      </c>
      <c r="I30" t="s">
        <v>240</v>
      </c>
      <c r="J30" t="s">
        <v>241</v>
      </c>
      <c r="K30" t="s">
        <v>55</v>
      </c>
      <c r="L30" t="s">
        <v>242</v>
      </c>
      <c r="M30" t="s">
        <v>57</v>
      </c>
      <c r="N30" t="str">
        <f>"050765"</f>
        <v>050765</v>
      </c>
      <c r="O30" t="s">
        <v>58</v>
      </c>
      <c r="P30" t="s">
        <v>84</v>
      </c>
      <c r="Q30">
        <v>65.7</v>
      </c>
      <c r="R30">
        <v>11</v>
      </c>
      <c r="S30" t="s">
        <v>69</v>
      </c>
    </row>
    <row r="31" spans="1:19" x14ac:dyDescent="0.35">
      <c r="A31">
        <v>46094</v>
      </c>
      <c r="B31" t="str">
        <f>"046094"</f>
        <v>046094</v>
      </c>
      <c r="C31" t="s">
        <v>243</v>
      </c>
      <c r="D31" t="s">
        <v>49</v>
      </c>
      <c r="E31" t="s">
        <v>50</v>
      </c>
      <c r="F31" t="s">
        <v>51</v>
      </c>
      <c r="G31" t="s">
        <v>244</v>
      </c>
      <c r="H31" t="s">
        <v>245</v>
      </c>
      <c r="I31" t="s">
        <v>246</v>
      </c>
      <c r="J31" t="s">
        <v>247</v>
      </c>
      <c r="K31" t="s">
        <v>55</v>
      </c>
      <c r="L31" t="s">
        <v>248</v>
      </c>
      <c r="M31" t="s">
        <v>57</v>
      </c>
      <c r="N31" t="str">
        <f>"050765"</f>
        <v>050765</v>
      </c>
      <c r="O31" t="s">
        <v>58</v>
      </c>
      <c r="P31" t="s">
        <v>84</v>
      </c>
      <c r="Q31">
        <v>41.8</v>
      </c>
      <c r="R31">
        <v>13.299999999999997</v>
      </c>
      <c r="S31" t="s">
        <v>217</v>
      </c>
    </row>
    <row r="32" spans="1:19" x14ac:dyDescent="0.35">
      <c r="A32">
        <v>46383</v>
      </c>
      <c r="B32" t="str">
        <f>"046383"</f>
        <v>046383</v>
      </c>
      <c r="C32" t="s">
        <v>249</v>
      </c>
      <c r="D32" t="s">
        <v>49</v>
      </c>
      <c r="E32" t="s">
        <v>50</v>
      </c>
      <c r="F32" t="s">
        <v>51</v>
      </c>
      <c r="G32" t="s">
        <v>250</v>
      </c>
      <c r="H32" t="s">
        <v>251</v>
      </c>
      <c r="I32" t="s">
        <v>252</v>
      </c>
      <c r="J32" t="s">
        <v>253</v>
      </c>
      <c r="K32" t="s">
        <v>55</v>
      </c>
      <c r="L32" t="s">
        <v>254</v>
      </c>
      <c r="M32" t="s">
        <v>57</v>
      </c>
      <c r="N32" t="str">
        <f>"046375"</f>
        <v>046375</v>
      </c>
      <c r="O32" t="s">
        <v>255</v>
      </c>
      <c r="P32" t="s">
        <v>76</v>
      </c>
      <c r="Q32">
        <v>41.1</v>
      </c>
      <c r="R32">
        <v>5.7999999999999972</v>
      </c>
      <c r="S32" t="s">
        <v>60</v>
      </c>
    </row>
    <row r="33" spans="1:19" x14ac:dyDescent="0.35">
      <c r="A33">
        <v>48967</v>
      </c>
      <c r="B33" t="str">
        <f>"048967"</f>
        <v>048967</v>
      </c>
      <c r="C33" t="s">
        <v>256</v>
      </c>
      <c r="D33" t="s">
        <v>49</v>
      </c>
      <c r="E33" t="s">
        <v>50</v>
      </c>
      <c r="F33" t="s">
        <v>51</v>
      </c>
      <c r="G33" t="s">
        <v>257</v>
      </c>
      <c r="H33" t="s">
        <v>258</v>
      </c>
      <c r="I33" t="s">
        <v>259</v>
      </c>
      <c r="J33" t="s">
        <v>260</v>
      </c>
      <c r="K33" t="s">
        <v>55</v>
      </c>
      <c r="L33" t="s">
        <v>261</v>
      </c>
      <c r="M33" t="s">
        <v>57</v>
      </c>
      <c r="N33" t="str">
        <f>"125690"</f>
        <v>125690</v>
      </c>
      <c r="O33" t="s">
        <v>262</v>
      </c>
      <c r="P33" t="s">
        <v>68</v>
      </c>
      <c r="Q33" t="s">
        <v>68</v>
      </c>
      <c r="R33" t="s">
        <v>68</v>
      </c>
      <c r="S33" t="s">
        <v>156</v>
      </c>
    </row>
    <row r="34" spans="1:19" x14ac:dyDescent="0.35">
      <c r="A34">
        <v>50062</v>
      </c>
      <c r="B34" t="str">
        <f>"050062"</f>
        <v>050062</v>
      </c>
      <c r="C34" t="s">
        <v>263</v>
      </c>
      <c r="D34" t="s">
        <v>49</v>
      </c>
      <c r="E34" t="s">
        <v>50</v>
      </c>
      <c r="F34" t="s">
        <v>51</v>
      </c>
      <c r="G34" t="s">
        <v>264</v>
      </c>
      <c r="H34" t="s">
        <v>265</v>
      </c>
      <c r="I34" t="s">
        <v>266</v>
      </c>
      <c r="J34" t="s">
        <v>267</v>
      </c>
      <c r="K34" t="s">
        <v>55</v>
      </c>
      <c r="L34" t="s">
        <v>268</v>
      </c>
      <c r="M34" t="s">
        <v>57</v>
      </c>
      <c r="N34" t="str">
        <f>"049965"</f>
        <v>049965</v>
      </c>
      <c r="O34" t="s">
        <v>269</v>
      </c>
      <c r="P34" t="s">
        <v>84</v>
      </c>
      <c r="Q34">
        <v>51.4</v>
      </c>
      <c r="R34">
        <v>16.200000000000003</v>
      </c>
      <c r="S34" t="s">
        <v>77</v>
      </c>
    </row>
    <row r="35" spans="1:19" x14ac:dyDescent="0.35">
      <c r="A35">
        <v>50963</v>
      </c>
      <c r="B35" t="str">
        <f>"050963"</f>
        <v>050963</v>
      </c>
      <c r="C35" t="s">
        <v>270</v>
      </c>
      <c r="D35" t="s">
        <v>49</v>
      </c>
      <c r="E35" t="s">
        <v>163</v>
      </c>
      <c r="F35" t="s">
        <v>51</v>
      </c>
      <c r="G35" t="s">
        <v>271</v>
      </c>
      <c r="H35" t="s">
        <v>272</v>
      </c>
      <c r="I35" t="s">
        <v>273</v>
      </c>
      <c r="J35" t="s">
        <v>274</v>
      </c>
      <c r="K35" t="s">
        <v>55</v>
      </c>
      <c r="L35" t="s">
        <v>275</v>
      </c>
      <c r="M35" t="s">
        <v>57</v>
      </c>
      <c r="N35" t="str">
        <f>"050765"</f>
        <v>050765</v>
      </c>
      <c r="O35" t="s">
        <v>58</v>
      </c>
      <c r="P35" t="s">
        <v>68</v>
      </c>
      <c r="Q35" t="s">
        <v>68</v>
      </c>
      <c r="R35" t="s">
        <v>68</v>
      </c>
      <c r="S35" t="s">
        <v>156</v>
      </c>
    </row>
    <row r="36" spans="1:19" x14ac:dyDescent="0.35">
      <c r="A36">
        <v>44826</v>
      </c>
      <c r="B36" t="str">
        <f>"044826"</f>
        <v>044826</v>
      </c>
      <c r="C36" t="s">
        <v>276</v>
      </c>
      <c r="D36" t="s">
        <v>49</v>
      </c>
      <c r="E36" t="s">
        <v>50</v>
      </c>
      <c r="F36" t="s">
        <v>51</v>
      </c>
      <c r="G36" t="s">
        <v>135</v>
      </c>
      <c r="H36" t="s">
        <v>277</v>
      </c>
      <c r="I36" t="s">
        <v>278</v>
      </c>
      <c r="J36" t="s">
        <v>279</v>
      </c>
      <c r="K36" t="s">
        <v>55</v>
      </c>
      <c r="L36" t="s">
        <v>280</v>
      </c>
      <c r="M36" t="s">
        <v>57</v>
      </c>
      <c r="N36" t="str">
        <f>"050765"</f>
        <v>050765</v>
      </c>
      <c r="O36" t="s">
        <v>58</v>
      </c>
      <c r="P36" t="s">
        <v>281</v>
      </c>
      <c r="Q36">
        <v>99.3</v>
      </c>
      <c r="R36">
        <v>40.799999999999997</v>
      </c>
      <c r="S36" t="s">
        <v>130</v>
      </c>
    </row>
    <row r="37" spans="1:19" x14ac:dyDescent="0.35">
      <c r="A37">
        <v>46581</v>
      </c>
      <c r="B37" t="str">
        <f>"046581"</f>
        <v>046581</v>
      </c>
      <c r="C37" t="s">
        <v>282</v>
      </c>
      <c r="D37" t="s">
        <v>49</v>
      </c>
      <c r="E37" t="s">
        <v>50</v>
      </c>
      <c r="F37" t="s">
        <v>51</v>
      </c>
      <c r="G37" t="s">
        <v>63</v>
      </c>
      <c r="H37" t="s">
        <v>283</v>
      </c>
      <c r="I37" t="s">
        <v>284</v>
      </c>
      <c r="J37" t="s">
        <v>285</v>
      </c>
      <c r="K37" t="s">
        <v>55</v>
      </c>
      <c r="L37" t="s">
        <v>286</v>
      </c>
      <c r="M37" t="s">
        <v>57</v>
      </c>
      <c r="N37" t="str">
        <f>"050765"</f>
        <v>050765</v>
      </c>
      <c r="O37" t="s">
        <v>58</v>
      </c>
      <c r="P37" t="s">
        <v>59</v>
      </c>
      <c r="Q37">
        <v>8.5</v>
      </c>
      <c r="R37">
        <v>30.400000000000006</v>
      </c>
      <c r="S37" t="s">
        <v>69</v>
      </c>
    </row>
    <row r="38" spans="1:19" x14ac:dyDescent="0.35">
      <c r="A38">
        <v>48090</v>
      </c>
      <c r="B38" t="str">
        <f>"048090"</f>
        <v>048090</v>
      </c>
      <c r="C38" t="s">
        <v>287</v>
      </c>
      <c r="D38" t="s">
        <v>49</v>
      </c>
      <c r="E38" t="s">
        <v>50</v>
      </c>
      <c r="F38" t="s">
        <v>51</v>
      </c>
      <c r="G38" t="s">
        <v>288</v>
      </c>
      <c r="H38" t="s">
        <v>289</v>
      </c>
      <c r="I38" t="s">
        <v>290</v>
      </c>
      <c r="J38" t="s">
        <v>291</v>
      </c>
      <c r="K38" t="s">
        <v>55</v>
      </c>
      <c r="L38" t="s">
        <v>292</v>
      </c>
      <c r="M38" t="s">
        <v>57</v>
      </c>
      <c r="N38" t="str">
        <f>"014777"</f>
        <v>014777</v>
      </c>
      <c r="O38" t="s">
        <v>293</v>
      </c>
      <c r="P38" t="s">
        <v>76</v>
      </c>
      <c r="Q38">
        <v>55.9</v>
      </c>
      <c r="R38">
        <v>9.2999999999999972</v>
      </c>
      <c r="S38" t="s">
        <v>180</v>
      </c>
    </row>
    <row r="39" spans="1:19" x14ac:dyDescent="0.35">
      <c r="A39">
        <v>49197</v>
      </c>
      <c r="B39" t="str">
        <f>"049197"</f>
        <v>049197</v>
      </c>
      <c r="C39" t="s">
        <v>294</v>
      </c>
      <c r="D39" t="s">
        <v>49</v>
      </c>
      <c r="E39" t="s">
        <v>50</v>
      </c>
      <c r="F39" t="s">
        <v>51</v>
      </c>
      <c r="G39" t="s">
        <v>295</v>
      </c>
      <c r="H39" t="s">
        <v>296</v>
      </c>
      <c r="I39" t="s">
        <v>297</v>
      </c>
      <c r="J39" t="s">
        <v>298</v>
      </c>
      <c r="K39" t="s">
        <v>55</v>
      </c>
      <c r="L39" t="s">
        <v>299</v>
      </c>
      <c r="M39" t="s">
        <v>57</v>
      </c>
      <c r="N39" t="str">
        <f>"049965"</f>
        <v>049965</v>
      </c>
      <c r="O39" t="s">
        <v>269</v>
      </c>
      <c r="P39" t="s">
        <v>84</v>
      </c>
      <c r="Q39">
        <v>32.4</v>
      </c>
      <c r="R39">
        <v>12.700000000000003</v>
      </c>
      <c r="S39" t="s">
        <v>77</v>
      </c>
    </row>
    <row r="40" spans="1:19" x14ac:dyDescent="0.35">
      <c r="A40">
        <v>15458</v>
      </c>
      <c r="B40" t="str">
        <f>"015458"</f>
        <v>015458</v>
      </c>
      <c r="C40" t="s">
        <v>300</v>
      </c>
      <c r="D40" t="s">
        <v>49</v>
      </c>
      <c r="E40" t="s">
        <v>301</v>
      </c>
      <c r="F40" t="s">
        <v>51</v>
      </c>
      <c r="G40" t="s">
        <v>200</v>
      </c>
      <c r="H40" t="s">
        <v>302</v>
      </c>
      <c r="I40" t="s">
        <v>303</v>
      </c>
      <c r="J40" t="s">
        <v>304</v>
      </c>
      <c r="K40" t="s">
        <v>55</v>
      </c>
      <c r="L40" t="s">
        <v>305</v>
      </c>
      <c r="M40" t="s">
        <v>57</v>
      </c>
      <c r="N40" t="str">
        <f>"N/A"</f>
        <v>N/A</v>
      </c>
      <c r="O40" t="s">
        <v>49</v>
      </c>
      <c r="P40" t="s">
        <v>68</v>
      </c>
      <c r="Q40" t="s">
        <v>68</v>
      </c>
      <c r="R40" t="s">
        <v>68</v>
      </c>
      <c r="S40" t="s">
        <v>156</v>
      </c>
    </row>
    <row r="41" spans="1:19" x14ac:dyDescent="0.35">
      <c r="A41">
        <v>45120</v>
      </c>
      <c r="B41" t="str">
        <f>"045120"</f>
        <v>045120</v>
      </c>
      <c r="C41" t="s">
        <v>306</v>
      </c>
      <c r="D41" t="s">
        <v>49</v>
      </c>
      <c r="E41" t="s">
        <v>50</v>
      </c>
      <c r="F41" t="s">
        <v>51</v>
      </c>
      <c r="G41" t="s">
        <v>187</v>
      </c>
      <c r="H41" t="s">
        <v>307</v>
      </c>
      <c r="I41" t="s">
        <v>308</v>
      </c>
      <c r="J41" t="s">
        <v>309</v>
      </c>
      <c r="K41" t="s">
        <v>55</v>
      </c>
      <c r="L41" t="s">
        <v>310</v>
      </c>
      <c r="M41" t="s">
        <v>57</v>
      </c>
      <c r="N41" t="str">
        <f>"050765"</f>
        <v>050765</v>
      </c>
      <c r="O41" t="s">
        <v>58</v>
      </c>
      <c r="P41" t="s">
        <v>84</v>
      </c>
      <c r="Q41">
        <v>42.1</v>
      </c>
      <c r="R41">
        <v>16.299999999999997</v>
      </c>
      <c r="S41" t="s">
        <v>77</v>
      </c>
    </row>
    <row r="42" spans="1:19" x14ac:dyDescent="0.35">
      <c r="A42">
        <v>48421</v>
      </c>
      <c r="B42" t="str">
        <f>"048421"</f>
        <v>048421</v>
      </c>
      <c r="C42" t="s">
        <v>311</v>
      </c>
      <c r="D42" t="s">
        <v>49</v>
      </c>
      <c r="E42" t="s">
        <v>50</v>
      </c>
      <c r="F42" t="s">
        <v>51</v>
      </c>
      <c r="G42" t="s">
        <v>312</v>
      </c>
      <c r="H42" t="s">
        <v>313</v>
      </c>
      <c r="I42" t="s">
        <v>314</v>
      </c>
      <c r="J42" t="s">
        <v>312</v>
      </c>
      <c r="K42" t="s">
        <v>55</v>
      </c>
      <c r="L42" t="s">
        <v>315</v>
      </c>
      <c r="M42" t="s">
        <v>57</v>
      </c>
      <c r="N42" t="str">
        <f>"123257"</f>
        <v>123257</v>
      </c>
      <c r="O42" t="s">
        <v>316</v>
      </c>
      <c r="P42" t="s">
        <v>84</v>
      </c>
      <c r="Q42">
        <v>28.9</v>
      </c>
      <c r="R42">
        <v>8.2000000000000028</v>
      </c>
      <c r="S42" t="s">
        <v>156</v>
      </c>
    </row>
    <row r="43" spans="1:19" x14ac:dyDescent="0.35">
      <c r="A43">
        <v>49536</v>
      </c>
      <c r="B43" t="str">
        <f>"049536"</f>
        <v>049536</v>
      </c>
      <c r="C43" t="s">
        <v>317</v>
      </c>
      <c r="D43" t="s">
        <v>49</v>
      </c>
      <c r="E43" t="s">
        <v>50</v>
      </c>
      <c r="F43" t="s">
        <v>51</v>
      </c>
      <c r="G43" t="s">
        <v>318</v>
      </c>
      <c r="H43" t="s">
        <v>319</v>
      </c>
      <c r="I43" t="s">
        <v>320</v>
      </c>
      <c r="J43" t="s">
        <v>321</v>
      </c>
      <c r="K43" t="s">
        <v>55</v>
      </c>
      <c r="L43" t="s">
        <v>322</v>
      </c>
      <c r="M43" t="s">
        <v>57</v>
      </c>
      <c r="N43" t="str">
        <f>"138222"</f>
        <v>138222</v>
      </c>
      <c r="O43" t="s">
        <v>323</v>
      </c>
      <c r="P43" t="s">
        <v>84</v>
      </c>
      <c r="Q43">
        <v>42.1</v>
      </c>
      <c r="R43">
        <v>12.099999999999994</v>
      </c>
      <c r="S43" t="s">
        <v>130</v>
      </c>
    </row>
    <row r="44" spans="1:19" x14ac:dyDescent="0.35">
      <c r="A44">
        <v>44644</v>
      </c>
      <c r="B44" t="str">
        <f>"044644"</f>
        <v>044644</v>
      </c>
      <c r="C44" t="s">
        <v>324</v>
      </c>
      <c r="D44" t="s">
        <v>49</v>
      </c>
      <c r="E44" t="s">
        <v>50</v>
      </c>
      <c r="F44" t="s">
        <v>51</v>
      </c>
      <c r="G44" t="s">
        <v>325</v>
      </c>
      <c r="H44" t="s">
        <v>326</v>
      </c>
      <c r="I44" t="s">
        <v>327</v>
      </c>
      <c r="J44" t="s">
        <v>328</v>
      </c>
      <c r="K44" t="s">
        <v>55</v>
      </c>
      <c r="L44" t="s">
        <v>329</v>
      </c>
      <c r="M44" t="s">
        <v>57</v>
      </c>
      <c r="N44" t="str">
        <f>"050765"</f>
        <v>050765</v>
      </c>
      <c r="O44" t="s">
        <v>58</v>
      </c>
      <c r="P44" t="s">
        <v>84</v>
      </c>
      <c r="Q44">
        <v>56.9</v>
      </c>
      <c r="R44">
        <v>19.099999999999994</v>
      </c>
      <c r="S44" t="s">
        <v>180</v>
      </c>
    </row>
    <row r="45" spans="1:19" x14ac:dyDescent="0.35">
      <c r="A45">
        <v>45344</v>
      </c>
      <c r="B45" t="str">
        <f>"045344"</f>
        <v>045344</v>
      </c>
      <c r="C45" t="s">
        <v>330</v>
      </c>
      <c r="D45" t="s">
        <v>49</v>
      </c>
      <c r="E45" t="s">
        <v>50</v>
      </c>
      <c r="F45" t="s">
        <v>51</v>
      </c>
      <c r="G45" t="s">
        <v>331</v>
      </c>
      <c r="H45" t="s">
        <v>332</v>
      </c>
      <c r="I45" t="s">
        <v>333</v>
      </c>
      <c r="J45" t="s">
        <v>334</v>
      </c>
      <c r="K45" t="s">
        <v>55</v>
      </c>
      <c r="L45" t="s">
        <v>335</v>
      </c>
      <c r="M45" t="s">
        <v>57</v>
      </c>
      <c r="N45" t="str">
        <f>"050765"</f>
        <v>050765</v>
      </c>
      <c r="O45" t="s">
        <v>58</v>
      </c>
      <c r="P45" t="s">
        <v>76</v>
      </c>
      <c r="Q45">
        <v>96</v>
      </c>
      <c r="R45">
        <v>7.9000000000000057</v>
      </c>
      <c r="S45" t="s">
        <v>156</v>
      </c>
    </row>
    <row r="46" spans="1:19" x14ac:dyDescent="0.35">
      <c r="A46">
        <v>48215</v>
      </c>
      <c r="B46" t="str">
        <f>"048215"</f>
        <v>048215</v>
      </c>
      <c r="C46" t="s">
        <v>336</v>
      </c>
      <c r="D46" t="s">
        <v>49</v>
      </c>
      <c r="E46" t="s">
        <v>50</v>
      </c>
      <c r="F46" t="s">
        <v>51</v>
      </c>
      <c r="G46" t="s">
        <v>200</v>
      </c>
      <c r="H46" t="s">
        <v>337</v>
      </c>
      <c r="I46" t="s">
        <v>338</v>
      </c>
      <c r="J46" t="s">
        <v>304</v>
      </c>
      <c r="K46" t="s">
        <v>55</v>
      </c>
      <c r="L46" t="s">
        <v>305</v>
      </c>
      <c r="M46" t="s">
        <v>57</v>
      </c>
      <c r="N46" t="str">
        <f>"048199"</f>
        <v>048199</v>
      </c>
      <c r="O46" t="s">
        <v>339</v>
      </c>
      <c r="P46" t="s">
        <v>59</v>
      </c>
      <c r="Q46">
        <v>1.8</v>
      </c>
      <c r="R46">
        <v>26.599999999999994</v>
      </c>
      <c r="S46" t="s">
        <v>156</v>
      </c>
    </row>
    <row r="47" spans="1:19" x14ac:dyDescent="0.35">
      <c r="A47">
        <v>200098</v>
      </c>
      <c r="B47" t="str">
        <f>"200098"</f>
        <v>200098</v>
      </c>
      <c r="C47" t="s">
        <v>340</v>
      </c>
      <c r="D47" t="s">
        <v>49</v>
      </c>
      <c r="E47" t="s">
        <v>62</v>
      </c>
      <c r="F47" t="s">
        <v>51</v>
      </c>
      <c r="G47" t="s">
        <v>264</v>
      </c>
      <c r="H47" t="s">
        <v>341</v>
      </c>
      <c r="I47" t="s">
        <v>342</v>
      </c>
      <c r="J47" t="s">
        <v>160</v>
      </c>
      <c r="K47" t="s">
        <v>55</v>
      </c>
      <c r="L47" t="s">
        <v>161</v>
      </c>
      <c r="M47" t="s">
        <v>57</v>
      </c>
      <c r="N47" t="str">
        <f>"N/A"</f>
        <v>N/A</v>
      </c>
      <c r="O47" t="s">
        <v>49</v>
      </c>
      <c r="P47" t="s">
        <v>68</v>
      </c>
      <c r="Q47" t="s">
        <v>68</v>
      </c>
      <c r="R47" t="s">
        <v>68</v>
      </c>
      <c r="S47" t="s">
        <v>77</v>
      </c>
    </row>
    <row r="48" spans="1:19" x14ac:dyDescent="0.35">
      <c r="A48">
        <v>47050</v>
      </c>
      <c r="B48" t="str">
        <f>"047050"</f>
        <v>047050</v>
      </c>
      <c r="C48" t="s">
        <v>343</v>
      </c>
      <c r="D48" t="s">
        <v>49</v>
      </c>
      <c r="E48" t="s">
        <v>50</v>
      </c>
      <c r="F48" t="s">
        <v>51</v>
      </c>
      <c r="G48" t="s">
        <v>344</v>
      </c>
      <c r="H48" t="s">
        <v>345</v>
      </c>
      <c r="I48" t="s">
        <v>346</v>
      </c>
      <c r="J48" t="s">
        <v>347</v>
      </c>
      <c r="K48" t="s">
        <v>55</v>
      </c>
      <c r="L48" t="s">
        <v>348</v>
      </c>
      <c r="M48" t="s">
        <v>57</v>
      </c>
      <c r="N48" t="str">
        <f>"124297"</f>
        <v>124297</v>
      </c>
      <c r="O48" t="s">
        <v>349</v>
      </c>
      <c r="P48" t="s">
        <v>76</v>
      </c>
      <c r="Q48">
        <v>25.9</v>
      </c>
      <c r="R48">
        <v>9.4000000000000057</v>
      </c>
      <c r="S48" t="s">
        <v>156</v>
      </c>
    </row>
    <row r="49" spans="1:19" x14ac:dyDescent="0.35">
      <c r="A49">
        <v>47761</v>
      </c>
      <c r="B49" t="str">
        <f>"047761"</f>
        <v>047761</v>
      </c>
      <c r="C49" t="s">
        <v>350</v>
      </c>
      <c r="D49" t="s">
        <v>49</v>
      </c>
      <c r="E49" t="s">
        <v>50</v>
      </c>
      <c r="F49" t="s">
        <v>51</v>
      </c>
      <c r="G49" t="s">
        <v>351</v>
      </c>
      <c r="H49" t="s">
        <v>352</v>
      </c>
      <c r="I49" t="s">
        <v>353</v>
      </c>
      <c r="J49" t="s">
        <v>354</v>
      </c>
      <c r="K49" t="s">
        <v>55</v>
      </c>
      <c r="L49" t="s">
        <v>355</v>
      </c>
      <c r="M49" t="s">
        <v>57</v>
      </c>
      <c r="N49" t="str">
        <f>"125658"</f>
        <v>125658</v>
      </c>
      <c r="O49" t="s">
        <v>224</v>
      </c>
      <c r="P49" t="s">
        <v>76</v>
      </c>
      <c r="Q49">
        <v>99.9</v>
      </c>
      <c r="R49">
        <v>0.79999999999999716</v>
      </c>
      <c r="S49" t="s">
        <v>130</v>
      </c>
    </row>
    <row r="50" spans="1:19" x14ac:dyDescent="0.35">
      <c r="A50">
        <v>48447</v>
      </c>
      <c r="B50" t="str">
        <f>"048447"</f>
        <v>048447</v>
      </c>
      <c r="C50" t="s">
        <v>356</v>
      </c>
      <c r="D50" t="s">
        <v>49</v>
      </c>
      <c r="E50" t="s">
        <v>50</v>
      </c>
      <c r="F50" t="s">
        <v>51</v>
      </c>
      <c r="G50" t="s">
        <v>312</v>
      </c>
      <c r="H50" t="s">
        <v>357</v>
      </c>
      <c r="I50" t="s">
        <v>358</v>
      </c>
      <c r="J50" t="s">
        <v>359</v>
      </c>
      <c r="K50" t="s">
        <v>55</v>
      </c>
      <c r="L50" t="s">
        <v>360</v>
      </c>
      <c r="M50" t="s">
        <v>57</v>
      </c>
      <c r="N50" t="str">
        <f>"123257"</f>
        <v>123257</v>
      </c>
      <c r="O50" t="s">
        <v>316</v>
      </c>
      <c r="P50" t="s">
        <v>84</v>
      </c>
      <c r="Q50">
        <v>36.5</v>
      </c>
      <c r="R50">
        <v>10.5</v>
      </c>
      <c r="S50" t="s">
        <v>156</v>
      </c>
    </row>
    <row r="51" spans="1:19" x14ac:dyDescent="0.35">
      <c r="A51">
        <v>49288</v>
      </c>
      <c r="B51" t="str">
        <f>"049288"</f>
        <v>049288</v>
      </c>
      <c r="C51" t="s">
        <v>361</v>
      </c>
      <c r="D51" t="s">
        <v>49</v>
      </c>
      <c r="E51" t="s">
        <v>50</v>
      </c>
      <c r="F51" t="s">
        <v>51</v>
      </c>
      <c r="G51" t="s">
        <v>362</v>
      </c>
      <c r="H51" t="s">
        <v>363</v>
      </c>
      <c r="I51" t="s">
        <v>364</v>
      </c>
      <c r="J51" t="s">
        <v>365</v>
      </c>
      <c r="K51" t="s">
        <v>55</v>
      </c>
      <c r="L51" t="s">
        <v>366</v>
      </c>
      <c r="M51" t="s">
        <v>57</v>
      </c>
      <c r="N51" t="str">
        <f>"049254"</f>
        <v>049254</v>
      </c>
      <c r="O51" t="s">
        <v>367</v>
      </c>
      <c r="P51" t="s">
        <v>76</v>
      </c>
      <c r="Q51">
        <v>36.700000000000003</v>
      </c>
      <c r="R51">
        <v>3.2999999999999972</v>
      </c>
      <c r="S51" t="s">
        <v>180</v>
      </c>
    </row>
    <row r="52" spans="1:19" x14ac:dyDescent="0.35">
      <c r="A52">
        <v>45997</v>
      </c>
      <c r="B52" t="str">
        <f>"045997"</f>
        <v>045997</v>
      </c>
      <c r="C52" t="s">
        <v>368</v>
      </c>
      <c r="D52" t="s">
        <v>49</v>
      </c>
      <c r="E52" t="s">
        <v>50</v>
      </c>
      <c r="F52" t="s">
        <v>51</v>
      </c>
      <c r="G52" t="s">
        <v>233</v>
      </c>
      <c r="H52" t="s">
        <v>369</v>
      </c>
      <c r="I52" t="s">
        <v>370</v>
      </c>
      <c r="J52" t="s">
        <v>236</v>
      </c>
      <c r="K52" t="s">
        <v>55</v>
      </c>
      <c r="L52" t="s">
        <v>237</v>
      </c>
      <c r="M52" t="s">
        <v>57</v>
      </c>
      <c r="N52" t="str">
        <f>"050765"</f>
        <v>050765</v>
      </c>
      <c r="O52" t="s">
        <v>58</v>
      </c>
      <c r="P52" t="s">
        <v>84</v>
      </c>
      <c r="Q52">
        <v>27.4</v>
      </c>
      <c r="R52">
        <v>10.900000000000006</v>
      </c>
      <c r="S52" t="s">
        <v>130</v>
      </c>
    </row>
    <row r="53" spans="1:19" x14ac:dyDescent="0.35">
      <c r="A53">
        <v>46136</v>
      </c>
      <c r="B53" t="str">
        <f>"046136"</f>
        <v>046136</v>
      </c>
      <c r="C53" t="s">
        <v>371</v>
      </c>
      <c r="D53" t="s">
        <v>49</v>
      </c>
      <c r="E53" t="s">
        <v>50</v>
      </c>
      <c r="F53" t="s">
        <v>51</v>
      </c>
      <c r="G53" t="s">
        <v>244</v>
      </c>
      <c r="H53" t="s">
        <v>372</v>
      </c>
      <c r="I53" t="s">
        <v>373</v>
      </c>
      <c r="J53" t="s">
        <v>212</v>
      </c>
      <c r="K53" t="s">
        <v>55</v>
      </c>
      <c r="L53" t="s">
        <v>374</v>
      </c>
      <c r="M53" t="s">
        <v>57</v>
      </c>
      <c r="N53" t="str">
        <f>"046086"</f>
        <v>046086</v>
      </c>
      <c r="O53" t="s">
        <v>375</v>
      </c>
      <c r="P53" t="s">
        <v>76</v>
      </c>
      <c r="Q53">
        <v>99.5</v>
      </c>
      <c r="R53">
        <v>13.5</v>
      </c>
      <c r="S53" t="s">
        <v>217</v>
      </c>
    </row>
    <row r="54" spans="1:19" x14ac:dyDescent="0.35">
      <c r="A54">
        <v>46623</v>
      </c>
      <c r="B54" t="str">
        <f>"046623"</f>
        <v>046623</v>
      </c>
      <c r="C54" t="s">
        <v>376</v>
      </c>
      <c r="D54" t="s">
        <v>49</v>
      </c>
      <c r="E54" t="s">
        <v>50</v>
      </c>
      <c r="F54" t="s">
        <v>51</v>
      </c>
      <c r="G54" t="s">
        <v>175</v>
      </c>
      <c r="H54" t="s">
        <v>377</v>
      </c>
      <c r="I54" t="s">
        <v>378</v>
      </c>
      <c r="J54" t="s">
        <v>379</v>
      </c>
      <c r="K54" t="s">
        <v>55</v>
      </c>
      <c r="L54" t="s">
        <v>380</v>
      </c>
      <c r="M54" t="s">
        <v>57</v>
      </c>
      <c r="N54" t="str">
        <f>"046615"</f>
        <v>046615</v>
      </c>
      <c r="O54" t="s">
        <v>381</v>
      </c>
      <c r="P54" t="s">
        <v>76</v>
      </c>
      <c r="Q54">
        <v>35.799999999999997</v>
      </c>
      <c r="R54">
        <v>4.0999999999999943</v>
      </c>
      <c r="S54" t="s">
        <v>180</v>
      </c>
    </row>
    <row r="55" spans="1:19" x14ac:dyDescent="0.35">
      <c r="A55">
        <v>48330</v>
      </c>
      <c r="B55" t="str">
        <f>"048330"</f>
        <v>048330</v>
      </c>
      <c r="C55" t="s">
        <v>382</v>
      </c>
      <c r="D55" t="s">
        <v>49</v>
      </c>
      <c r="E55" t="s">
        <v>50</v>
      </c>
      <c r="F55" t="s">
        <v>51</v>
      </c>
      <c r="G55" t="s">
        <v>383</v>
      </c>
      <c r="H55" t="s">
        <v>384</v>
      </c>
      <c r="I55" t="s">
        <v>385</v>
      </c>
      <c r="J55" t="s">
        <v>386</v>
      </c>
      <c r="K55" t="s">
        <v>55</v>
      </c>
      <c r="L55" t="s">
        <v>387</v>
      </c>
      <c r="M55" t="s">
        <v>57</v>
      </c>
      <c r="N55" t="str">
        <f>"048280"</f>
        <v>048280</v>
      </c>
      <c r="O55" t="s">
        <v>388</v>
      </c>
      <c r="P55" t="s">
        <v>84</v>
      </c>
      <c r="Q55">
        <v>41.9</v>
      </c>
      <c r="R55">
        <v>16.099999999999994</v>
      </c>
      <c r="S55" t="s">
        <v>77</v>
      </c>
    </row>
    <row r="56" spans="1:19" x14ac:dyDescent="0.35">
      <c r="A56">
        <v>49494</v>
      </c>
      <c r="B56" t="str">
        <f>"049494"</f>
        <v>049494</v>
      </c>
      <c r="C56" t="s">
        <v>389</v>
      </c>
      <c r="D56" t="s">
        <v>49</v>
      </c>
      <c r="E56" t="s">
        <v>50</v>
      </c>
      <c r="F56" t="s">
        <v>51</v>
      </c>
      <c r="G56" t="s">
        <v>318</v>
      </c>
      <c r="H56" t="s">
        <v>390</v>
      </c>
      <c r="I56" t="s">
        <v>391</v>
      </c>
      <c r="J56" t="s">
        <v>392</v>
      </c>
      <c r="K56" t="s">
        <v>55</v>
      </c>
      <c r="L56" t="s">
        <v>393</v>
      </c>
      <c r="M56" t="s">
        <v>57</v>
      </c>
      <c r="N56" t="str">
        <f>"138222"</f>
        <v>138222</v>
      </c>
      <c r="O56" t="s">
        <v>323</v>
      </c>
      <c r="P56" t="s">
        <v>76</v>
      </c>
      <c r="Q56">
        <v>48.8</v>
      </c>
      <c r="R56">
        <v>8.4000000000000057</v>
      </c>
      <c r="S56" t="s">
        <v>130</v>
      </c>
    </row>
    <row r="57" spans="1:19" x14ac:dyDescent="0.35">
      <c r="A57">
        <v>200105</v>
      </c>
      <c r="B57" t="str">
        <f>"200105"</f>
        <v>200105</v>
      </c>
      <c r="C57" t="s">
        <v>394</v>
      </c>
      <c r="D57" t="s">
        <v>49</v>
      </c>
      <c r="E57" t="s">
        <v>62</v>
      </c>
      <c r="F57" t="s">
        <v>51</v>
      </c>
      <c r="G57" t="s">
        <v>187</v>
      </c>
      <c r="H57" t="s">
        <v>395</v>
      </c>
      <c r="I57" t="s">
        <v>396</v>
      </c>
      <c r="J57" t="s">
        <v>397</v>
      </c>
      <c r="K57" t="s">
        <v>55</v>
      </c>
      <c r="L57" t="s">
        <v>398</v>
      </c>
      <c r="M57" t="s">
        <v>57</v>
      </c>
      <c r="N57" t="str">
        <f>"N/A"</f>
        <v>N/A</v>
      </c>
      <c r="O57" t="s">
        <v>49</v>
      </c>
      <c r="P57" t="s">
        <v>68</v>
      </c>
      <c r="Q57" t="s">
        <v>68</v>
      </c>
      <c r="R57" t="s">
        <v>68</v>
      </c>
      <c r="S57" t="s">
        <v>77</v>
      </c>
    </row>
    <row r="58" spans="1:19" x14ac:dyDescent="0.35">
      <c r="A58">
        <v>45302</v>
      </c>
      <c r="B58" t="str">
        <f>"045302"</f>
        <v>045302</v>
      </c>
      <c r="C58" t="s">
        <v>399</v>
      </c>
      <c r="D58" t="s">
        <v>49</v>
      </c>
      <c r="E58" t="s">
        <v>50</v>
      </c>
      <c r="F58" t="s">
        <v>51</v>
      </c>
      <c r="G58" t="s">
        <v>400</v>
      </c>
      <c r="H58" t="s">
        <v>401</v>
      </c>
      <c r="I58" t="s">
        <v>402</v>
      </c>
      <c r="J58" t="s">
        <v>403</v>
      </c>
      <c r="K58" t="s">
        <v>55</v>
      </c>
      <c r="L58" t="s">
        <v>404</v>
      </c>
      <c r="M58" t="s">
        <v>57</v>
      </c>
      <c r="N58" t="str">
        <f>"050765"</f>
        <v>050765</v>
      </c>
      <c r="O58" t="s">
        <v>58</v>
      </c>
      <c r="P58" t="s">
        <v>84</v>
      </c>
      <c r="Q58">
        <v>40.6</v>
      </c>
      <c r="R58">
        <v>16.099999999999994</v>
      </c>
      <c r="S58" t="s">
        <v>156</v>
      </c>
    </row>
    <row r="59" spans="1:19" x14ac:dyDescent="0.35">
      <c r="A59">
        <v>48496</v>
      </c>
      <c r="B59" t="str">
        <f>"048496"</f>
        <v>048496</v>
      </c>
      <c r="C59" t="s">
        <v>405</v>
      </c>
      <c r="D59" t="s">
        <v>49</v>
      </c>
      <c r="E59" t="s">
        <v>50</v>
      </c>
      <c r="F59" t="s">
        <v>51</v>
      </c>
      <c r="G59" t="s">
        <v>406</v>
      </c>
      <c r="H59" t="s">
        <v>407</v>
      </c>
      <c r="I59" t="s">
        <v>408</v>
      </c>
      <c r="J59" t="s">
        <v>406</v>
      </c>
      <c r="K59" t="s">
        <v>55</v>
      </c>
      <c r="L59" t="s">
        <v>409</v>
      </c>
      <c r="M59" t="s">
        <v>57</v>
      </c>
      <c r="N59" t="str">
        <f>"048454"</f>
        <v>048454</v>
      </c>
      <c r="O59" t="s">
        <v>410</v>
      </c>
      <c r="P59" t="s">
        <v>59</v>
      </c>
      <c r="Q59">
        <v>5.5</v>
      </c>
      <c r="R59">
        <v>8.7999999999999972</v>
      </c>
      <c r="S59" t="s">
        <v>77</v>
      </c>
    </row>
    <row r="60" spans="1:19" x14ac:dyDescent="0.35">
      <c r="A60">
        <v>50096</v>
      </c>
      <c r="B60" t="str">
        <f>"050096"</f>
        <v>050096</v>
      </c>
      <c r="C60" t="s">
        <v>411</v>
      </c>
      <c r="D60" t="s">
        <v>49</v>
      </c>
      <c r="E60" t="s">
        <v>50</v>
      </c>
      <c r="F60" t="s">
        <v>51</v>
      </c>
      <c r="G60" t="s">
        <v>169</v>
      </c>
      <c r="H60" t="s">
        <v>412</v>
      </c>
      <c r="I60" t="s">
        <v>413</v>
      </c>
      <c r="J60" t="s">
        <v>414</v>
      </c>
      <c r="K60" t="s">
        <v>55</v>
      </c>
      <c r="L60" t="s">
        <v>415</v>
      </c>
      <c r="M60" t="s">
        <v>57</v>
      </c>
      <c r="N60" t="str">
        <f>"050088"</f>
        <v>050088</v>
      </c>
      <c r="O60" t="s">
        <v>416</v>
      </c>
      <c r="P60" t="s">
        <v>76</v>
      </c>
      <c r="Q60">
        <v>59.2</v>
      </c>
      <c r="R60">
        <v>5.2999999999999972</v>
      </c>
      <c r="S60" t="s">
        <v>77</v>
      </c>
    </row>
    <row r="61" spans="1:19" x14ac:dyDescent="0.35">
      <c r="A61">
        <v>46847</v>
      </c>
      <c r="B61" t="str">
        <f>"046847"</f>
        <v>046847</v>
      </c>
      <c r="C61" t="s">
        <v>417</v>
      </c>
      <c r="D61" t="s">
        <v>49</v>
      </c>
      <c r="E61" t="s">
        <v>50</v>
      </c>
      <c r="F61" t="s">
        <v>51</v>
      </c>
      <c r="G61" t="s">
        <v>92</v>
      </c>
      <c r="H61" t="s">
        <v>418</v>
      </c>
      <c r="I61" t="s">
        <v>419</v>
      </c>
      <c r="J61" t="s">
        <v>420</v>
      </c>
      <c r="K61" t="s">
        <v>55</v>
      </c>
      <c r="L61" t="s">
        <v>421</v>
      </c>
      <c r="M61" t="s">
        <v>57</v>
      </c>
      <c r="N61" t="str">
        <f>"046839"</f>
        <v>046839</v>
      </c>
      <c r="O61" t="s">
        <v>97</v>
      </c>
      <c r="P61" t="s">
        <v>76</v>
      </c>
      <c r="Q61">
        <v>38.1</v>
      </c>
      <c r="R61">
        <v>4</v>
      </c>
      <c r="S61" t="s">
        <v>60</v>
      </c>
    </row>
    <row r="62" spans="1:19" x14ac:dyDescent="0.35">
      <c r="A62">
        <v>200121</v>
      </c>
      <c r="B62" t="str">
        <f>"200121"</f>
        <v>200121</v>
      </c>
      <c r="C62" t="s">
        <v>422</v>
      </c>
      <c r="D62" t="s">
        <v>49</v>
      </c>
      <c r="E62" t="s">
        <v>62</v>
      </c>
      <c r="F62" t="s">
        <v>51</v>
      </c>
      <c r="G62" t="s">
        <v>423</v>
      </c>
      <c r="H62" t="s">
        <v>424</v>
      </c>
      <c r="I62" t="s">
        <v>425</v>
      </c>
      <c r="J62" t="s">
        <v>426</v>
      </c>
      <c r="K62" t="s">
        <v>55</v>
      </c>
      <c r="L62" t="s">
        <v>427</v>
      </c>
      <c r="M62" t="s">
        <v>57</v>
      </c>
      <c r="N62" t="str">
        <f>"N/A"</f>
        <v>N/A</v>
      </c>
      <c r="O62" t="s">
        <v>49</v>
      </c>
      <c r="P62" t="s">
        <v>68</v>
      </c>
      <c r="Q62" t="s">
        <v>68</v>
      </c>
      <c r="R62" t="s">
        <v>68</v>
      </c>
      <c r="S62" t="s">
        <v>156</v>
      </c>
    </row>
    <row r="63" spans="1:19" x14ac:dyDescent="0.35">
      <c r="A63">
        <v>200117</v>
      </c>
      <c r="B63" t="str">
        <f>"200117"</f>
        <v>200117</v>
      </c>
      <c r="C63" t="s">
        <v>428</v>
      </c>
      <c r="D63" t="s">
        <v>49</v>
      </c>
      <c r="E63" t="s">
        <v>62</v>
      </c>
      <c r="F63" t="s">
        <v>51</v>
      </c>
      <c r="G63" t="s">
        <v>175</v>
      </c>
      <c r="H63" t="s">
        <v>176</v>
      </c>
      <c r="I63" t="s">
        <v>177</v>
      </c>
      <c r="J63" t="s">
        <v>178</v>
      </c>
      <c r="K63" t="s">
        <v>55</v>
      </c>
      <c r="L63" t="s">
        <v>179</v>
      </c>
      <c r="M63" t="s">
        <v>57</v>
      </c>
      <c r="N63" t="str">
        <f>"N/A"</f>
        <v>N/A</v>
      </c>
      <c r="O63" t="s">
        <v>49</v>
      </c>
      <c r="P63" t="s">
        <v>68</v>
      </c>
      <c r="Q63" t="s">
        <v>68</v>
      </c>
      <c r="R63" t="s">
        <v>68</v>
      </c>
      <c r="S63" t="s">
        <v>180</v>
      </c>
    </row>
    <row r="64" spans="1:19" x14ac:dyDescent="0.35">
      <c r="A64">
        <v>48223</v>
      </c>
      <c r="B64" t="str">
        <f>"048223"</f>
        <v>048223</v>
      </c>
      <c r="C64" t="s">
        <v>263</v>
      </c>
      <c r="D64" t="s">
        <v>49</v>
      </c>
      <c r="E64" t="s">
        <v>50</v>
      </c>
      <c r="F64" t="s">
        <v>51</v>
      </c>
      <c r="G64" t="s">
        <v>200</v>
      </c>
      <c r="H64" t="s">
        <v>429</v>
      </c>
      <c r="I64" t="s">
        <v>430</v>
      </c>
      <c r="J64" t="s">
        <v>431</v>
      </c>
      <c r="K64" t="s">
        <v>55</v>
      </c>
      <c r="L64" t="s">
        <v>432</v>
      </c>
      <c r="M64" t="s">
        <v>57</v>
      </c>
      <c r="N64" t="str">
        <f>"048199"</f>
        <v>048199</v>
      </c>
      <c r="O64" t="s">
        <v>339</v>
      </c>
      <c r="P64" t="s">
        <v>59</v>
      </c>
      <c r="Q64">
        <v>44.4</v>
      </c>
      <c r="R64">
        <v>41.8</v>
      </c>
      <c r="S64" t="s">
        <v>156</v>
      </c>
    </row>
    <row r="65" spans="1:19" x14ac:dyDescent="0.35">
      <c r="A65">
        <v>48991</v>
      </c>
      <c r="B65" t="str">
        <f>"048991"</f>
        <v>048991</v>
      </c>
      <c r="C65" t="s">
        <v>433</v>
      </c>
      <c r="D65" t="s">
        <v>49</v>
      </c>
      <c r="E65" t="s">
        <v>50</v>
      </c>
      <c r="F65" t="s">
        <v>51</v>
      </c>
      <c r="G65" t="s">
        <v>434</v>
      </c>
      <c r="H65" t="s">
        <v>435</v>
      </c>
      <c r="I65" t="s">
        <v>436</v>
      </c>
      <c r="J65" t="s">
        <v>437</v>
      </c>
      <c r="K65" t="s">
        <v>55</v>
      </c>
      <c r="L65" t="s">
        <v>438</v>
      </c>
      <c r="M65" t="s">
        <v>57</v>
      </c>
      <c r="N65" t="str">
        <f>"134999"</f>
        <v>134999</v>
      </c>
      <c r="O65" t="s">
        <v>439</v>
      </c>
      <c r="P65" t="s">
        <v>76</v>
      </c>
      <c r="Q65">
        <v>30.3</v>
      </c>
      <c r="R65">
        <v>7.2999999999999972</v>
      </c>
      <c r="S65" t="s">
        <v>156</v>
      </c>
    </row>
    <row r="66" spans="1:19" x14ac:dyDescent="0.35">
      <c r="A66">
        <v>43752</v>
      </c>
      <c r="B66" t="str">
        <f>"043752"</f>
        <v>043752</v>
      </c>
      <c r="C66" t="s">
        <v>440</v>
      </c>
      <c r="D66" t="s">
        <v>49</v>
      </c>
      <c r="E66" t="s">
        <v>50</v>
      </c>
      <c r="F66" t="s">
        <v>51</v>
      </c>
      <c r="G66" t="s">
        <v>212</v>
      </c>
      <c r="H66" t="s">
        <v>441</v>
      </c>
      <c r="I66" t="s">
        <v>442</v>
      </c>
      <c r="J66" t="s">
        <v>215</v>
      </c>
      <c r="K66" t="s">
        <v>55</v>
      </c>
      <c r="L66" t="s">
        <v>443</v>
      </c>
      <c r="M66" t="s">
        <v>57</v>
      </c>
      <c r="N66" t="str">
        <f>"050765"</f>
        <v>050765</v>
      </c>
      <c r="O66" t="s">
        <v>58</v>
      </c>
      <c r="P66" t="s">
        <v>281</v>
      </c>
      <c r="Q66">
        <v>80.7</v>
      </c>
      <c r="R66">
        <v>79.5</v>
      </c>
      <c r="S66" t="s">
        <v>217</v>
      </c>
    </row>
    <row r="67" spans="1:19" x14ac:dyDescent="0.35">
      <c r="A67">
        <v>44487</v>
      </c>
      <c r="B67" t="str">
        <f>"044487"</f>
        <v>044487</v>
      </c>
      <c r="C67" t="s">
        <v>444</v>
      </c>
      <c r="D67" t="s">
        <v>49</v>
      </c>
      <c r="E67" t="s">
        <v>50</v>
      </c>
      <c r="F67" t="s">
        <v>51</v>
      </c>
      <c r="G67" t="s">
        <v>71</v>
      </c>
      <c r="H67" t="s">
        <v>445</v>
      </c>
      <c r="I67" t="s">
        <v>446</v>
      </c>
      <c r="J67" t="s">
        <v>447</v>
      </c>
      <c r="K67" t="s">
        <v>55</v>
      </c>
      <c r="L67" t="s">
        <v>448</v>
      </c>
      <c r="M67" t="s">
        <v>57</v>
      </c>
      <c r="N67" t="str">
        <f>"050765"</f>
        <v>050765</v>
      </c>
      <c r="O67" t="s">
        <v>58</v>
      </c>
      <c r="P67" t="s">
        <v>84</v>
      </c>
      <c r="Q67">
        <v>47.8</v>
      </c>
      <c r="R67">
        <v>22.799999999999997</v>
      </c>
      <c r="S67" t="s">
        <v>77</v>
      </c>
    </row>
    <row r="68" spans="1:19" x14ac:dyDescent="0.35">
      <c r="A68">
        <v>44545</v>
      </c>
      <c r="B68" t="str">
        <f>"044545"</f>
        <v>044545</v>
      </c>
      <c r="C68" t="s">
        <v>449</v>
      </c>
      <c r="D68" t="s">
        <v>49</v>
      </c>
      <c r="E68" t="s">
        <v>50</v>
      </c>
      <c r="F68" t="s">
        <v>51</v>
      </c>
      <c r="G68" t="s">
        <v>63</v>
      </c>
      <c r="H68" t="s">
        <v>450</v>
      </c>
      <c r="I68" t="s">
        <v>451</v>
      </c>
      <c r="J68" t="s">
        <v>452</v>
      </c>
      <c r="K68" t="s">
        <v>55</v>
      </c>
      <c r="L68" t="s">
        <v>453</v>
      </c>
      <c r="M68" t="s">
        <v>57</v>
      </c>
      <c r="N68" t="str">
        <f>"050765"</f>
        <v>050765</v>
      </c>
      <c r="O68" t="s">
        <v>58</v>
      </c>
      <c r="P68" t="s">
        <v>59</v>
      </c>
      <c r="Q68">
        <v>16.600000000000001</v>
      </c>
      <c r="R68">
        <v>18.200000000000003</v>
      </c>
      <c r="S68" t="s">
        <v>69</v>
      </c>
    </row>
    <row r="69" spans="1:19" x14ac:dyDescent="0.35">
      <c r="A69">
        <v>45872</v>
      </c>
      <c r="B69" t="str">
        <f>"045872"</f>
        <v>045872</v>
      </c>
      <c r="C69" t="s">
        <v>454</v>
      </c>
      <c r="D69" t="s">
        <v>49</v>
      </c>
      <c r="E69" t="s">
        <v>50</v>
      </c>
      <c r="F69" t="s">
        <v>51</v>
      </c>
      <c r="G69" t="s">
        <v>132</v>
      </c>
      <c r="H69" t="s">
        <v>455</v>
      </c>
      <c r="I69" t="s">
        <v>456</v>
      </c>
      <c r="J69" t="s">
        <v>135</v>
      </c>
      <c r="K69" t="s">
        <v>55</v>
      </c>
      <c r="L69" t="s">
        <v>136</v>
      </c>
      <c r="M69" t="s">
        <v>57</v>
      </c>
      <c r="N69" t="str">
        <f>"045849"</f>
        <v>045849</v>
      </c>
      <c r="O69" t="s">
        <v>185</v>
      </c>
      <c r="P69" t="s">
        <v>84</v>
      </c>
      <c r="Q69">
        <v>40</v>
      </c>
      <c r="R69">
        <v>8.2999999999999972</v>
      </c>
      <c r="S69" t="s">
        <v>69</v>
      </c>
    </row>
    <row r="70" spans="1:19" x14ac:dyDescent="0.35">
      <c r="A70">
        <v>49395</v>
      </c>
      <c r="B70" t="str">
        <f>"049395"</f>
        <v>049395</v>
      </c>
      <c r="C70" t="s">
        <v>457</v>
      </c>
      <c r="D70" t="s">
        <v>49</v>
      </c>
      <c r="E70" t="s">
        <v>50</v>
      </c>
      <c r="F70" t="s">
        <v>51</v>
      </c>
      <c r="G70" t="s">
        <v>150</v>
      </c>
      <c r="H70" t="s">
        <v>458</v>
      </c>
      <c r="I70" t="s">
        <v>459</v>
      </c>
      <c r="J70" t="s">
        <v>460</v>
      </c>
      <c r="K70" t="s">
        <v>55</v>
      </c>
      <c r="L70" t="s">
        <v>461</v>
      </c>
      <c r="M70" t="s">
        <v>57</v>
      </c>
      <c r="N70" t="str">
        <f>"049304"</f>
        <v>049304</v>
      </c>
      <c r="O70" t="s">
        <v>155</v>
      </c>
      <c r="P70" t="s">
        <v>76</v>
      </c>
      <c r="Q70">
        <v>24.4</v>
      </c>
      <c r="R70">
        <v>5.9000000000000057</v>
      </c>
      <c r="S70" t="s">
        <v>156</v>
      </c>
    </row>
    <row r="71" spans="1:19" x14ac:dyDescent="0.35">
      <c r="A71">
        <v>44974</v>
      </c>
      <c r="B71" t="str">
        <f>"044974"</f>
        <v>044974</v>
      </c>
      <c r="C71" t="s">
        <v>462</v>
      </c>
      <c r="D71" t="s">
        <v>49</v>
      </c>
      <c r="E71" t="s">
        <v>50</v>
      </c>
      <c r="F71" t="s">
        <v>51</v>
      </c>
      <c r="G71" t="s">
        <v>406</v>
      </c>
      <c r="H71" t="s">
        <v>463</v>
      </c>
      <c r="I71" t="s">
        <v>464</v>
      </c>
      <c r="J71" t="s">
        <v>465</v>
      </c>
      <c r="K71" t="s">
        <v>55</v>
      </c>
      <c r="L71" t="s">
        <v>466</v>
      </c>
      <c r="M71" t="s">
        <v>57</v>
      </c>
      <c r="N71" t="str">
        <f>"050765"</f>
        <v>050765</v>
      </c>
      <c r="O71" t="s">
        <v>58</v>
      </c>
      <c r="P71" t="s">
        <v>59</v>
      </c>
      <c r="Q71">
        <v>21.3</v>
      </c>
      <c r="R71">
        <v>9.4000000000000057</v>
      </c>
      <c r="S71" t="s">
        <v>77</v>
      </c>
    </row>
    <row r="72" spans="1:19" x14ac:dyDescent="0.35">
      <c r="A72">
        <v>47746</v>
      </c>
      <c r="B72" t="str">
        <f>"047746"</f>
        <v>047746</v>
      </c>
      <c r="C72" t="s">
        <v>467</v>
      </c>
      <c r="D72" t="s">
        <v>49</v>
      </c>
      <c r="E72" t="s">
        <v>50</v>
      </c>
      <c r="F72" t="s">
        <v>51</v>
      </c>
      <c r="G72" t="s">
        <v>79</v>
      </c>
      <c r="H72" t="s">
        <v>468</v>
      </c>
      <c r="I72" t="s">
        <v>469</v>
      </c>
      <c r="J72" t="s">
        <v>470</v>
      </c>
      <c r="K72" t="s">
        <v>55</v>
      </c>
      <c r="L72" t="s">
        <v>471</v>
      </c>
      <c r="M72" t="s">
        <v>57</v>
      </c>
      <c r="N72" t="str">
        <f>"125690"</f>
        <v>125690</v>
      </c>
      <c r="O72" t="s">
        <v>262</v>
      </c>
      <c r="P72" t="s">
        <v>76</v>
      </c>
      <c r="Q72">
        <v>51</v>
      </c>
      <c r="R72">
        <v>4.7999999999999972</v>
      </c>
      <c r="S72" t="s">
        <v>69</v>
      </c>
    </row>
    <row r="73" spans="1:19" x14ac:dyDescent="0.35">
      <c r="A73">
        <v>48140</v>
      </c>
      <c r="B73" t="str">
        <f>"048140"</f>
        <v>048140</v>
      </c>
      <c r="C73" t="s">
        <v>472</v>
      </c>
      <c r="D73" t="s">
        <v>49</v>
      </c>
      <c r="E73" t="s">
        <v>50</v>
      </c>
      <c r="F73" t="s">
        <v>51</v>
      </c>
      <c r="G73" t="s">
        <v>143</v>
      </c>
      <c r="H73" t="s">
        <v>473</v>
      </c>
      <c r="I73" t="s">
        <v>474</v>
      </c>
      <c r="J73" t="s">
        <v>475</v>
      </c>
      <c r="K73" t="s">
        <v>55</v>
      </c>
      <c r="L73" t="s">
        <v>476</v>
      </c>
      <c r="M73" t="s">
        <v>57</v>
      </c>
      <c r="N73" t="str">
        <f>"048108"</f>
        <v>048108</v>
      </c>
      <c r="O73" t="s">
        <v>148</v>
      </c>
      <c r="P73" t="s">
        <v>84</v>
      </c>
      <c r="Q73">
        <v>20.100000000000001</v>
      </c>
      <c r="R73">
        <v>13.400000000000006</v>
      </c>
      <c r="S73" t="s">
        <v>69</v>
      </c>
    </row>
    <row r="74" spans="1:19" x14ac:dyDescent="0.35">
      <c r="A74">
        <v>200069</v>
      </c>
      <c r="B74" t="str">
        <f>"200069"</f>
        <v>200069</v>
      </c>
      <c r="C74" t="s">
        <v>477</v>
      </c>
      <c r="D74" t="s">
        <v>49</v>
      </c>
      <c r="E74" t="s">
        <v>62</v>
      </c>
      <c r="F74" t="s">
        <v>51</v>
      </c>
      <c r="G74" t="s">
        <v>325</v>
      </c>
      <c r="H74" t="s">
        <v>478</v>
      </c>
      <c r="I74" t="s">
        <v>479</v>
      </c>
      <c r="J74" t="s">
        <v>328</v>
      </c>
      <c r="K74" t="s">
        <v>55</v>
      </c>
      <c r="L74" t="s">
        <v>329</v>
      </c>
      <c r="M74" t="s">
        <v>57</v>
      </c>
      <c r="N74" t="str">
        <f>"N/A"</f>
        <v>N/A</v>
      </c>
      <c r="O74" t="s">
        <v>49</v>
      </c>
      <c r="P74" t="s">
        <v>68</v>
      </c>
      <c r="Q74" t="s">
        <v>68</v>
      </c>
      <c r="R74" t="s">
        <v>68</v>
      </c>
      <c r="S74" t="s">
        <v>180</v>
      </c>
    </row>
    <row r="75" spans="1:19" x14ac:dyDescent="0.35">
      <c r="A75">
        <v>200053</v>
      </c>
      <c r="B75" t="str">
        <f>"200053"</f>
        <v>200053</v>
      </c>
      <c r="C75" t="s">
        <v>480</v>
      </c>
      <c r="D75" t="s">
        <v>49</v>
      </c>
      <c r="E75" t="s">
        <v>62</v>
      </c>
      <c r="F75" t="s">
        <v>51</v>
      </c>
      <c r="G75" t="s">
        <v>481</v>
      </c>
      <c r="H75" t="s">
        <v>482</v>
      </c>
      <c r="I75" t="s">
        <v>483</v>
      </c>
      <c r="J75" t="s">
        <v>484</v>
      </c>
      <c r="K75" t="s">
        <v>55</v>
      </c>
      <c r="L75" t="s">
        <v>485</v>
      </c>
      <c r="M75" t="s">
        <v>57</v>
      </c>
      <c r="N75" t="str">
        <f>"N/A"</f>
        <v>N/A</v>
      </c>
      <c r="O75" t="s">
        <v>49</v>
      </c>
      <c r="P75" t="s">
        <v>68</v>
      </c>
      <c r="Q75" t="s">
        <v>68</v>
      </c>
      <c r="R75" t="s">
        <v>68</v>
      </c>
      <c r="S75" t="s">
        <v>69</v>
      </c>
    </row>
    <row r="76" spans="1:19" x14ac:dyDescent="0.35">
      <c r="A76">
        <v>47399</v>
      </c>
      <c r="B76" t="str">
        <f>"047399"</f>
        <v>047399</v>
      </c>
      <c r="C76" t="s">
        <v>486</v>
      </c>
      <c r="D76" t="s">
        <v>49</v>
      </c>
      <c r="E76" t="s">
        <v>50</v>
      </c>
      <c r="F76" t="s">
        <v>51</v>
      </c>
      <c r="G76" t="s">
        <v>212</v>
      </c>
      <c r="H76" t="s">
        <v>487</v>
      </c>
      <c r="I76" t="s">
        <v>488</v>
      </c>
      <c r="J76" t="s">
        <v>489</v>
      </c>
      <c r="K76" t="s">
        <v>55</v>
      </c>
      <c r="L76" t="s">
        <v>490</v>
      </c>
      <c r="M76" t="s">
        <v>57</v>
      </c>
      <c r="N76" t="str">
        <f>"047324"</f>
        <v>047324</v>
      </c>
      <c r="O76" t="s">
        <v>491</v>
      </c>
      <c r="P76" t="s">
        <v>59</v>
      </c>
      <c r="Q76">
        <v>33.5</v>
      </c>
      <c r="R76">
        <v>10.599999999999994</v>
      </c>
      <c r="S76" t="s">
        <v>217</v>
      </c>
    </row>
    <row r="77" spans="1:19" x14ac:dyDescent="0.35">
      <c r="A77">
        <v>200005</v>
      </c>
      <c r="B77" t="str">
        <f>"200005"</f>
        <v>200005</v>
      </c>
      <c r="C77" t="s">
        <v>492</v>
      </c>
      <c r="D77" t="s">
        <v>49</v>
      </c>
      <c r="E77" t="s">
        <v>62</v>
      </c>
      <c r="F77" t="s">
        <v>51</v>
      </c>
      <c r="G77" t="s">
        <v>493</v>
      </c>
      <c r="H77" t="s">
        <v>494</v>
      </c>
      <c r="I77" t="s">
        <v>495</v>
      </c>
      <c r="J77" t="s">
        <v>496</v>
      </c>
      <c r="K77" t="s">
        <v>55</v>
      </c>
      <c r="L77" t="s">
        <v>497</v>
      </c>
      <c r="M77" t="s">
        <v>57</v>
      </c>
      <c r="N77" t="str">
        <f>"N/A"</f>
        <v>N/A</v>
      </c>
      <c r="O77" t="s">
        <v>49</v>
      </c>
      <c r="P77" t="s">
        <v>68</v>
      </c>
      <c r="Q77" t="s">
        <v>68</v>
      </c>
      <c r="R77" t="s">
        <v>68</v>
      </c>
      <c r="S77" t="s">
        <v>130</v>
      </c>
    </row>
    <row r="78" spans="1:19" x14ac:dyDescent="0.35">
      <c r="A78">
        <v>45922</v>
      </c>
      <c r="B78" t="str">
        <f>"045922"</f>
        <v>045922</v>
      </c>
      <c r="C78" t="s">
        <v>498</v>
      </c>
      <c r="D78" t="s">
        <v>49</v>
      </c>
      <c r="E78" t="s">
        <v>50</v>
      </c>
      <c r="F78" t="s">
        <v>51</v>
      </c>
      <c r="G78" t="s">
        <v>493</v>
      </c>
      <c r="H78" t="s">
        <v>499</v>
      </c>
      <c r="I78" t="s">
        <v>500</v>
      </c>
      <c r="J78" t="s">
        <v>501</v>
      </c>
      <c r="K78" t="s">
        <v>55</v>
      </c>
      <c r="L78" t="s">
        <v>502</v>
      </c>
      <c r="M78" t="s">
        <v>57</v>
      </c>
      <c r="N78" t="str">
        <f>"135145"</f>
        <v>135145</v>
      </c>
      <c r="O78" t="s">
        <v>503</v>
      </c>
      <c r="P78" t="s">
        <v>76</v>
      </c>
      <c r="Q78">
        <v>100</v>
      </c>
      <c r="R78">
        <v>4.4000000000000057</v>
      </c>
      <c r="S78" t="s">
        <v>130</v>
      </c>
    </row>
    <row r="79" spans="1:19" x14ac:dyDescent="0.35">
      <c r="A79">
        <v>46557</v>
      </c>
      <c r="B79" t="str">
        <f>"046557"</f>
        <v>046557</v>
      </c>
      <c r="C79" t="s">
        <v>504</v>
      </c>
      <c r="D79" t="s">
        <v>49</v>
      </c>
      <c r="E79" t="s">
        <v>50</v>
      </c>
      <c r="F79" t="s">
        <v>51</v>
      </c>
      <c r="G79" t="s">
        <v>63</v>
      </c>
      <c r="H79" t="s">
        <v>505</v>
      </c>
      <c r="I79" t="s">
        <v>506</v>
      </c>
      <c r="J79" t="s">
        <v>507</v>
      </c>
      <c r="K79" t="s">
        <v>55</v>
      </c>
      <c r="L79" t="s">
        <v>508</v>
      </c>
      <c r="M79" t="s">
        <v>57</v>
      </c>
      <c r="N79" t="str">
        <f>"046532"</f>
        <v>046532</v>
      </c>
      <c r="O79" t="s">
        <v>509</v>
      </c>
      <c r="P79" t="s">
        <v>59</v>
      </c>
      <c r="Q79">
        <v>25.7</v>
      </c>
      <c r="R79">
        <v>14.599999999999994</v>
      </c>
      <c r="S79" t="s">
        <v>69</v>
      </c>
    </row>
    <row r="80" spans="1:19" x14ac:dyDescent="0.35">
      <c r="A80">
        <v>47175</v>
      </c>
      <c r="B80" t="str">
        <f>"047175"</f>
        <v>047175</v>
      </c>
      <c r="C80" t="s">
        <v>510</v>
      </c>
      <c r="D80" t="s">
        <v>49</v>
      </c>
      <c r="E80" t="s">
        <v>50</v>
      </c>
      <c r="F80" t="s">
        <v>51</v>
      </c>
      <c r="G80" t="s">
        <v>511</v>
      </c>
      <c r="H80" t="s">
        <v>512</v>
      </c>
      <c r="I80" t="s">
        <v>513</v>
      </c>
      <c r="J80" t="s">
        <v>514</v>
      </c>
      <c r="K80" t="s">
        <v>55</v>
      </c>
      <c r="L80" t="s">
        <v>515</v>
      </c>
      <c r="M80" t="s">
        <v>57</v>
      </c>
      <c r="N80" t="str">
        <f>"047860"</f>
        <v>047860</v>
      </c>
      <c r="O80" t="s">
        <v>516</v>
      </c>
      <c r="P80" t="s">
        <v>76</v>
      </c>
      <c r="Q80">
        <v>32.5</v>
      </c>
      <c r="R80">
        <v>6</v>
      </c>
      <c r="S80" t="s">
        <v>69</v>
      </c>
    </row>
    <row r="81" spans="1:19" x14ac:dyDescent="0.35">
      <c r="A81">
        <v>200044</v>
      </c>
      <c r="B81" t="str">
        <f>"200044"</f>
        <v>200044</v>
      </c>
      <c r="C81" t="s">
        <v>517</v>
      </c>
      <c r="D81" t="s">
        <v>49</v>
      </c>
      <c r="E81" t="s">
        <v>62</v>
      </c>
      <c r="F81" t="s">
        <v>51</v>
      </c>
      <c r="G81" t="s">
        <v>212</v>
      </c>
      <c r="H81" t="s">
        <v>518</v>
      </c>
      <c r="I81" t="s">
        <v>519</v>
      </c>
      <c r="J81" t="s">
        <v>215</v>
      </c>
      <c r="K81" t="s">
        <v>55</v>
      </c>
      <c r="L81" t="s">
        <v>520</v>
      </c>
      <c r="M81" t="s">
        <v>57</v>
      </c>
      <c r="N81" t="str">
        <f>"N/A"</f>
        <v>N/A</v>
      </c>
      <c r="O81" t="s">
        <v>49</v>
      </c>
      <c r="P81" t="s">
        <v>68</v>
      </c>
      <c r="Q81" t="s">
        <v>68</v>
      </c>
      <c r="R81" t="s">
        <v>68</v>
      </c>
      <c r="S81" t="s">
        <v>217</v>
      </c>
    </row>
    <row r="82" spans="1:19" x14ac:dyDescent="0.35">
      <c r="A82">
        <v>44875</v>
      </c>
      <c r="B82" t="str">
        <f>"044875"</f>
        <v>044875</v>
      </c>
      <c r="C82" t="s">
        <v>521</v>
      </c>
      <c r="D82" t="s">
        <v>49</v>
      </c>
      <c r="E82" t="s">
        <v>50</v>
      </c>
      <c r="F82" t="s">
        <v>51</v>
      </c>
      <c r="G82" t="s">
        <v>200</v>
      </c>
      <c r="H82" t="s">
        <v>201</v>
      </c>
      <c r="I82" t="s">
        <v>202</v>
      </c>
      <c r="J82" t="s">
        <v>203</v>
      </c>
      <c r="K82" t="s">
        <v>55</v>
      </c>
      <c r="L82" t="s">
        <v>204</v>
      </c>
      <c r="M82" t="s">
        <v>57</v>
      </c>
      <c r="N82" t="str">
        <f>"050765"</f>
        <v>050765</v>
      </c>
      <c r="O82" t="s">
        <v>58</v>
      </c>
      <c r="P82" t="s">
        <v>59</v>
      </c>
      <c r="Q82">
        <v>24.5</v>
      </c>
      <c r="R82">
        <v>23.299999999999997</v>
      </c>
      <c r="S82" t="s">
        <v>156</v>
      </c>
    </row>
    <row r="83" spans="1:19" x14ac:dyDescent="0.35">
      <c r="A83">
        <v>50591</v>
      </c>
      <c r="B83" t="str">
        <f>"050591"</f>
        <v>050591</v>
      </c>
      <c r="C83" t="s">
        <v>522</v>
      </c>
      <c r="D83" t="s">
        <v>49</v>
      </c>
      <c r="E83" t="s">
        <v>50</v>
      </c>
      <c r="F83" t="s">
        <v>51</v>
      </c>
      <c r="G83" t="s">
        <v>187</v>
      </c>
      <c r="H83" t="s">
        <v>523</v>
      </c>
      <c r="I83" t="s">
        <v>524</v>
      </c>
      <c r="J83" t="s">
        <v>309</v>
      </c>
      <c r="K83" t="s">
        <v>55</v>
      </c>
      <c r="L83" t="s">
        <v>310</v>
      </c>
      <c r="M83" t="s">
        <v>57</v>
      </c>
      <c r="N83" t="str">
        <f>"050526"</f>
        <v>050526</v>
      </c>
      <c r="O83" t="s">
        <v>192</v>
      </c>
      <c r="P83" t="s">
        <v>84</v>
      </c>
      <c r="Q83">
        <v>32.6</v>
      </c>
      <c r="R83">
        <v>7.0999999999999943</v>
      </c>
      <c r="S83" t="s">
        <v>77</v>
      </c>
    </row>
    <row r="84" spans="1:19" x14ac:dyDescent="0.35">
      <c r="A84">
        <v>43943</v>
      </c>
      <c r="B84" t="str">
        <f>"043943"</f>
        <v>043943</v>
      </c>
      <c r="C84" t="s">
        <v>525</v>
      </c>
      <c r="D84" t="s">
        <v>49</v>
      </c>
      <c r="E84" t="s">
        <v>50</v>
      </c>
      <c r="F84" t="s">
        <v>51</v>
      </c>
      <c r="G84" t="s">
        <v>143</v>
      </c>
      <c r="H84" t="s">
        <v>526</v>
      </c>
      <c r="I84" t="s">
        <v>527</v>
      </c>
      <c r="J84" t="s">
        <v>528</v>
      </c>
      <c r="K84" t="s">
        <v>55</v>
      </c>
      <c r="L84" t="s">
        <v>529</v>
      </c>
      <c r="M84" t="s">
        <v>57</v>
      </c>
      <c r="N84" t="str">
        <f>"050765"</f>
        <v>050765</v>
      </c>
      <c r="O84" t="s">
        <v>58</v>
      </c>
      <c r="P84" t="s">
        <v>281</v>
      </c>
      <c r="Q84">
        <v>72.8</v>
      </c>
      <c r="R84">
        <v>54</v>
      </c>
      <c r="S84" t="s">
        <v>69</v>
      </c>
    </row>
    <row r="85" spans="1:19" x14ac:dyDescent="0.35">
      <c r="A85">
        <v>45484</v>
      </c>
      <c r="B85" t="str">
        <f>"045484"</f>
        <v>045484</v>
      </c>
      <c r="C85" t="s">
        <v>530</v>
      </c>
      <c r="D85" t="s">
        <v>49</v>
      </c>
      <c r="E85" t="s">
        <v>50</v>
      </c>
      <c r="F85" t="s">
        <v>51</v>
      </c>
      <c r="G85" t="s">
        <v>206</v>
      </c>
      <c r="H85" t="s">
        <v>531</v>
      </c>
      <c r="I85" t="s">
        <v>532</v>
      </c>
      <c r="J85" t="s">
        <v>533</v>
      </c>
      <c r="K85" t="s">
        <v>55</v>
      </c>
      <c r="L85" t="s">
        <v>534</v>
      </c>
      <c r="M85" t="s">
        <v>57</v>
      </c>
      <c r="N85" t="str">
        <f>"050765"</f>
        <v>050765</v>
      </c>
      <c r="O85" t="s">
        <v>58</v>
      </c>
      <c r="P85" t="s">
        <v>76</v>
      </c>
      <c r="Q85">
        <v>30.9</v>
      </c>
      <c r="R85">
        <v>7.2999999999999972</v>
      </c>
      <c r="S85" t="s">
        <v>180</v>
      </c>
    </row>
    <row r="86" spans="1:19" x14ac:dyDescent="0.35">
      <c r="A86">
        <v>46425</v>
      </c>
      <c r="B86" t="str">
        <f>"046425"</f>
        <v>046425</v>
      </c>
      <c r="C86" t="s">
        <v>535</v>
      </c>
      <c r="D86" t="s">
        <v>49</v>
      </c>
      <c r="E86" t="s">
        <v>50</v>
      </c>
      <c r="F86" t="s">
        <v>51</v>
      </c>
      <c r="G86" t="s">
        <v>536</v>
      </c>
      <c r="H86" t="s">
        <v>537</v>
      </c>
      <c r="I86" t="s">
        <v>538</v>
      </c>
      <c r="J86" t="s">
        <v>539</v>
      </c>
      <c r="K86" t="s">
        <v>55</v>
      </c>
      <c r="L86" t="s">
        <v>540</v>
      </c>
      <c r="M86" t="s">
        <v>57</v>
      </c>
      <c r="N86" t="str">
        <f>"046417"</f>
        <v>046417</v>
      </c>
      <c r="O86" t="s">
        <v>541</v>
      </c>
      <c r="P86" t="s">
        <v>76</v>
      </c>
      <c r="Q86">
        <v>43</v>
      </c>
      <c r="R86">
        <v>4.5</v>
      </c>
      <c r="S86" t="s">
        <v>77</v>
      </c>
    </row>
    <row r="87" spans="1:19" x14ac:dyDescent="0.35">
      <c r="A87">
        <v>48694</v>
      </c>
      <c r="B87" t="str">
        <f>"048694"</f>
        <v>048694</v>
      </c>
      <c r="C87" t="s">
        <v>542</v>
      </c>
      <c r="D87" t="s">
        <v>49</v>
      </c>
      <c r="E87" t="s">
        <v>50</v>
      </c>
      <c r="F87" t="s">
        <v>51</v>
      </c>
      <c r="G87" t="s">
        <v>543</v>
      </c>
      <c r="H87" t="s">
        <v>544</v>
      </c>
      <c r="I87" t="s">
        <v>545</v>
      </c>
      <c r="J87" t="s">
        <v>546</v>
      </c>
      <c r="K87" t="s">
        <v>55</v>
      </c>
      <c r="L87" t="s">
        <v>547</v>
      </c>
      <c r="M87" t="s">
        <v>57</v>
      </c>
      <c r="N87" t="str">
        <f>"050765"</f>
        <v>050765</v>
      </c>
      <c r="O87" t="s">
        <v>58</v>
      </c>
      <c r="P87" t="s">
        <v>281</v>
      </c>
      <c r="Q87">
        <v>85.8</v>
      </c>
      <c r="R87">
        <v>93.6</v>
      </c>
      <c r="S87" t="s">
        <v>180</v>
      </c>
    </row>
    <row r="88" spans="1:19" x14ac:dyDescent="0.35">
      <c r="A88">
        <v>45393</v>
      </c>
      <c r="B88" t="str">
        <f>"045393"</f>
        <v>045393</v>
      </c>
      <c r="C88" t="s">
        <v>548</v>
      </c>
      <c r="D88" t="s">
        <v>49</v>
      </c>
      <c r="E88" t="s">
        <v>50</v>
      </c>
      <c r="F88" t="s">
        <v>51</v>
      </c>
      <c r="G88" t="s">
        <v>110</v>
      </c>
      <c r="H88" t="s">
        <v>549</v>
      </c>
      <c r="I88" t="s">
        <v>550</v>
      </c>
      <c r="J88" t="s">
        <v>551</v>
      </c>
      <c r="K88" t="s">
        <v>55</v>
      </c>
      <c r="L88" t="s">
        <v>552</v>
      </c>
      <c r="M88" t="s">
        <v>57</v>
      </c>
      <c r="N88" t="str">
        <f>"050765"</f>
        <v>050765</v>
      </c>
      <c r="O88" t="s">
        <v>58</v>
      </c>
      <c r="P88" t="s">
        <v>59</v>
      </c>
      <c r="Q88">
        <v>3.6</v>
      </c>
      <c r="R88">
        <v>10.099999999999994</v>
      </c>
      <c r="S88" t="s">
        <v>60</v>
      </c>
    </row>
    <row r="89" spans="1:19" x14ac:dyDescent="0.35">
      <c r="A89">
        <v>45963</v>
      </c>
      <c r="B89" t="str">
        <f>"045963"</f>
        <v>045963</v>
      </c>
      <c r="C89" t="s">
        <v>553</v>
      </c>
      <c r="D89" t="s">
        <v>49</v>
      </c>
      <c r="E89" t="s">
        <v>50</v>
      </c>
      <c r="F89" t="s">
        <v>51</v>
      </c>
      <c r="G89" t="s">
        <v>554</v>
      </c>
      <c r="H89" t="s">
        <v>555</v>
      </c>
      <c r="I89" t="s">
        <v>556</v>
      </c>
      <c r="J89" t="s">
        <v>557</v>
      </c>
      <c r="K89" t="s">
        <v>55</v>
      </c>
      <c r="L89" t="s">
        <v>558</v>
      </c>
      <c r="M89" t="s">
        <v>57</v>
      </c>
      <c r="N89" t="str">
        <f>"045930"</f>
        <v>045930</v>
      </c>
      <c r="O89" t="s">
        <v>559</v>
      </c>
      <c r="P89" t="s">
        <v>76</v>
      </c>
      <c r="Q89">
        <v>18</v>
      </c>
      <c r="R89">
        <v>8.9000000000000057</v>
      </c>
      <c r="S89" t="s">
        <v>156</v>
      </c>
    </row>
    <row r="90" spans="1:19" x14ac:dyDescent="0.35">
      <c r="A90">
        <v>46060</v>
      </c>
      <c r="B90" t="str">
        <f>"046060"</f>
        <v>046060</v>
      </c>
      <c r="C90" t="s">
        <v>560</v>
      </c>
      <c r="D90" t="s">
        <v>49</v>
      </c>
      <c r="E90" t="s">
        <v>50</v>
      </c>
      <c r="F90" t="s">
        <v>51</v>
      </c>
      <c r="G90" t="s">
        <v>19</v>
      </c>
      <c r="H90" t="s">
        <v>561</v>
      </c>
      <c r="I90" t="s">
        <v>562</v>
      </c>
      <c r="J90" t="s">
        <v>563</v>
      </c>
      <c r="K90" t="s">
        <v>55</v>
      </c>
      <c r="L90" t="s">
        <v>564</v>
      </c>
      <c r="M90" t="s">
        <v>57</v>
      </c>
      <c r="N90" t="str">
        <f>"046029"</f>
        <v>046029</v>
      </c>
      <c r="O90" t="s">
        <v>565</v>
      </c>
      <c r="P90" t="s">
        <v>76</v>
      </c>
      <c r="Q90">
        <v>51.1</v>
      </c>
      <c r="R90">
        <v>4.2000000000000028</v>
      </c>
      <c r="S90" t="s">
        <v>217</v>
      </c>
    </row>
    <row r="91" spans="1:19" x14ac:dyDescent="0.35">
      <c r="A91">
        <v>46516</v>
      </c>
      <c r="B91" t="str">
        <f>"046516"</f>
        <v>046516</v>
      </c>
      <c r="C91" t="s">
        <v>566</v>
      </c>
      <c r="D91" t="s">
        <v>49</v>
      </c>
      <c r="E91" t="s">
        <v>50</v>
      </c>
      <c r="F91" t="s">
        <v>51</v>
      </c>
      <c r="G91" t="s">
        <v>331</v>
      </c>
      <c r="H91" t="s">
        <v>567</v>
      </c>
      <c r="I91" t="s">
        <v>568</v>
      </c>
      <c r="J91" t="s">
        <v>569</v>
      </c>
      <c r="K91" t="s">
        <v>55</v>
      </c>
      <c r="L91" t="s">
        <v>335</v>
      </c>
      <c r="M91" t="s">
        <v>57</v>
      </c>
      <c r="N91" t="str">
        <f>"123521"</f>
        <v>123521</v>
      </c>
      <c r="O91" t="s">
        <v>570</v>
      </c>
      <c r="P91" t="s">
        <v>76</v>
      </c>
      <c r="Q91">
        <v>25.5</v>
      </c>
      <c r="R91">
        <v>3.5999999999999943</v>
      </c>
      <c r="S91" t="s">
        <v>156</v>
      </c>
    </row>
    <row r="92" spans="1:19" x14ac:dyDescent="0.35">
      <c r="A92">
        <v>49767</v>
      </c>
      <c r="B92" t="str">
        <f>"049767"</f>
        <v>049767</v>
      </c>
      <c r="C92" t="s">
        <v>571</v>
      </c>
      <c r="D92" t="s">
        <v>49</v>
      </c>
      <c r="E92" t="s">
        <v>50</v>
      </c>
      <c r="F92" t="s">
        <v>51</v>
      </c>
      <c r="G92" t="s">
        <v>572</v>
      </c>
      <c r="H92" t="s">
        <v>573</v>
      </c>
      <c r="I92" t="s">
        <v>574</v>
      </c>
      <c r="J92" t="s">
        <v>575</v>
      </c>
      <c r="K92" t="s">
        <v>55</v>
      </c>
      <c r="L92" t="s">
        <v>576</v>
      </c>
      <c r="M92" t="s">
        <v>57</v>
      </c>
      <c r="N92" t="str">
        <f>"014777"</f>
        <v>014777</v>
      </c>
      <c r="O92" t="s">
        <v>293</v>
      </c>
      <c r="P92" t="s">
        <v>76</v>
      </c>
      <c r="Q92">
        <v>12</v>
      </c>
      <c r="R92">
        <v>6.2000000000000028</v>
      </c>
      <c r="S92" t="s">
        <v>180</v>
      </c>
    </row>
    <row r="93" spans="1:19" x14ac:dyDescent="0.35">
      <c r="A93">
        <v>50435</v>
      </c>
      <c r="B93" t="str">
        <f>"050435"</f>
        <v>050435</v>
      </c>
      <c r="C93" t="s">
        <v>577</v>
      </c>
      <c r="D93" t="s">
        <v>49</v>
      </c>
      <c r="E93" t="s">
        <v>50</v>
      </c>
      <c r="F93" t="s">
        <v>51</v>
      </c>
      <c r="G93" t="s">
        <v>172</v>
      </c>
      <c r="H93" t="s">
        <v>578</v>
      </c>
      <c r="I93" t="s">
        <v>579</v>
      </c>
      <c r="J93" t="s">
        <v>580</v>
      </c>
      <c r="K93" t="s">
        <v>55</v>
      </c>
      <c r="L93" t="s">
        <v>581</v>
      </c>
      <c r="M93" t="s">
        <v>57</v>
      </c>
      <c r="N93" t="str">
        <f>"050401"</f>
        <v>050401</v>
      </c>
      <c r="O93" t="s">
        <v>582</v>
      </c>
      <c r="P93" t="s">
        <v>59</v>
      </c>
      <c r="Q93">
        <v>17.100000000000001</v>
      </c>
      <c r="R93">
        <v>24.900000000000006</v>
      </c>
      <c r="S93" t="s">
        <v>217</v>
      </c>
    </row>
    <row r="94" spans="1:19" x14ac:dyDescent="0.35">
      <c r="A94">
        <v>44321</v>
      </c>
      <c r="B94" t="str">
        <f>"044321"</f>
        <v>044321</v>
      </c>
      <c r="C94" t="s">
        <v>583</v>
      </c>
      <c r="D94" t="s">
        <v>49</v>
      </c>
      <c r="E94" t="s">
        <v>50</v>
      </c>
      <c r="F94" t="s">
        <v>51</v>
      </c>
      <c r="G94" t="s">
        <v>124</v>
      </c>
      <c r="H94" t="s">
        <v>584</v>
      </c>
      <c r="I94" t="s">
        <v>585</v>
      </c>
      <c r="J94" t="s">
        <v>586</v>
      </c>
      <c r="K94" t="s">
        <v>55</v>
      </c>
      <c r="L94" t="s">
        <v>587</v>
      </c>
      <c r="M94" t="s">
        <v>57</v>
      </c>
      <c r="N94" t="str">
        <f>"050765"</f>
        <v>050765</v>
      </c>
      <c r="O94" t="s">
        <v>58</v>
      </c>
      <c r="P94" t="s">
        <v>84</v>
      </c>
      <c r="Q94">
        <v>51.8</v>
      </c>
      <c r="R94">
        <v>9.4000000000000057</v>
      </c>
      <c r="S94" t="s">
        <v>130</v>
      </c>
    </row>
    <row r="95" spans="1:19" x14ac:dyDescent="0.35">
      <c r="A95">
        <v>46201</v>
      </c>
      <c r="B95" t="str">
        <f>"046201"</f>
        <v>046201</v>
      </c>
      <c r="C95" t="s">
        <v>588</v>
      </c>
      <c r="D95" t="s">
        <v>49</v>
      </c>
      <c r="E95" t="s">
        <v>50</v>
      </c>
      <c r="F95" t="s">
        <v>51</v>
      </c>
      <c r="G95" t="s">
        <v>206</v>
      </c>
      <c r="H95" t="s">
        <v>589</v>
      </c>
      <c r="I95" t="s">
        <v>590</v>
      </c>
      <c r="J95" t="s">
        <v>591</v>
      </c>
      <c r="K95" t="s">
        <v>55</v>
      </c>
      <c r="L95" t="s">
        <v>592</v>
      </c>
      <c r="M95" t="s">
        <v>57</v>
      </c>
      <c r="N95" t="str">
        <f>"137364"</f>
        <v>137364</v>
      </c>
      <c r="O95" t="s">
        <v>593</v>
      </c>
      <c r="P95" t="s">
        <v>76</v>
      </c>
      <c r="Q95">
        <v>34.700000000000003</v>
      </c>
      <c r="R95">
        <v>7.4000000000000057</v>
      </c>
      <c r="S95" t="s">
        <v>180</v>
      </c>
    </row>
    <row r="96" spans="1:19" x14ac:dyDescent="0.35">
      <c r="A96">
        <v>46649</v>
      </c>
      <c r="B96" t="str">
        <f>"046649"</f>
        <v>046649</v>
      </c>
      <c r="C96" t="s">
        <v>594</v>
      </c>
      <c r="D96" t="s">
        <v>49</v>
      </c>
      <c r="E96" t="s">
        <v>50</v>
      </c>
      <c r="F96" t="s">
        <v>51</v>
      </c>
      <c r="G96" t="s">
        <v>175</v>
      </c>
      <c r="H96" t="s">
        <v>595</v>
      </c>
      <c r="I96" t="s">
        <v>596</v>
      </c>
      <c r="J96" t="s">
        <v>597</v>
      </c>
      <c r="K96" t="s">
        <v>55</v>
      </c>
      <c r="L96" t="s">
        <v>598</v>
      </c>
      <c r="M96" t="s">
        <v>57</v>
      </c>
      <c r="N96" t="str">
        <f>"046615"</f>
        <v>046615</v>
      </c>
      <c r="O96" t="s">
        <v>381</v>
      </c>
      <c r="P96" t="s">
        <v>76</v>
      </c>
      <c r="Q96">
        <v>18.3</v>
      </c>
      <c r="R96">
        <v>6.5</v>
      </c>
      <c r="S96" t="s">
        <v>180</v>
      </c>
    </row>
    <row r="97" spans="1:19" x14ac:dyDescent="0.35">
      <c r="A97">
        <v>47001</v>
      </c>
      <c r="B97" t="str">
        <f>"047001"</f>
        <v>047001</v>
      </c>
      <c r="C97" t="s">
        <v>599</v>
      </c>
      <c r="D97" t="s">
        <v>49</v>
      </c>
      <c r="E97" t="s">
        <v>50</v>
      </c>
      <c r="F97" t="s">
        <v>51</v>
      </c>
      <c r="G97" t="s">
        <v>600</v>
      </c>
      <c r="H97" t="s">
        <v>601</v>
      </c>
      <c r="I97" t="s">
        <v>602</v>
      </c>
      <c r="J97" t="s">
        <v>603</v>
      </c>
      <c r="K97" t="s">
        <v>55</v>
      </c>
      <c r="L97" t="s">
        <v>604</v>
      </c>
      <c r="M97" t="s">
        <v>57</v>
      </c>
      <c r="N97" t="str">
        <f>"050765"</f>
        <v>050765</v>
      </c>
      <c r="O97" t="s">
        <v>58</v>
      </c>
      <c r="P97" t="s">
        <v>59</v>
      </c>
      <c r="Q97">
        <v>62.1</v>
      </c>
      <c r="R97">
        <v>75</v>
      </c>
      <c r="S97" t="s">
        <v>60</v>
      </c>
    </row>
    <row r="98" spans="1:19" x14ac:dyDescent="0.35">
      <c r="A98">
        <v>52522</v>
      </c>
      <c r="B98" t="str">
        <f>"052522"</f>
        <v>052522</v>
      </c>
      <c r="C98" t="s">
        <v>605</v>
      </c>
      <c r="D98" t="s">
        <v>49</v>
      </c>
      <c r="E98" t="s">
        <v>606</v>
      </c>
      <c r="F98" t="s">
        <v>51</v>
      </c>
      <c r="G98" t="s">
        <v>63</v>
      </c>
      <c r="H98" t="s">
        <v>607</v>
      </c>
      <c r="I98" t="s">
        <v>608</v>
      </c>
      <c r="J98" t="s">
        <v>285</v>
      </c>
      <c r="K98" t="s">
        <v>55</v>
      </c>
      <c r="L98" t="s">
        <v>609</v>
      </c>
      <c r="M98" t="s">
        <v>57</v>
      </c>
      <c r="N98" t="str">
        <f>"052506"</f>
        <v>052506</v>
      </c>
      <c r="O98" t="s">
        <v>610</v>
      </c>
      <c r="P98" t="s">
        <v>68</v>
      </c>
      <c r="Q98" t="s">
        <v>68</v>
      </c>
      <c r="R98" t="s">
        <v>68</v>
      </c>
      <c r="S98" t="s">
        <v>69</v>
      </c>
    </row>
    <row r="99" spans="1:19" x14ac:dyDescent="0.35">
      <c r="A99">
        <v>47365</v>
      </c>
      <c r="B99" t="str">
        <f>"047365"</f>
        <v>047365</v>
      </c>
      <c r="C99" t="s">
        <v>611</v>
      </c>
      <c r="D99" t="s">
        <v>49</v>
      </c>
      <c r="E99" t="s">
        <v>50</v>
      </c>
      <c r="F99" t="s">
        <v>51</v>
      </c>
      <c r="G99" t="s">
        <v>212</v>
      </c>
      <c r="H99" t="s">
        <v>612</v>
      </c>
      <c r="I99" t="s">
        <v>613</v>
      </c>
      <c r="J99" t="s">
        <v>215</v>
      </c>
      <c r="K99" t="s">
        <v>55</v>
      </c>
      <c r="L99" t="s">
        <v>614</v>
      </c>
      <c r="M99" t="s">
        <v>57</v>
      </c>
      <c r="N99" t="str">
        <f>"047324"</f>
        <v>047324</v>
      </c>
      <c r="O99" t="s">
        <v>491</v>
      </c>
      <c r="P99" t="s">
        <v>59</v>
      </c>
      <c r="Q99">
        <v>75.3</v>
      </c>
      <c r="R99">
        <v>60.4</v>
      </c>
      <c r="S99" t="s">
        <v>217</v>
      </c>
    </row>
    <row r="100" spans="1:19" x14ac:dyDescent="0.35">
      <c r="A100">
        <v>50716</v>
      </c>
      <c r="B100" t="str">
        <f>"050716"</f>
        <v>050716</v>
      </c>
      <c r="C100" t="s">
        <v>615</v>
      </c>
      <c r="D100" t="s">
        <v>49</v>
      </c>
      <c r="E100" t="s">
        <v>50</v>
      </c>
      <c r="F100" t="s">
        <v>51</v>
      </c>
      <c r="G100" t="s">
        <v>226</v>
      </c>
      <c r="H100" t="s">
        <v>616</v>
      </c>
      <c r="I100" t="s">
        <v>617</v>
      </c>
      <c r="J100" t="s">
        <v>618</v>
      </c>
      <c r="K100" t="s">
        <v>55</v>
      </c>
      <c r="L100" t="s">
        <v>619</v>
      </c>
      <c r="M100" t="s">
        <v>57</v>
      </c>
      <c r="N100" t="str">
        <f>"050666"</f>
        <v>050666</v>
      </c>
      <c r="O100" t="s">
        <v>231</v>
      </c>
      <c r="P100" t="s">
        <v>84</v>
      </c>
      <c r="Q100">
        <v>41.3</v>
      </c>
      <c r="R100">
        <v>25.099999999999994</v>
      </c>
      <c r="S100" t="s">
        <v>156</v>
      </c>
    </row>
    <row r="101" spans="1:19" x14ac:dyDescent="0.35">
      <c r="A101">
        <v>61903</v>
      </c>
      <c r="B101" t="str">
        <f>"061903"</f>
        <v>061903</v>
      </c>
      <c r="C101" t="s">
        <v>620</v>
      </c>
      <c r="D101" t="s">
        <v>49</v>
      </c>
      <c r="E101" t="s">
        <v>50</v>
      </c>
      <c r="F101" t="s">
        <v>51</v>
      </c>
      <c r="G101" t="s">
        <v>621</v>
      </c>
      <c r="H101" t="s">
        <v>622</v>
      </c>
      <c r="I101" t="s">
        <v>623</v>
      </c>
      <c r="J101" t="s">
        <v>624</v>
      </c>
      <c r="K101" t="s">
        <v>55</v>
      </c>
      <c r="L101" t="s">
        <v>625</v>
      </c>
      <c r="M101" t="s">
        <v>57</v>
      </c>
      <c r="N101" t="str">
        <f>"046375"</f>
        <v>046375</v>
      </c>
      <c r="O101" t="s">
        <v>255</v>
      </c>
      <c r="P101" t="s">
        <v>76</v>
      </c>
      <c r="Q101">
        <v>53.2</v>
      </c>
      <c r="R101">
        <v>2.9000000000000057</v>
      </c>
      <c r="S101" t="s">
        <v>130</v>
      </c>
    </row>
    <row r="102" spans="1:19" x14ac:dyDescent="0.35">
      <c r="A102">
        <v>44214</v>
      </c>
      <c r="B102" t="str">
        <f>"044214"</f>
        <v>044214</v>
      </c>
      <c r="C102" t="s">
        <v>626</v>
      </c>
      <c r="D102" t="s">
        <v>49</v>
      </c>
      <c r="E102" t="s">
        <v>50</v>
      </c>
      <c r="F102" t="s">
        <v>51</v>
      </c>
      <c r="G102" t="s">
        <v>172</v>
      </c>
      <c r="H102" t="s">
        <v>627</v>
      </c>
      <c r="I102" t="s">
        <v>628</v>
      </c>
      <c r="J102" t="s">
        <v>629</v>
      </c>
      <c r="K102" t="s">
        <v>55</v>
      </c>
      <c r="L102" t="s">
        <v>630</v>
      </c>
      <c r="M102" t="s">
        <v>57</v>
      </c>
      <c r="N102" t="str">
        <f>"050765"</f>
        <v>050765</v>
      </c>
      <c r="O102" t="s">
        <v>58</v>
      </c>
      <c r="P102" t="s">
        <v>59</v>
      </c>
      <c r="Q102">
        <v>24.7</v>
      </c>
      <c r="R102">
        <v>14.900000000000006</v>
      </c>
      <c r="S102" t="s">
        <v>217</v>
      </c>
    </row>
    <row r="103" spans="1:19" x14ac:dyDescent="0.35">
      <c r="A103">
        <v>46524</v>
      </c>
      <c r="B103" t="str">
        <f>"046524"</f>
        <v>046524</v>
      </c>
      <c r="C103" t="s">
        <v>631</v>
      </c>
      <c r="D103" t="s">
        <v>49</v>
      </c>
      <c r="E103" t="s">
        <v>50</v>
      </c>
      <c r="F103" t="s">
        <v>51</v>
      </c>
      <c r="G103" t="s">
        <v>331</v>
      </c>
      <c r="H103" t="s">
        <v>632</v>
      </c>
      <c r="I103" t="s">
        <v>633</v>
      </c>
      <c r="J103" t="s">
        <v>634</v>
      </c>
      <c r="K103" t="s">
        <v>55</v>
      </c>
      <c r="L103" t="s">
        <v>635</v>
      </c>
      <c r="M103" t="s">
        <v>57</v>
      </c>
      <c r="N103" t="str">
        <f>"123521"</f>
        <v>123521</v>
      </c>
      <c r="O103" t="s">
        <v>570</v>
      </c>
      <c r="P103" t="s">
        <v>76</v>
      </c>
      <c r="Q103">
        <v>42.1</v>
      </c>
      <c r="R103">
        <v>2.5999999999999943</v>
      </c>
      <c r="S103" t="s">
        <v>156</v>
      </c>
    </row>
    <row r="104" spans="1:19" x14ac:dyDescent="0.35">
      <c r="A104">
        <v>47167</v>
      </c>
      <c r="B104" t="str">
        <f>"047167"</f>
        <v>047167</v>
      </c>
      <c r="C104" t="s">
        <v>636</v>
      </c>
      <c r="D104" t="s">
        <v>49</v>
      </c>
      <c r="E104" t="s">
        <v>50</v>
      </c>
      <c r="F104" t="s">
        <v>51</v>
      </c>
      <c r="G104" t="s">
        <v>511</v>
      </c>
      <c r="H104" t="s">
        <v>637</v>
      </c>
      <c r="I104" t="s">
        <v>638</v>
      </c>
      <c r="J104" t="s">
        <v>639</v>
      </c>
      <c r="K104" t="s">
        <v>55</v>
      </c>
      <c r="L104" t="s">
        <v>640</v>
      </c>
      <c r="M104" t="s">
        <v>57</v>
      </c>
      <c r="N104" t="str">
        <f>"047860"</f>
        <v>047860</v>
      </c>
      <c r="O104" t="s">
        <v>516</v>
      </c>
      <c r="P104" t="s">
        <v>84</v>
      </c>
      <c r="Q104">
        <v>19.7</v>
      </c>
      <c r="R104">
        <v>5.9000000000000057</v>
      </c>
      <c r="S104" t="s">
        <v>69</v>
      </c>
    </row>
    <row r="105" spans="1:19" x14ac:dyDescent="0.35">
      <c r="A105">
        <v>47258</v>
      </c>
      <c r="B105" t="str">
        <f>"047258"</f>
        <v>047258</v>
      </c>
      <c r="C105" t="s">
        <v>641</v>
      </c>
      <c r="D105" t="s">
        <v>49</v>
      </c>
      <c r="E105" t="s">
        <v>50</v>
      </c>
      <c r="F105" t="s">
        <v>51</v>
      </c>
      <c r="G105" t="s">
        <v>642</v>
      </c>
      <c r="H105" t="s">
        <v>643</v>
      </c>
      <c r="I105" t="s">
        <v>644</v>
      </c>
      <c r="J105" t="s">
        <v>645</v>
      </c>
      <c r="K105" t="s">
        <v>55</v>
      </c>
      <c r="L105" t="s">
        <v>646</v>
      </c>
      <c r="M105" t="s">
        <v>57</v>
      </c>
      <c r="N105" t="str">
        <f>"047233"</f>
        <v>047233</v>
      </c>
      <c r="O105" t="s">
        <v>647</v>
      </c>
      <c r="P105" t="s">
        <v>84</v>
      </c>
      <c r="Q105">
        <v>19.5</v>
      </c>
      <c r="R105">
        <v>10.900000000000006</v>
      </c>
      <c r="S105" t="s">
        <v>180</v>
      </c>
    </row>
    <row r="106" spans="1:19" x14ac:dyDescent="0.35">
      <c r="A106">
        <v>47803</v>
      </c>
      <c r="B106" t="str">
        <f>"047803"</f>
        <v>047803</v>
      </c>
      <c r="C106" t="s">
        <v>648</v>
      </c>
      <c r="D106" t="s">
        <v>49</v>
      </c>
      <c r="E106" t="s">
        <v>50</v>
      </c>
      <c r="F106" t="s">
        <v>51</v>
      </c>
      <c r="G106" t="s">
        <v>135</v>
      </c>
      <c r="H106" t="s">
        <v>649</v>
      </c>
      <c r="I106" t="s">
        <v>650</v>
      </c>
      <c r="J106" t="s">
        <v>651</v>
      </c>
      <c r="K106" t="s">
        <v>55</v>
      </c>
      <c r="L106" t="s">
        <v>652</v>
      </c>
      <c r="M106" t="s">
        <v>57</v>
      </c>
      <c r="N106" t="str">
        <f>"047779"</f>
        <v>047779</v>
      </c>
      <c r="O106" t="s">
        <v>653</v>
      </c>
      <c r="P106" t="s">
        <v>84</v>
      </c>
      <c r="Q106">
        <v>61.3</v>
      </c>
      <c r="R106">
        <v>13</v>
      </c>
      <c r="S106" t="s">
        <v>130</v>
      </c>
    </row>
    <row r="107" spans="1:19" x14ac:dyDescent="0.35">
      <c r="A107">
        <v>47886</v>
      </c>
      <c r="B107" t="str">
        <f>"047886"</f>
        <v>047886</v>
      </c>
      <c r="C107" t="s">
        <v>654</v>
      </c>
      <c r="D107" t="s">
        <v>49</v>
      </c>
      <c r="E107" t="s">
        <v>50</v>
      </c>
      <c r="F107" t="s">
        <v>51</v>
      </c>
      <c r="G107" t="s">
        <v>481</v>
      </c>
      <c r="H107" t="s">
        <v>655</v>
      </c>
      <c r="I107" t="s">
        <v>656</v>
      </c>
      <c r="J107" t="s">
        <v>657</v>
      </c>
      <c r="K107" t="s">
        <v>55</v>
      </c>
      <c r="L107" t="s">
        <v>658</v>
      </c>
      <c r="M107" t="s">
        <v>57</v>
      </c>
      <c r="N107" t="str">
        <f>"047860"</f>
        <v>047860</v>
      </c>
      <c r="O107" t="s">
        <v>516</v>
      </c>
      <c r="P107" t="s">
        <v>84</v>
      </c>
      <c r="Q107">
        <v>35.799999999999997</v>
      </c>
      <c r="R107">
        <v>13.599999999999994</v>
      </c>
      <c r="S107" t="s">
        <v>69</v>
      </c>
    </row>
    <row r="108" spans="1:19" x14ac:dyDescent="0.35">
      <c r="A108">
        <v>49502</v>
      </c>
      <c r="B108" t="str">
        <f>"049502"</f>
        <v>049502</v>
      </c>
      <c r="C108" t="s">
        <v>659</v>
      </c>
      <c r="D108" t="s">
        <v>49</v>
      </c>
      <c r="E108" t="s">
        <v>50</v>
      </c>
      <c r="F108" t="s">
        <v>51</v>
      </c>
      <c r="G108" t="s">
        <v>318</v>
      </c>
      <c r="H108" t="s">
        <v>660</v>
      </c>
      <c r="I108" t="s">
        <v>661</v>
      </c>
      <c r="J108" t="s">
        <v>321</v>
      </c>
      <c r="K108" t="s">
        <v>55</v>
      </c>
      <c r="L108" t="s">
        <v>322</v>
      </c>
      <c r="M108" t="s">
        <v>57</v>
      </c>
      <c r="N108" t="str">
        <f>"138222"</f>
        <v>138222</v>
      </c>
      <c r="O108" t="s">
        <v>323</v>
      </c>
      <c r="P108" t="s">
        <v>76</v>
      </c>
      <c r="Q108">
        <v>99.4</v>
      </c>
      <c r="R108">
        <v>5.2999999999999972</v>
      </c>
      <c r="S108" t="s">
        <v>130</v>
      </c>
    </row>
    <row r="109" spans="1:19" x14ac:dyDescent="0.35">
      <c r="A109">
        <v>44297</v>
      </c>
      <c r="B109" t="str">
        <f>"044297"</f>
        <v>044297</v>
      </c>
      <c r="C109" t="s">
        <v>662</v>
      </c>
      <c r="D109" t="s">
        <v>49</v>
      </c>
      <c r="E109" t="s">
        <v>50</v>
      </c>
      <c r="F109" t="s">
        <v>51</v>
      </c>
      <c r="G109" t="s">
        <v>663</v>
      </c>
      <c r="H109" t="s">
        <v>664</v>
      </c>
      <c r="I109" t="s">
        <v>665</v>
      </c>
      <c r="J109" t="s">
        <v>666</v>
      </c>
      <c r="K109" t="s">
        <v>55</v>
      </c>
      <c r="L109" t="s">
        <v>667</v>
      </c>
      <c r="M109" t="s">
        <v>57</v>
      </c>
      <c r="N109" t="str">
        <f>"050765"</f>
        <v>050765</v>
      </c>
      <c r="O109" t="s">
        <v>58</v>
      </c>
      <c r="P109" t="s">
        <v>281</v>
      </c>
      <c r="Q109">
        <v>99.9</v>
      </c>
      <c r="R109">
        <v>49.5</v>
      </c>
      <c r="S109" t="s">
        <v>77</v>
      </c>
    </row>
    <row r="110" spans="1:19" x14ac:dyDescent="0.35">
      <c r="A110">
        <v>44453</v>
      </c>
      <c r="B110" t="str">
        <f>"044453"</f>
        <v>044453</v>
      </c>
      <c r="C110" t="s">
        <v>668</v>
      </c>
      <c r="D110" t="s">
        <v>49</v>
      </c>
      <c r="E110" t="s">
        <v>50</v>
      </c>
      <c r="F110" t="s">
        <v>51</v>
      </c>
      <c r="G110" t="s">
        <v>110</v>
      </c>
      <c r="H110" t="s">
        <v>669</v>
      </c>
      <c r="I110" t="s">
        <v>670</v>
      </c>
      <c r="J110" t="s">
        <v>671</v>
      </c>
      <c r="K110" t="s">
        <v>55</v>
      </c>
      <c r="L110" t="s">
        <v>672</v>
      </c>
      <c r="M110" t="s">
        <v>57</v>
      </c>
      <c r="N110" t="str">
        <f>"050765"</f>
        <v>050765</v>
      </c>
      <c r="O110" t="s">
        <v>58</v>
      </c>
      <c r="P110" t="s">
        <v>281</v>
      </c>
      <c r="Q110">
        <v>66.3</v>
      </c>
      <c r="R110">
        <v>17.700000000000003</v>
      </c>
      <c r="S110" t="s">
        <v>60</v>
      </c>
    </row>
    <row r="111" spans="1:19" x14ac:dyDescent="0.35">
      <c r="A111">
        <v>48835</v>
      </c>
      <c r="B111" t="str">
        <f>"048835"</f>
        <v>048835</v>
      </c>
      <c r="C111" t="s">
        <v>673</v>
      </c>
      <c r="D111" t="s">
        <v>49</v>
      </c>
      <c r="E111" t="s">
        <v>50</v>
      </c>
      <c r="F111" t="s">
        <v>51</v>
      </c>
      <c r="G111" t="s">
        <v>674</v>
      </c>
      <c r="H111" t="s">
        <v>675</v>
      </c>
      <c r="I111" t="s">
        <v>676</v>
      </c>
      <c r="J111" t="s">
        <v>677</v>
      </c>
      <c r="K111" t="s">
        <v>55</v>
      </c>
      <c r="L111" t="s">
        <v>678</v>
      </c>
      <c r="M111" t="s">
        <v>57</v>
      </c>
      <c r="N111" t="str">
        <f>"125252"</f>
        <v>125252</v>
      </c>
      <c r="O111" t="s">
        <v>90</v>
      </c>
      <c r="P111" t="s">
        <v>84</v>
      </c>
      <c r="Q111">
        <v>31.4</v>
      </c>
      <c r="R111">
        <v>5.7999999999999972</v>
      </c>
      <c r="S111" t="s">
        <v>130</v>
      </c>
    </row>
    <row r="112" spans="1:19" x14ac:dyDescent="0.35">
      <c r="A112">
        <v>50468</v>
      </c>
      <c r="B112" t="str">
        <f>"050468"</f>
        <v>050468</v>
      </c>
      <c r="C112" t="s">
        <v>679</v>
      </c>
      <c r="D112" t="s">
        <v>49</v>
      </c>
      <c r="E112" t="s">
        <v>50</v>
      </c>
      <c r="F112" t="s">
        <v>51</v>
      </c>
      <c r="G112" t="s">
        <v>172</v>
      </c>
      <c r="H112" t="s">
        <v>680</v>
      </c>
      <c r="I112" t="s">
        <v>681</v>
      </c>
      <c r="J112" t="s">
        <v>682</v>
      </c>
      <c r="K112" t="s">
        <v>55</v>
      </c>
      <c r="L112" t="s">
        <v>683</v>
      </c>
      <c r="M112" t="s">
        <v>57</v>
      </c>
      <c r="N112" t="str">
        <f>"050401"</f>
        <v>050401</v>
      </c>
      <c r="O112" t="s">
        <v>582</v>
      </c>
      <c r="P112" t="s">
        <v>84</v>
      </c>
      <c r="Q112">
        <v>11.4</v>
      </c>
      <c r="R112">
        <v>8.0999999999999943</v>
      </c>
      <c r="S112" t="s">
        <v>217</v>
      </c>
    </row>
    <row r="113" spans="1:19" x14ac:dyDescent="0.35">
      <c r="A113">
        <v>200072</v>
      </c>
      <c r="B113" t="str">
        <f>"200072"</f>
        <v>200072</v>
      </c>
      <c r="C113" t="s">
        <v>684</v>
      </c>
      <c r="D113" t="s">
        <v>49</v>
      </c>
      <c r="E113" t="s">
        <v>62</v>
      </c>
      <c r="F113" t="s">
        <v>51</v>
      </c>
      <c r="G113" t="s">
        <v>543</v>
      </c>
      <c r="H113" t="s">
        <v>685</v>
      </c>
      <c r="I113" t="s">
        <v>686</v>
      </c>
      <c r="J113" t="s">
        <v>687</v>
      </c>
      <c r="K113" t="s">
        <v>55</v>
      </c>
      <c r="L113" t="s">
        <v>688</v>
      </c>
      <c r="M113" t="s">
        <v>57</v>
      </c>
      <c r="N113" t="str">
        <f>"N/A"</f>
        <v>N/A</v>
      </c>
      <c r="O113" t="s">
        <v>49</v>
      </c>
      <c r="P113" t="s">
        <v>68</v>
      </c>
      <c r="Q113" t="s">
        <v>68</v>
      </c>
      <c r="R113" t="s">
        <v>68</v>
      </c>
      <c r="S113" t="s">
        <v>180</v>
      </c>
    </row>
    <row r="114" spans="1:19" x14ac:dyDescent="0.35">
      <c r="A114">
        <v>200111</v>
      </c>
      <c r="B114" t="str">
        <f>"200111"</f>
        <v>200111</v>
      </c>
      <c r="C114" t="s">
        <v>689</v>
      </c>
      <c r="D114" t="s">
        <v>49</v>
      </c>
      <c r="E114" t="s">
        <v>62</v>
      </c>
      <c r="F114" t="s">
        <v>51</v>
      </c>
      <c r="G114" t="s">
        <v>312</v>
      </c>
      <c r="H114" t="s">
        <v>690</v>
      </c>
      <c r="I114" t="s">
        <v>691</v>
      </c>
      <c r="J114" t="s">
        <v>312</v>
      </c>
      <c r="K114" t="s">
        <v>55</v>
      </c>
      <c r="L114" t="s">
        <v>315</v>
      </c>
      <c r="M114" t="s">
        <v>57</v>
      </c>
      <c r="N114" t="str">
        <f>"N/A"</f>
        <v>N/A</v>
      </c>
      <c r="O114" t="s">
        <v>49</v>
      </c>
      <c r="P114" t="s">
        <v>68</v>
      </c>
      <c r="Q114" t="s">
        <v>68</v>
      </c>
      <c r="R114" t="s">
        <v>68</v>
      </c>
      <c r="S114" t="s">
        <v>156</v>
      </c>
    </row>
    <row r="115" spans="1:19" x14ac:dyDescent="0.35">
      <c r="A115">
        <v>44990</v>
      </c>
      <c r="B115" t="str">
        <f>"044990"</f>
        <v>044990</v>
      </c>
      <c r="C115" t="s">
        <v>692</v>
      </c>
      <c r="D115" t="s">
        <v>49</v>
      </c>
      <c r="E115" t="s">
        <v>50</v>
      </c>
      <c r="F115" t="s">
        <v>51</v>
      </c>
      <c r="G115" t="s">
        <v>169</v>
      </c>
      <c r="H115" t="s">
        <v>693</v>
      </c>
      <c r="I115" t="s">
        <v>694</v>
      </c>
      <c r="J115" t="s">
        <v>172</v>
      </c>
      <c r="K115" t="s">
        <v>55</v>
      </c>
      <c r="L115" t="s">
        <v>695</v>
      </c>
      <c r="M115" t="s">
        <v>57</v>
      </c>
      <c r="N115" t="str">
        <f>"050765"</f>
        <v>050765</v>
      </c>
      <c r="O115" t="s">
        <v>58</v>
      </c>
      <c r="P115" t="s">
        <v>281</v>
      </c>
      <c r="Q115">
        <v>99.7</v>
      </c>
      <c r="R115">
        <v>61.9</v>
      </c>
      <c r="S115" t="s">
        <v>77</v>
      </c>
    </row>
    <row r="116" spans="1:19" x14ac:dyDescent="0.35">
      <c r="A116">
        <v>45609</v>
      </c>
      <c r="B116" t="str">
        <f>"045609"</f>
        <v>045609</v>
      </c>
      <c r="C116" t="s">
        <v>696</v>
      </c>
      <c r="D116" t="s">
        <v>49</v>
      </c>
      <c r="E116" t="s">
        <v>50</v>
      </c>
      <c r="F116" t="s">
        <v>51</v>
      </c>
      <c r="G116" t="s">
        <v>226</v>
      </c>
      <c r="H116" t="s">
        <v>697</v>
      </c>
      <c r="I116" t="s">
        <v>698</v>
      </c>
      <c r="J116" t="s">
        <v>699</v>
      </c>
      <c r="K116" t="s">
        <v>55</v>
      </c>
      <c r="L116" t="s">
        <v>700</v>
      </c>
      <c r="M116" t="s">
        <v>57</v>
      </c>
      <c r="N116" t="str">
        <f>"050765"</f>
        <v>050765</v>
      </c>
      <c r="O116" t="s">
        <v>58</v>
      </c>
      <c r="P116" t="s">
        <v>84</v>
      </c>
      <c r="Q116">
        <v>40.1</v>
      </c>
      <c r="R116">
        <v>26.900000000000006</v>
      </c>
      <c r="S116" t="s">
        <v>156</v>
      </c>
    </row>
    <row r="117" spans="1:19" x14ac:dyDescent="0.35">
      <c r="A117">
        <v>46078</v>
      </c>
      <c r="B117" t="str">
        <f>"046078"</f>
        <v>046078</v>
      </c>
      <c r="C117" t="s">
        <v>701</v>
      </c>
      <c r="D117" t="s">
        <v>49</v>
      </c>
      <c r="E117" t="s">
        <v>50</v>
      </c>
      <c r="F117" t="s">
        <v>51</v>
      </c>
      <c r="G117" t="s">
        <v>19</v>
      </c>
      <c r="H117" t="s">
        <v>702</v>
      </c>
      <c r="I117" t="s">
        <v>703</v>
      </c>
      <c r="J117" t="s">
        <v>704</v>
      </c>
      <c r="K117" t="s">
        <v>55</v>
      </c>
      <c r="L117" t="s">
        <v>705</v>
      </c>
      <c r="M117" t="s">
        <v>57</v>
      </c>
      <c r="N117" t="str">
        <f>"046029"</f>
        <v>046029</v>
      </c>
      <c r="O117" t="s">
        <v>565</v>
      </c>
      <c r="P117" t="s">
        <v>76</v>
      </c>
      <c r="Q117">
        <v>66</v>
      </c>
      <c r="R117">
        <v>7.5999999999999943</v>
      </c>
      <c r="S117" t="s">
        <v>217</v>
      </c>
    </row>
    <row r="118" spans="1:19" x14ac:dyDescent="0.35">
      <c r="A118">
        <v>46193</v>
      </c>
      <c r="B118" t="str">
        <f>"046193"</f>
        <v>046193</v>
      </c>
      <c r="C118" t="s">
        <v>706</v>
      </c>
      <c r="D118" t="s">
        <v>49</v>
      </c>
      <c r="E118" t="s">
        <v>50</v>
      </c>
      <c r="F118" t="s">
        <v>51</v>
      </c>
      <c r="G118" t="s">
        <v>206</v>
      </c>
      <c r="H118" t="s">
        <v>707</v>
      </c>
      <c r="I118" t="s">
        <v>708</v>
      </c>
      <c r="J118" t="s">
        <v>709</v>
      </c>
      <c r="K118" t="s">
        <v>55</v>
      </c>
      <c r="L118" t="s">
        <v>710</v>
      </c>
      <c r="M118" t="s">
        <v>57</v>
      </c>
      <c r="N118" t="str">
        <f>"050765"</f>
        <v>050765</v>
      </c>
      <c r="O118" t="s">
        <v>58</v>
      </c>
      <c r="P118" t="s">
        <v>76</v>
      </c>
      <c r="Q118">
        <v>35.700000000000003</v>
      </c>
      <c r="R118">
        <v>8.2999999999999972</v>
      </c>
      <c r="S118" t="s">
        <v>180</v>
      </c>
    </row>
    <row r="119" spans="1:19" x14ac:dyDescent="0.35">
      <c r="A119">
        <v>47696</v>
      </c>
      <c r="B119" t="str">
        <f>"047696"</f>
        <v>047696</v>
      </c>
      <c r="C119" t="s">
        <v>711</v>
      </c>
      <c r="D119" t="s">
        <v>49</v>
      </c>
      <c r="E119" t="s">
        <v>50</v>
      </c>
      <c r="F119" t="s">
        <v>51</v>
      </c>
      <c r="G119" t="s">
        <v>712</v>
      </c>
      <c r="H119" t="s">
        <v>713</v>
      </c>
      <c r="I119" t="s">
        <v>714</v>
      </c>
      <c r="J119" t="s">
        <v>715</v>
      </c>
      <c r="K119" t="s">
        <v>55</v>
      </c>
      <c r="L119" t="s">
        <v>716</v>
      </c>
      <c r="M119" t="s">
        <v>57</v>
      </c>
      <c r="N119" t="str">
        <f>"050526"</f>
        <v>050526</v>
      </c>
      <c r="O119" t="s">
        <v>192</v>
      </c>
      <c r="P119" t="s">
        <v>76</v>
      </c>
      <c r="Q119">
        <v>42.9</v>
      </c>
      <c r="R119">
        <v>5.7999999999999972</v>
      </c>
      <c r="S119" t="s">
        <v>77</v>
      </c>
    </row>
    <row r="120" spans="1:19" x14ac:dyDescent="0.35">
      <c r="A120">
        <v>51607</v>
      </c>
      <c r="B120" t="str">
        <f>"051607"</f>
        <v>051607</v>
      </c>
      <c r="C120" t="s">
        <v>717</v>
      </c>
      <c r="D120" t="s">
        <v>49</v>
      </c>
      <c r="E120" t="s">
        <v>163</v>
      </c>
      <c r="F120" t="s">
        <v>51</v>
      </c>
      <c r="G120" t="s">
        <v>493</v>
      </c>
      <c r="H120" t="s">
        <v>494</v>
      </c>
      <c r="I120" t="s">
        <v>495</v>
      </c>
      <c r="J120" t="s">
        <v>496</v>
      </c>
      <c r="K120" t="s">
        <v>55</v>
      </c>
      <c r="L120" t="s">
        <v>497</v>
      </c>
      <c r="M120" t="s">
        <v>57</v>
      </c>
      <c r="N120" t="str">
        <f>"050765"</f>
        <v>050765</v>
      </c>
      <c r="O120" t="s">
        <v>58</v>
      </c>
      <c r="P120" t="s">
        <v>68</v>
      </c>
      <c r="Q120" t="s">
        <v>68</v>
      </c>
      <c r="R120" t="s">
        <v>68</v>
      </c>
      <c r="S120" t="s">
        <v>130</v>
      </c>
    </row>
    <row r="121" spans="1:19" x14ac:dyDescent="0.35">
      <c r="A121">
        <v>47639</v>
      </c>
      <c r="B121" t="str">
        <f>"047639"</f>
        <v>047639</v>
      </c>
      <c r="C121" t="s">
        <v>718</v>
      </c>
      <c r="D121" t="s">
        <v>49</v>
      </c>
      <c r="E121" t="s">
        <v>50</v>
      </c>
      <c r="F121" t="s">
        <v>51</v>
      </c>
      <c r="G121" t="s">
        <v>719</v>
      </c>
      <c r="H121" t="s">
        <v>720</v>
      </c>
      <c r="I121" t="s">
        <v>721</v>
      </c>
      <c r="J121" t="s">
        <v>722</v>
      </c>
      <c r="K121" t="s">
        <v>55</v>
      </c>
      <c r="L121" t="s">
        <v>723</v>
      </c>
      <c r="M121" t="s">
        <v>57</v>
      </c>
      <c r="N121" t="str">
        <f>"046375"</f>
        <v>046375</v>
      </c>
      <c r="O121" t="s">
        <v>255</v>
      </c>
      <c r="P121" t="s">
        <v>76</v>
      </c>
      <c r="Q121">
        <v>42.1</v>
      </c>
      <c r="R121">
        <v>5.2000000000000028</v>
      </c>
      <c r="S121" t="s">
        <v>130</v>
      </c>
    </row>
    <row r="122" spans="1:19" x14ac:dyDescent="0.35">
      <c r="A122">
        <v>50203</v>
      </c>
      <c r="B122" t="str">
        <f>"050203"</f>
        <v>050203</v>
      </c>
      <c r="C122" t="s">
        <v>724</v>
      </c>
      <c r="D122" t="s">
        <v>49</v>
      </c>
      <c r="E122" t="s">
        <v>50</v>
      </c>
      <c r="F122" t="s">
        <v>51</v>
      </c>
      <c r="G122" t="s">
        <v>169</v>
      </c>
      <c r="H122" t="s">
        <v>725</v>
      </c>
      <c r="I122" t="s">
        <v>726</v>
      </c>
      <c r="J122" t="s">
        <v>172</v>
      </c>
      <c r="K122" t="s">
        <v>55</v>
      </c>
      <c r="L122" t="s">
        <v>695</v>
      </c>
      <c r="M122" t="s">
        <v>57</v>
      </c>
      <c r="N122" t="str">
        <f>"050088"</f>
        <v>050088</v>
      </c>
      <c r="O122" t="s">
        <v>416</v>
      </c>
      <c r="P122" t="s">
        <v>76</v>
      </c>
      <c r="Q122">
        <v>75.099999999999994</v>
      </c>
      <c r="R122">
        <v>9.4000000000000057</v>
      </c>
      <c r="S122" t="s">
        <v>77</v>
      </c>
    </row>
    <row r="123" spans="1:19" x14ac:dyDescent="0.35">
      <c r="A123">
        <v>50211</v>
      </c>
      <c r="B123" t="str">
        <f>"050211"</f>
        <v>050211</v>
      </c>
      <c r="C123" t="s">
        <v>727</v>
      </c>
      <c r="D123" t="s">
        <v>49</v>
      </c>
      <c r="E123" t="s">
        <v>50</v>
      </c>
      <c r="F123" t="s">
        <v>51</v>
      </c>
      <c r="G123" t="s">
        <v>169</v>
      </c>
      <c r="H123" t="s">
        <v>728</v>
      </c>
      <c r="I123" t="s">
        <v>729</v>
      </c>
      <c r="J123" t="s">
        <v>730</v>
      </c>
      <c r="K123" t="s">
        <v>55</v>
      </c>
      <c r="L123" t="s">
        <v>731</v>
      </c>
      <c r="M123" t="s">
        <v>57</v>
      </c>
      <c r="N123" t="str">
        <f>"050088"</f>
        <v>050088</v>
      </c>
      <c r="O123" t="s">
        <v>416</v>
      </c>
      <c r="P123" t="s">
        <v>76</v>
      </c>
      <c r="Q123">
        <v>34.6</v>
      </c>
      <c r="R123">
        <v>3.0999999999999943</v>
      </c>
      <c r="S123" t="s">
        <v>77</v>
      </c>
    </row>
    <row r="124" spans="1:19" x14ac:dyDescent="0.35">
      <c r="A124">
        <v>44719</v>
      </c>
      <c r="B124" t="str">
        <f>"044719"</f>
        <v>044719</v>
      </c>
      <c r="C124" t="s">
        <v>732</v>
      </c>
      <c r="D124" t="s">
        <v>49</v>
      </c>
      <c r="E124" t="s">
        <v>50</v>
      </c>
      <c r="F124" t="s">
        <v>51</v>
      </c>
      <c r="G124" t="s">
        <v>212</v>
      </c>
      <c r="H124" t="s">
        <v>733</v>
      </c>
      <c r="I124" t="s">
        <v>734</v>
      </c>
      <c r="J124" t="s">
        <v>735</v>
      </c>
      <c r="K124" t="s">
        <v>55</v>
      </c>
      <c r="L124" t="s">
        <v>736</v>
      </c>
      <c r="M124" t="s">
        <v>57</v>
      </c>
      <c r="N124" t="str">
        <f>"050765"</f>
        <v>050765</v>
      </c>
      <c r="O124" t="s">
        <v>58</v>
      </c>
      <c r="P124" t="s">
        <v>281</v>
      </c>
      <c r="Q124">
        <v>83.2</v>
      </c>
      <c r="R124">
        <v>60.8</v>
      </c>
      <c r="S124" t="s">
        <v>217</v>
      </c>
    </row>
    <row r="125" spans="1:19" x14ac:dyDescent="0.35">
      <c r="A125">
        <v>47076</v>
      </c>
      <c r="B125" t="str">
        <f>"047076"</f>
        <v>047076</v>
      </c>
      <c r="C125" t="s">
        <v>737</v>
      </c>
      <c r="D125" t="s">
        <v>49</v>
      </c>
      <c r="E125" t="s">
        <v>50</v>
      </c>
      <c r="F125" t="s">
        <v>51</v>
      </c>
      <c r="G125" t="s">
        <v>344</v>
      </c>
      <c r="H125" t="s">
        <v>738</v>
      </c>
      <c r="I125" t="s">
        <v>739</v>
      </c>
      <c r="J125" t="s">
        <v>740</v>
      </c>
      <c r="K125" t="s">
        <v>55</v>
      </c>
      <c r="L125" t="s">
        <v>741</v>
      </c>
      <c r="M125" t="s">
        <v>57</v>
      </c>
      <c r="N125" t="str">
        <f>"124297"</f>
        <v>124297</v>
      </c>
      <c r="O125" t="s">
        <v>349</v>
      </c>
      <c r="P125" t="s">
        <v>76</v>
      </c>
      <c r="Q125">
        <v>21.5</v>
      </c>
      <c r="R125">
        <v>15.700000000000003</v>
      </c>
      <c r="S125" t="s">
        <v>156</v>
      </c>
    </row>
    <row r="126" spans="1:19" x14ac:dyDescent="0.35">
      <c r="A126">
        <v>48470</v>
      </c>
      <c r="B126" t="str">
        <f>"048470"</f>
        <v>048470</v>
      </c>
      <c r="C126" t="s">
        <v>742</v>
      </c>
      <c r="D126" t="s">
        <v>49</v>
      </c>
      <c r="E126" t="s">
        <v>50</v>
      </c>
      <c r="F126" t="s">
        <v>51</v>
      </c>
      <c r="G126" t="s">
        <v>406</v>
      </c>
      <c r="H126" t="s">
        <v>743</v>
      </c>
      <c r="I126" t="s">
        <v>744</v>
      </c>
      <c r="J126" t="s">
        <v>406</v>
      </c>
      <c r="K126" t="s">
        <v>55</v>
      </c>
      <c r="L126" t="s">
        <v>409</v>
      </c>
      <c r="M126" t="s">
        <v>57</v>
      </c>
      <c r="N126" t="str">
        <f>"048454"</f>
        <v>048454</v>
      </c>
      <c r="O126" t="s">
        <v>410</v>
      </c>
      <c r="P126" t="s">
        <v>84</v>
      </c>
      <c r="Q126">
        <v>17.399999999999999</v>
      </c>
      <c r="R126">
        <v>10.200000000000003</v>
      </c>
      <c r="S126" t="s">
        <v>77</v>
      </c>
    </row>
    <row r="127" spans="1:19" x14ac:dyDescent="0.35">
      <c r="A127">
        <v>49171</v>
      </c>
      <c r="B127" t="str">
        <f>"049171"</f>
        <v>049171</v>
      </c>
      <c r="C127" t="s">
        <v>745</v>
      </c>
      <c r="D127" t="s">
        <v>49</v>
      </c>
      <c r="E127" t="s">
        <v>50</v>
      </c>
      <c r="F127" t="s">
        <v>51</v>
      </c>
      <c r="G127" t="s">
        <v>295</v>
      </c>
      <c r="H127" t="s">
        <v>746</v>
      </c>
      <c r="I127" t="s">
        <v>747</v>
      </c>
      <c r="J127" t="s">
        <v>748</v>
      </c>
      <c r="K127" t="s">
        <v>55</v>
      </c>
      <c r="L127" t="s">
        <v>749</v>
      </c>
      <c r="M127" t="s">
        <v>57</v>
      </c>
      <c r="N127" t="str">
        <f>"050765"</f>
        <v>050765</v>
      </c>
      <c r="O127" t="s">
        <v>58</v>
      </c>
      <c r="P127" t="s">
        <v>59</v>
      </c>
      <c r="Q127">
        <v>5.0999999999999996</v>
      </c>
      <c r="R127">
        <v>20.5</v>
      </c>
      <c r="S127" t="s">
        <v>77</v>
      </c>
    </row>
    <row r="128" spans="1:19" x14ac:dyDescent="0.35">
      <c r="A128">
        <v>49544</v>
      </c>
      <c r="B128" t="str">
        <f>"049544"</f>
        <v>049544</v>
      </c>
      <c r="C128" t="s">
        <v>750</v>
      </c>
      <c r="D128" t="s">
        <v>49</v>
      </c>
      <c r="E128" t="s">
        <v>50</v>
      </c>
      <c r="F128" t="s">
        <v>51</v>
      </c>
      <c r="G128" t="s">
        <v>318</v>
      </c>
      <c r="H128" t="s">
        <v>751</v>
      </c>
      <c r="I128" t="s">
        <v>752</v>
      </c>
      <c r="J128" t="s">
        <v>321</v>
      </c>
      <c r="K128" t="s">
        <v>55</v>
      </c>
      <c r="L128" t="s">
        <v>322</v>
      </c>
      <c r="M128" t="s">
        <v>57</v>
      </c>
      <c r="N128" t="str">
        <f>"138222"</f>
        <v>138222</v>
      </c>
      <c r="O128" t="s">
        <v>323</v>
      </c>
      <c r="P128" t="s">
        <v>84</v>
      </c>
      <c r="Q128">
        <v>38.799999999999997</v>
      </c>
      <c r="R128">
        <v>6</v>
      </c>
      <c r="S128" t="s">
        <v>130</v>
      </c>
    </row>
    <row r="129" spans="1:19" x14ac:dyDescent="0.35">
      <c r="A129">
        <v>43935</v>
      </c>
      <c r="B129" t="str">
        <f>"043935"</f>
        <v>043935</v>
      </c>
      <c r="C129" t="s">
        <v>753</v>
      </c>
      <c r="D129" t="s">
        <v>49</v>
      </c>
      <c r="E129" t="s">
        <v>50</v>
      </c>
      <c r="F129" t="s">
        <v>51</v>
      </c>
      <c r="G129" t="s">
        <v>362</v>
      </c>
      <c r="H129" t="s">
        <v>754</v>
      </c>
      <c r="I129" t="s">
        <v>755</v>
      </c>
      <c r="J129" t="s">
        <v>756</v>
      </c>
      <c r="K129" t="s">
        <v>55</v>
      </c>
      <c r="L129" t="s">
        <v>757</v>
      </c>
      <c r="M129" t="s">
        <v>57</v>
      </c>
      <c r="N129" t="str">
        <f>"050765"</f>
        <v>050765</v>
      </c>
      <c r="O129" t="s">
        <v>58</v>
      </c>
      <c r="P129" t="s">
        <v>76</v>
      </c>
      <c r="Q129">
        <v>40.9</v>
      </c>
      <c r="R129">
        <v>8.7000000000000028</v>
      </c>
      <c r="S129" t="s">
        <v>180</v>
      </c>
    </row>
    <row r="130" spans="1:19" x14ac:dyDescent="0.35">
      <c r="A130">
        <v>46813</v>
      </c>
      <c r="B130" t="str">
        <f>"046813"</f>
        <v>046813</v>
      </c>
      <c r="C130" t="s">
        <v>758</v>
      </c>
      <c r="D130" t="s">
        <v>49</v>
      </c>
      <c r="E130" t="s">
        <v>50</v>
      </c>
      <c r="F130" t="s">
        <v>51</v>
      </c>
      <c r="G130" t="s">
        <v>759</v>
      </c>
      <c r="H130" t="s">
        <v>760</v>
      </c>
      <c r="I130" t="s">
        <v>761</v>
      </c>
      <c r="J130" t="s">
        <v>400</v>
      </c>
      <c r="K130" t="s">
        <v>55</v>
      </c>
      <c r="L130" t="s">
        <v>762</v>
      </c>
      <c r="M130" t="s">
        <v>57</v>
      </c>
      <c r="N130" t="str">
        <f>"125690"</f>
        <v>125690</v>
      </c>
      <c r="O130" t="s">
        <v>262</v>
      </c>
      <c r="P130" t="s">
        <v>59</v>
      </c>
      <c r="Q130">
        <v>28</v>
      </c>
      <c r="R130">
        <v>24.5</v>
      </c>
      <c r="S130" t="s">
        <v>69</v>
      </c>
    </row>
    <row r="131" spans="1:19" x14ac:dyDescent="0.35">
      <c r="A131">
        <v>200027</v>
      </c>
      <c r="B131" t="str">
        <f>"200027"</f>
        <v>200027</v>
      </c>
      <c r="C131" t="s">
        <v>763</v>
      </c>
      <c r="D131" t="s">
        <v>49</v>
      </c>
      <c r="E131" t="s">
        <v>62</v>
      </c>
      <c r="F131" t="s">
        <v>51</v>
      </c>
      <c r="G131" t="s">
        <v>63</v>
      </c>
      <c r="H131" t="s">
        <v>764</v>
      </c>
      <c r="I131" t="s">
        <v>765</v>
      </c>
      <c r="J131" t="s">
        <v>140</v>
      </c>
      <c r="K131" t="s">
        <v>55</v>
      </c>
      <c r="L131" t="s">
        <v>141</v>
      </c>
      <c r="M131" t="s">
        <v>57</v>
      </c>
      <c r="N131" t="str">
        <f>"N/A"</f>
        <v>N/A</v>
      </c>
      <c r="O131" t="s">
        <v>49</v>
      </c>
      <c r="P131" t="s">
        <v>68</v>
      </c>
      <c r="Q131" t="s">
        <v>68</v>
      </c>
      <c r="R131" t="s">
        <v>68</v>
      </c>
      <c r="S131" t="s">
        <v>69</v>
      </c>
    </row>
    <row r="132" spans="1:19" x14ac:dyDescent="0.35">
      <c r="A132">
        <v>200056</v>
      </c>
      <c r="B132" t="str">
        <f>"200056"</f>
        <v>200056</v>
      </c>
      <c r="C132" t="s">
        <v>766</v>
      </c>
      <c r="D132" t="s">
        <v>49</v>
      </c>
      <c r="E132" t="s">
        <v>62</v>
      </c>
      <c r="F132" t="s">
        <v>51</v>
      </c>
      <c r="G132" t="s">
        <v>288</v>
      </c>
      <c r="H132" t="s">
        <v>767</v>
      </c>
      <c r="I132" t="s">
        <v>768</v>
      </c>
      <c r="J132" t="s">
        <v>769</v>
      </c>
      <c r="K132" t="s">
        <v>55</v>
      </c>
      <c r="L132" t="s">
        <v>770</v>
      </c>
      <c r="M132" t="s">
        <v>57</v>
      </c>
      <c r="N132" t="str">
        <f>"N/A"</f>
        <v>N/A</v>
      </c>
      <c r="O132" t="s">
        <v>49</v>
      </c>
      <c r="P132" t="s">
        <v>68</v>
      </c>
      <c r="Q132" t="s">
        <v>68</v>
      </c>
      <c r="R132" t="s">
        <v>68</v>
      </c>
      <c r="S132" t="s">
        <v>180</v>
      </c>
    </row>
    <row r="133" spans="1:19" x14ac:dyDescent="0.35">
      <c r="A133">
        <v>45104</v>
      </c>
      <c r="B133" t="str">
        <f>"045104"</f>
        <v>045104</v>
      </c>
      <c r="C133" t="s">
        <v>771</v>
      </c>
      <c r="D133" t="s">
        <v>49</v>
      </c>
      <c r="E133" t="s">
        <v>50</v>
      </c>
      <c r="F133" t="s">
        <v>51</v>
      </c>
      <c r="G133" t="s">
        <v>481</v>
      </c>
      <c r="H133" t="s">
        <v>772</v>
      </c>
      <c r="I133" t="s">
        <v>773</v>
      </c>
      <c r="J133" t="s">
        <v>774</v>
      </c>
      <c r="K133" t="s">
        <v>55</v>
      </c>
      <c r="L133" t="s">
        <v>775</v>
      </c>
      <c r="M133" t="s">
        <v>57</v>
      </c>
      <c r="N133" t="str">
        <f>"050765"</f>
        <v>050765</v>
      </c>
      <c r="O133" t="s">
        <v>58</v>
      </c>
      <c r="P133" t="s">
        <v>59</v>
      </c>
      <c r="Q133">
        <v>39.9</v>
      </c>
      <c r="R133">
        <v>29.200000000000003</v>
      </c>
      <c r="S133" t="s">
        <v>69</v>
      </c>
    </row>
    <row r="134" spans="1:19" x14ac:dyDescent="0.35">
      <c r="A134">
        <v>46250</v>
      </c>
      <c r="B134" t="str">
        <f>"046250"</f>
        <v>046250</v>
      </c>
      <c r="C134" t="s">
        <v>776</v>
      </c>
      <c r="D134" t="s">
        <v>49</v>
      </c>
      <c r="E134" t="s">
        <v>50</v>
      </c>
      <c r="F134" t="s">
        <v>51</v>
      </c>
      <c r="G134" t="s">
        <v>777</v>
      </c>
      <c r="H134" t="s">
        <v>778</v>
      </c>
      <c r="I134" t="s">
        <v>779</v>
      </c>
      <c r="J134" t="s">
        <v>780</v>
      </c>
      <c r="K134" t="s">
        <v>55</v>
      </c>
      <c r="L134" t="s">
        <v>781</v>
      </c>
      <c r="M134" t="s">
        <v>57</v>
      </c>
      <c r="N134" t="str">
        <f>"046227"</f>
        <v>046227</v>
      </c>
      <c r="O134" t="s">
        <v>782</v>
      </c>
      <c r="P134" t="s">
        <v>84</v>
      </c>
      <c r="Q134">
        <v>29.4</v>
      </c>
      <c r="R134">
        <v>11</v>
      </c>
      <c r="S134" t="s">
        <v>180</v>
      </c>
    </row>
    <row r="135" spans="1:19" x14ac:dyDescent="0.35">
      <c r="A135">
        <v>200071</v>
      </c>
      <c r="B135" t="str">
        <f>"200071"</f>
        <v>200071</v>
      </c>
      <c r="C135" t="s">
        <v>783</v>
      </c>
      <c r="D135" t="s">
        <v>49</v>
      </c>
      <c r="E135" t="s">
        <v>62</v>
      </c>
      <c r="F135" t="s">
        <v>51</v>
      </c>
      <c r="G135" t="s">
        <v>543</v>
      </c>
      <c r="H135" t="s">
        <v>784</v>
      </c>
      <c r="I135" t="s">
        <v>785</v>
      </c>
      <c r="J135" t="s">
        <v>687</v>
      </c>
      <c r="K135" t="s">
        <v>55</v>
      </c>
      <c r="L135" t="s">
        <v>786</v>
      </c>
      <c r="M135" t="s">
        <v>57</v>
      </c>
      <c r="N135" t="str">
        <f>"N/A"</f>
        <v>N/A</v>
      </c>
      <c r="O135" t="s">
        <v>49</v>
      </c>
      <c r="P135" t="s">
        <v>68</v>
      </c>
      <c r="Q135" t="s">
        <v>68</v>
      </c>
      <c r="R135" t="s">
        <v>68</v>
      </c>
      <c r="S135" t="s">
        <v>180</v>
      </c>
    </row>
    <row r="136" spans="1:19" x14ac:dyDescent="0.35">
      <c r="A136">
        <v>44396</v>
      </c>
      <c r="B136" t="str">
        <f>"044396"</f>
        <v>044396</v>
      </c>
      <c r="C136" t="s">
        <v>787</v>
      </c>
      <c r="D136" t="s">
        <v>49</v>
      </c>
      <c r="E136" t="s">
        <v>50</v>
      </c>
      <c r="F136" t="s">
        <v>51</v>
      </c>
      <c r="G136" t="s">
        <v>543</v>
      </c>
      <c r="H136" t="s">
        <v>788</v>
      </c>
      <c r="I136" t="s">
        <v>789</v>
      </c>
      <c r="J136" t="s">
        <v>790</v>
      </c>
      <c r="K136" t="s">
        <v>55</v>
      </c>
      <c r="L136" t="s">
        <v>791</v>
      </c>
      <c r="M136" t="s">
        <v>57</v>
      </c>
      <c r="N136" t="str">
        <f>"050765"</f>
        <v>050765</v>
      </c>
      <c r="O136" t="s">
        <v>58</v>
      </c>
      <c r="P136" t="s">
        <v>59</v>
      </c>
      <c r="Q136">
        <v>42.2</v>
      </c>
      <c r="R136">
        <v>24.799999999999997</v>
      </c>
      <c r="S136" t="s">
        <v>180</v>
      </c>
    </row>
    <row r="137" spans="1:19" x14ac:dyDescent="0.35">
      <c r="A137">
        <v>46565</v>
      </c>
      <c r="B137" t="str">
        <f>"046565"</f>
        <v>046565</v>
      </c>
      <c r="C137" t="s">
        <v>792</v>
      </c>
      <c r="D137" t="s">
        <v>49</v>
      </c>
      <c r="E137" t="s">
        <v>50</v>
      </c>
      <c r="F137" t="s">
        <v>51</v>
      </c>
      <c r="G137" t="s">
        <v>63</v>
      </c>
      <c r="H137" t="s">
        <v>793</v>
      </c>
      <c r="I137" t="s">
        <v>794</v>
      </c>
      <c r="J137" t="s">
        <v>795</v>
      </c>
      <c r="K137" t="s">
        <v>55</v>
      </c>
      <c r="L137" t="s">
        <v>796</v>
      </c>
      <c r="M137" t="s">
        <v>57</v>
      </c>
      <c r="N137" t="str">
        <f>"046532"</f>
        <v>046532</v>
      </c>
      <c r="O137" t="s">
        <v>509</v>
      </c>
      <c r="P137" t="s">
        <v>59</v>
      </c>
      <c r="Q137">
        <v>9.8000000000000007</v>
      </c>
      <c r="R137">
        <v>9</v>
      </c>
      <c r="S137" t="s">
        <v>69</v>
      </c>
    </row>
    <row r="138" spans="1:19" x14ac:dyDescent="0.35">
      <c r="A138">
        <v>200097</v>
      </c>
      <c r="B138" t="str">
        <f>"200097"</f>
        <v>200097</v>
      </c>
      <c r="C138" t="s">
        <v>797</v>
      </c>
      <c r="D138" t="s">
        <v>49</v>
      </c>
      <c r="E138" t="s">
        <v>62</v>
      </c>
      <c r="F138" t="s">
        <v>51</v>
      </c>
      <c r="G138" t="s">
        <v>264</v>
      </c>
      <c r="H138" t="s">
        <v>798</v>
      </c>
      <c r="I138" t="s">
        <v>799</v>
      </c>
      <c r="J138" t="s">
        <v>800</v>
      </c>
      <c r="K138" t="s">
        <v>55</v>
      </c>
      <c r="L138" t="s">
        <v>801</v>
      </c>
      <c r="M138" t="s">
        <v>57</v>
      </c>
      <c r="N138" t="str">
        <f>"N/A"</f>
        <v>N/A</v>
      </c>
      <c r="O138" t="s">
        <v>49</v>
      </c>
      <c r="P138" t="s">
        <v>68</v>
      </c>
      <c r="Q138" t="s">
        <v>68</v>
      </c>
      <c r="R138" t="s">
        <v>68</v>
      </c>
      <c r="S138" t="s">
        <v>77</v>
      </c>
    </row>
    <row r="139" spans="1:19" x14ac:dyDescent="0.35">
      <c r="A139">
        <v>49817</v>
      </c>
      <c r="B139" t="str">
        <f>"049817"</f>
        <v>049817</v>
      </c>
      <c r="C139" t="s">
        <v>802</v>
      </c>
      <c r="D139" t="s">
        <v>49</v>
      </c>
      <c r="E139" t="s">
        <v>50</v>
      </c>
      <c r="F139" t="s">
        <v>51</v>
      </c>
      <c r="G139" t="s">
        <v>572</v>
      </c>
      <c r="H139" t="s">
        <v>803</v>
      </c>
      <c r="I139" t="s">
        <v>804</v>
      </c>
      <c r="J139" t="s">
        <v>805</v>
      </c>
      <c r="K139" t="s">
        <v>55</v>
      </c>
      <c r="L139" t="s">
        <v>806</v>
      </c>
      <c r="M139" t="s">
        <v>57</v>
      </c>
      <c r="N139" t="str">
        <f>"014777"</f>
        <v>014777</v>
      </c>
      <c r="O139" t="s">
        <v>293</v>
      </c>
      <c r="P139" t="s">
        <v>76</v>
      </c>
      <c r="Q139">
        <v>6.3</v>
      </c>
      <c r="R139">
        <v>4</v>
      </c>
      <c r="S139" t="s">
        <v>180</v>
      </c>
    </row>
    <row r="140" spans="1:19" x14ac:dyDescent="0.35">
      <c r="A140">
        <v>50724</v>
      </c>
      <c r="B140" t="str">
        <f>"050724"</f>
        <v>050724</v>
      </c>
      <c r="C140" t="s">
        <v>807</v>
      </c>
      <c r="D140" t="s">
        <v>49</v>
      </c>
      <c r="E140" t="s">
        <v>50</v>
      </c>
      <c r="F140" t="s">
        <v>51</v>
      </c>
      <c r="G140" t="s">
        <v>226</v>
      </c>
      <c r="H140" t="s">
        <v>808</v>
      </c>
      <c r="I140" t="s">
        <v>809</v>
      </c>
      <c r="J140" t="s">
        <v>810</v>
      </c>
      <c r="K140" t="s">
        <v>55</v>
      </c>
      <c r="L140" t="s">
        <v>811</v>
      </c>
      <c r="M140" t="s">
        <v>57</v>
      </c>
      <c r="N140" t="str">
        <f>"050666"</f>
        <v>050666</v>
      </c>
      <c r="O140" t="s">
        <v>231</v>
      </c>
      <c r="P140" t="s">
        <v>84</v>
      </c>
      <c r="Q140">
        <v>22</v>
      </c>
      <c r="R140">
        <v>10.099999999999994</v>
      </c>
      <c r="S140" t="s">
        <v>156</v>
      </c>
    </row>
    <row r="141" spans="1:19" x14ac:dyDescent="0.35">
      <c r="A141">
        <v>200066</v>
      </c>
      <c r="B141" t="str">
        <f>"200066"</f>
        <v>200066</v>
      </c>
      <c r="C141" t="s">
        <v>812</v>
      </c>
      <c r="D141" t="s">
        <v>49</v>
      </c>
      <c r="E141" t="s">
        <v>62</v>
      </c>
      <c r="F141" t="s">
        <v>51</v>
      </c>
      <c r="G141" t="s">
        <v>406</v>
      </c>
      <c r="H141" t="s">
        <v>813</v>
      </c>
      <c r="I141" t="s">
        <v>814</v>
      </c>
      <c r="J141" t="s">
        <v>406</v>
      </c>
      <c r="K141" t="s">
        <v>55</v>
      </c>
      <c r="L141" t="s">
        <v>409</v>
      </c>
      <c r="M141" t="s">
        <v>57</v>
      </c>
      <c r="N141" t="str">
        <f>"N/A"</f>
        <v>N/A</v>
      </c>
      <c r="O141" t="s">
        <v>49</v>
      </c>
      <c r="P141" t="s">
        <v>68</v>
      </c>
      <c r="Q141" t="s">
        <v>68</v>
      </c>
      <c r="R141" t="s">
        <v>68</v>
      </c>
      <c r="S141" t="s">
        <v>77</v>
      </c>
    </row>
    <row r="142" spans="1:19" x14ac:dyDescent="0.35">
      <c r="A142">
        <v>45369</v>
      </c>
      <c r="B142" t="str">
        <f>"045369"</f>
        <v>045369</v>
      </c>
      <c r="C142" t="s">
        <v>815</v>
      </c>
      <c r="D142" t="s">
        <v>49</v>
      </c>
      <c r="E142" t="s">
        <v>50</v>
      </c>
      <c r="F142" t="s">
        <v>51</v>
      </c>
      <c r="G142" t="s">
        <v>481</v>
      </c>
      <c r="H142" t="s">
        <v>816</v>
      </c>
      <c r="I142" t="s">
        <v>817</v>
      </c>
      <c r="J142" t="s">
        <v>818</v>
      </c>
      <c r="K142" t="s">
        <v>55</v>
      </c>
      <c r="L142" t="s">
        <v>819</v>
      </c>
      <c r="M142" t="s">
        <v>57</v>
      </c>
      <c r="N142" t="str">
        <f>"050765"</f>
        <v>050765</v>
      </c>
      <c r="O142" t="s">
        <v>58</v>
      </c>
      <c r="P142" t="s">
        <v>84</v>
      </c>
      <c r="Q142">
        <v>53.7</v>
      </c>
      <c r="R142">
        <v>27.099999999999994</v>
      </c>
      <c r="S142" t="s">
        <v>69</v>
      </c>
    </row>
    <row r="143" spans="1:19" x14ac:dyDescent="0.35">
      <c r="A143">
        <v>47456</v>
      </c>
      <c r="B143" t="str">
        <f>"047456"</f>
        <v>047456</v>
      </c>
      <c r="C143" t="s">
        <v>820</v>
      </c>
      <c r="D143" t="s">
        <v>49</v>
      </c>
      <c r="E143" t="s">
        <v>50</v>
      </c>
      <c r="F143" t="s">
        <v>51</v>
      </c>
      <c r="G143" t="s">
        <v>821</v>
      </c>
      <c r="H143" t="s">
        <v>822</v>
      </c>
      <c r="I143" t="s">
        <v>823</v>
      </c>
      <c r="J143" t="s">
        <v>824</v>
      </c>
      <c r="K143" t="s">
        <v>55</v>
      </c>
      <c r="L143" t="s">
        <v>825</v>
      </c>
      <c r="M143" t="s">
        <v>57</v>
      </c>
      <c r="N143" t="str">
        <f>"047407"</f>
        <v>047407</v>
      </c>
      <c r="O143" t="s">
        <v>826</v>
      </c>
      <c r="P143" t="s">
        <v>76</v>
      </c>
      <c r="Q143">
        <v>32.299999999999997</v>
      </c>
      <c r="R143">
        <v>16.099999999999994</v>
      </c>
      <c r="S143" t="s">
        <v>156</v>
      </c>
    </row>
    <row r="144" spans="1:19" x14ac:dyDescent="0.35">
      <c r="A144">
        <v>49460</v>
      </c>
      <c r="B144" t="str">
        <f>"049460"</f>
        <v>049460</v>
      </c>
      <c r="C144" t="s">
        <v>827</v>
      </c>
      <c r="D144" t="s">
        <v>49</v>
      </c>
      <c r="E144" t="s">
        <v>50</v>
      </c>
      <c r="F144" t="s">
        <v>51</v>
      </c>
      <c r="G144" t="s">
        <v>663</v>
      </c>
      <c r="H144" t="s">
        <v>828</v>
      </c>
      <c r="I144" t="s">
        <v>829</v>
      </c>
      <c r="J144" t="s">
        <v>830</v>
      </c>
      <c r="K144" t="s">
        <v>55</v>
      </c>
      <c r="L144" t="s">
        <v>831</v>
      </c>
      <c r="M144" t="s">
        <v>57</v>
      </c>
      <c r="N144" t="str">
        <f>"123521"</f>
        <v>123521</v>
      </c>
      <c r="O144" t="s">
        <v>570</v>
      </c>
      <c r="P144" t="s">
        <v>76</v>
      </c>
      <c r="Q144">
        <v>49.8</v>
      </c>
      <c r="R144">
        <v>10.400000000000006</v>
      </c>
      <c r="S144" t="s">
        <v>77</v>
      </c>
    </row>
    <row r="145" spans="1:19" x14ac:dyDescent="0.35">
      <c r="A145">
        <v>51417</v>
      </c>
      <c r="B145" t="str">
        <f>"051417"</f>
        <v>051417</v>
      </c>
      <c r="C145" t="s">
        <v>832</v>
      </c>
      <c r="D145" t="s">
        <v>49</v>
      </c>
      <c r="E145" t="s">
        <v>163</v>
      </c>
      <c r="F145" t="s">
        <v>51</v>
      </c>
      <c r="G145" t="s">
        <v>663</v>
      </c>
      <c r="H145" t="s">
        <v>833</v>
      </c>
      <c r="I145" t="s">
        <v>834</v>
      </c>
      <c r="J145" t="s">
        <v>572</v>
      </c>
      <c r="K145" t="s">
        <v>55</v>
      </c>
      <c r="L145" t="s">
        <v>835</v>
      </c>
      <c r="M145" t="s">
        <v>57</v>
      </c>
      <c r="N145" t="str">
        <f>"050765"</f>
        <v>050765</v>
      </c>
      <c r="O145" t="s">
        <v>58</v>
      </c>
      <c r="P145" t="s">
        <v>68</v>
      </c>
      <c r="Q145" t="s">
        <v>68</v>
      </c>
      <c r="R145" t="s">
        <v>68</v>
      </c>
      <c r="S145" t="s">
        <v>77</v>
      </c>
    </row>
    <row r="146" spans="1:19" x14ac:dyDescent="0.35">
      <c r="A146">
        <v>200031</v>
      </c>
      <c r="B146" t="str">
        <f>"200031"</f>
        <v>200031</v>
      </c>
      <c r="C146" t="s">
        <v>836</v>
      </c>
      <c r="D146" t="s">
        <v>49</v>
      </c>
      <c r="E146" t="s">
        <v>62</v>
      </c>
      <c r="F146" t="s">
        <v>51</v>
      </c>
      <c r="G146" t="s">
        <v>52</v>
      </c>
      <c r="H146" t="s">
        <v>837</v>
      </c>
      <c r="I146" t="s">
        <v>838</v>
      </c>
      <c r="J146" t="s">
        <v>52</v>
      </c>
      <c r="K146" t="s">
        <v>55</v>
      </c>
      <c r="L146" t="s">
        <v>56</v>
      </c>
      <c r="M146" t="s">
        <v>57</v>
      </c>
      <c r="N146" t="str">
        <f>"N/A"</f>
        <v>N/A</v>
      </c>
      <c r="O146" t="s">
        <v>49</v>
      </c>
      <c r="P146" t="s">
        <v>68</v>
      </c>
      <c r="Q146" t="s">
        <v>68</v>
      </c>
      <c r="R146" t="s">
        <v>68</v>
      </c>
      <c r="S146" t="s">
        <v>60</v>
      </c>
    </row>
    <row r="147" spans="1:19" x14ac:dyDescent="0.35">
      <c r="A147">
        <v>44305</v>
      </c>
      <c r="B147" t="str">
        <f>"044305"</f>
        <v>044305</v>
      </c>
      <c r="C147" t="s">
        <v>839</v>
      </c>
      <c r="D147" t="s">
        <v>49</v>
      </c>
      <c r="E147" t="s">
        <v>50</v>
      </c>
      <c r="F147" t="s">
        <v>51</v>
      </c>
      <c r="G147" t="s">
        <v>63</v>
      </c>
      <c r="H147" t="s">
        <v>840</v>
      </c>
      <c r="I147" t="s">
        <v>841</v>
      </c>
      <c r="J147" t="s">
        <v>842</v>
      </c>
      <c r="K147" t="s">
        <v>55</v>
      </c>
      <c r="L147" t="s">
        <v>843</v>
      </c>
      <c r="M147" t="s">
        <v>57</v>
      </c>
      <c r="N147" t="str">
        <f>"050765"</f>
        <v>050765</v>
      </c>
      <c r="O147" t="s">
        <v>58</v>
      </c>
      <c r="P147" t="s">
        <v>281</v>
      </c>
      <c r="Q147">
        <v>99.7</v>
      </c>
      <c r="R147">
        <v>98.2</v>
      </c>
      <c r="S147" t="s">
        <v>69</v>
      </c>
    </row>
    <row r="148" spans="1:19" x14ac:dyDescent="0.35">
      <c r="A148">
        <v>46037</v>
      </c>
      <c r="B148" t="str">
        <f>"046037"</f>
        <v>046037</v>
      </c>
      <c r="C148" t="s">
        <v>844</v>
      </c>
      <c r="D148" t="s">
        <v>49</v>
      </c>
      <c r="E148" t="s">
        <v>50</v>
      </c>
      <c r="F148" t="s">
        <v>51</v>
      </c>
      <c r="G148" t="s">
        <v>19</v>
      </c>
      <c r="H148" t="s">
        <v>845</v>
      </c>
      <c r="I148" t="s">
        <v>846</v>
      </c>
      <c r="J148" t="s">
        <v>847</v>
      </c>
      <c r="K148" t="s">
        <v>55</v>
      </c>
      <c r="L148" t="s">
        <v>848</v>
      </c>
      <c r="M148" t="s">
        <v>57</v>
      </c>
      <c r="N148" t="str">
        <f>"046029"</f>
        <v>046029</v>
      </c>
      <c r="O148" t="s">
        <v>565</v>
      </c>
      <c r="P148" t="s">
        <v>76</v>
      </c>
      <c r="Q148">
        <v>50.6</v>
      </c>
      <c r="R148">
        <v>2.2000000000000028</v>
      </c>
      <c r="S148" t="s">
        <v>217</v>
      </c>
    </row>
    <row r="149" spans="1:19" x14ac:dyDescent="0.35">
      <c r="A149">
        <v>49189</v>
      </c>
      <c r="B149" t="str">
        <f>"049189"</f>
        <v>049189</v>
      </c>
      <c r="C149" t="s">
        <v>849</v>
      </c>
      <c r="D149" t="s">
        <v>49</v>
      </c>
      <c r="E149" t="s">
        <v>50</v>
      </c>
      <c r="F149" t="s">
        <v>51</v>
      </c>
      <c r="G149" t="s">
        <v>295</v>
      </c>
      <c r="H149" t="s">
        <v>850</v>
      </c>
      <c r="I149" t="s">
        <v>851</v>
      </c>
      <c r="J149" t="s">
        <v>852</v>
      </c>
      <c r="K149" t="s">
        <v>55</v>
      </c>
      <c r="L149" t="s">
        <v>853</v>
      </c>
      <c r="M149" t="s">
        <v>57</v>
      </c>
      <c r="N149" t="str">
        <f>"046532"</f>
        <v>046532</v>
      </c>
      <c r="O149" t="s">
        <v>509</v>
      </c>
      <c r="P149" t="s">
        <v>84</v>
      </c>
      <c r="Q149">
        <v>26.9</v>
      </c>
      <c r="R149">
        <v>7.5999999999999943</v>
      </c>
      <c r="S149" t="s">
        <v>77</v>
      </c>
    </row>
    <row r="150" spans="1:19" x14ac:dyDescent="0.35">
      <c r="A150">
        <v>45468</v>
      </c>
      <c r="B150" t="str">
        <f>"045468"</f>
        <v>045468</v>
      </c>
      <c r="C150" t="s">
        <v>854</v>
      </c>
      <c r="D150" t="s">
        <v>49</v>
      </c>
      <c r="E150" t="s">
        <v>50</v>
      </c>
      <c r="F150" t="s">
        <v>51</v>
      </c>
      <c r="G150" t="s">
        <v>855</v>
      </c>
      <c r="H150" t="s">
        <v>856</v>
      </c>
      <c r="I150" t="s">
        <v>857</v>
      </c>
      <c r="J150" t="s">
        <v>858</v>
      </c>
      <c r="K150" t="s">
        <v>55</v>
      </c>
      <c r="L150" t="s">
        <v>859</v>
      </c>
      <c r="M150" t="s">
        <v>57</v>
      </c>
      <c r="N150" t="str">
        <f>"050765"</f>
        <v>050765</v>
      </c>
      <c r="O150" t="s">
        <v>58</v>
      </c>
      <c r="P150" t="s">
        <v>76</v>
      </c>
      <c r="Q150">
        <v>32.200000000000003</v>
      </c>
      <c r="R150">
        <v>4.4000000000000057</v>
      </c>
      <c r="S150" t="s">
        <v>77</v>
      </c>
    </row>
    <row r="151" spans="1:19" x14ac:dyDescent="0.35">
      <c r="A151">
        <v>44032</v>
      </c>
      <c r="B151" t="str">
        <f>"044032"</f>
        <v>044032</v>
      </c>
      <c r="C151" t="s">
        <v>860</v>
      </c>
      <c r="D151" t="s">
        <v>49</v>
      </c>
      <c r="E151" t="s">
        <v>50</v>
      </c>
      <c r="F151" t="s">
        <v>51</v>
      </c>
      <c r="G151" t="s">
        <v>861</v>
      </c>
      <c r="H151" t="s">
        <v>862</v>
      </c>
      <c r="I151" t="s">
        <v>863</v>
      </c>
      <c r="J151" t="s">
        <v>864</v>
      </c>
      <c r="K151" t="s">
        <v>55</v>
      </c>
      <c r="L151" t="s">
        <v>865</v>
      </c>
      <c r="M151" t="s">
        <v>57</v>
      </c>
      <c r="N151" t="str">
        <f>"050765"</f>
        <v>050765</v>
      </c>
      <c r="O151" t="s">
        <v>58</v>
      </c>
      <c r="P151" t="s">
        <v>84</v>
      </c>
      <c r="Q151">
        <v>53.7</v>
      </c>
      <c r="R151">
        <v>9.2000000000000028</v>
      </c>
      <c r="S151" t="s">
        <v>130</v>
      </c>
    </row>
    <row r="152" spans="1:19" x14ac:dyDescent="0.35">
      <c r="A152">
        <v>48702</v>
      </c>
      <c r="B152" t="str">
        <f>"048702"</f>
        <v>048702</v>
      </c>
      <c r="C152" t="s">
        <v>866</v>
      </c>
      <c r="D152" t="s">
        <v>49</v>
      </c>
      <c r="E152" t="s">
        <v>50</v>
      </c>
      <c r="F152" t="s">
        <v>51</v>
      </c>
      <c r="G152" t="s">
        <v>543</v>
      </c>
      <c r="H152" t="s">
        <v>685</v>
      </c>
      <c r="I152" t="s">
        <v>686</v>
      </c>
      <c r="J152" t="s">
        <v>687</v>
      </c>
      <c r="K152" t="s">
        <v>55</v>
      </c>
      <c r="L152" t="s">
        <v>688</v>
      </c>
      <c r="M152" t="s">
        <v>57</v>
      </c>
      <c r="N152" t="str">
        <f>"048660"</f>
        <v>048660</v>
      </c>
      <c r="O152" t="s">
        <v>867</v>
      </c>
      <c r="P152" t="s">
        <v>281</v>
      </c>
      <c r="Q152">
        <v>57.3</v>
      </c>
      <c r="R152">
        <v>30.599999999999994</v>
      </c>
      <c r="S152" t="s">
        <v>180</v>
      </c>
    </row>
    <row r="153" spans="1:19" x14ac:dyDescent="0.35">
      <c r="A153">
        <v>52589</v>
      </c>
      <c r="B153" t="str">
        <f>"052589"</f>
        <v>052589</v>
      </c>
      <c r="C153" t="s">
        <v>868</v>
      </c>
      <c r="D153" t="s">
        <v>49</v>
      </c>
      <c r="E153" t="s">
        <v>606</v>
      </c>
      <c r="F153" t="s">
        <v>51</v>
      </c>
      <c r="G153" t="s">
        <v>63</v>
      </c>
      <c r="H153" t="s">
        <v>869</v>
      </c>
      <c r="I153" t="s">
        <v>870</v>
      </c>
      <c r="J153" t="s">
        <v>871</v>
      </c>
      <c r="K153" t="s">
        <v>55</v>
      </c>
      <c r="L153" t="s">
        <v>872</v>
      </c>
      <c r="M153" t="s">
        <v>57</v>
      </c>
      <c r="N153" t="str">
        <f>"052589"</f>
        <v>052589</v>
      </c>
      <c r="O153" t="s">
        <v>868</v>
      </c>
      <c r="P153" t="s">
        <v>68</v>
      </c>
      <c r="Q153" t="s">
        <v>68</v>
      </c>
      <c r="R153" t="s">
        <v>68</v>
      </c>
      <c r="S153" t="s">
        <v>69</v>
      </c>
    </row>
    <row r="154" spans="1:19" x14ac:dyDescent="0.35">
      <c r="A154">
        <v>44628</v>
      </c>
      <c r="B154" t="str">
        <f>"044628"</f>
        <v>044628</v>
      </c>
      <c r="C154" t="s">
        <v>873</v>
      </c>
      <c r="D154" t="s">
        <v>49</v>
      </c>
      <c r="E154" t="s">
        <v>50</v>
      </c>
      <c r="F154" t="s">
        <v>51</v>
      </c>
      <c r="G154" t="s">
        <v>481</v>
      </c>
      <c r="H154" t="s">
        <v>874</v>
      </c>
      <c r="I154" t="s">
        <v>875</v>
      </c>
      <c r="J154" t="s">
        <v>876</v>
      </c>
      <c r="K154" t="s">
        <v>55</v>
      </c>
      <c r="L154" t="s">
        <v>819</v>
      </c>
      <c r="M154" t="s">
        <v>57</v>
      </c>
      <c r="N154" t="str">
        <f>"047860"</f>
        <v>047860</v>
      </c>
      <c r="O154" t="s">
        <v>516</v>
      </c>
      <c r="P154" t="s">
        <v>281</v>
      </c>
      <c r="Q154">
        <v>97.6</v>
      </c>
      <c r="R154">
        <v>81.5</v>
      </c>
      <c r="S154" t="s">
        <v>69</v>
      </c>
    </row>
    <row r="155" spans="1:19" x14ac:dyDescent="0.35">
      <c r="A155">
        <v>47506</v>
      </c>
      <c r="B155" t="str">
        <f>"047506"</f>
        <v>047506</v>
      </c>
      <c r="C155" t="s">
        <v>877</v>
      </c>
      <c r="D155" t="s">
        <v>49</v>
      </c>
      <c r="E155" t="s">
        <v>50</v>
      </c>
      <c r="F155" t="s">
        <v>51</v>
      </c>
      <c r="G155" t="s">
        <v>878</v>
      </c>
      <c r="H155" t="s">
        <v>879</v>
      </c>
      <c r="I155" t="s">
        <v>880</v>
      </c>
      <c r="J155" t="s">
        <v>881</v>
      </c>
      <c r="K155" t="s">
        <v>55</v>
      </c>
      <c r="L155" t="s">
        <v>882</v>
      </c>
      <c r="M155" t="s">
        <v>57</v>
      </c>
      <c r="N155" t="str">
        <f>"014777"</f>
        <v>014777</v>
      </c>
      <c r="O155" t="s">
        <v>293</v>
      </c>
      <c r="P155" t="s">
        <v>76</v>
      </c>
      <c r="Q155">
        <v>43.9</v>
      </c>
      <c r="R155">
        <v>7.5</v>
      </c>
      <c r="S155" t="s">
        <v>156</v>
      </c>
    </row>
    <row r="156" spans="1:19" x14ac:dyDescent="0.35">
      <c r="A156">
        <v>50047</v>
      </c>
      <c r="B156" t="str">
        <f>"050047"</f>
        <v>050047</v>
      </c>
      <c r="C156" t="s">
        <v>883</v>
      </c>
      <c r="D156" t="s">
        <v>49</v>
      </c>
      <c r="E156" t="s">
        <v>50</v>
      </c>
      <c r="F156" t="s">
        <v>51</v>
      </c>
      <c r="G156" t="s">
        <v>264</v>
      </c>
      <c r="H156" t="s">
        <v>884</v>
      </c>
      <c r="I156" t="s">
        <v>885</v>
      </c>
      <c r="J156" t="s">
        <v>886</v>
      </c>
      <c r="K156" t="s">
        <v>55</v>
      </c>
      <c r="L156" t="s">
        <v>887</v>
      </c>
      <c r="M156" t="s">
        <v>57</v>
      </c>
      <c r="N156" t="str">
        <f>"050765"</f>
        <v>050765</v>
      </c>
      <c r="O156" t="s">
        <v>58</v>
      </c>
      <c r="P156" t="s">
        <v>59</v>
      </c>
      <c r="Q156">
        <v>15.4</v>
      </c>
      <c r="R156">
        <v>25.700000000000003</v>
      </c>
      <c r="S156" t="s">
        <v>77</v>
      </c>
    </row>
    <row r="157" spans="1:19" x14ac:dyDescent="0.35">
      <c r="A157">
        <v>15455</v>
      </c>
      <c r="B157" t="str">
        <f>"015455"</f>
        <v>015455</v>
      </c>
      <c r="C157" t="s">
        <v>888</v>
      </c>
      <c r="D157" t="s">
        <v>49</v>
      </c>
      <c r="E157" t="s">
        <v>301</v>
      </c>
      <c r="F157" t="s">
        <v>51</v>
      </c>
      <c r="G157" t="s">
        <v>543</v>
      </c>
      <c r="H157" t="s">
        <v>889</v>
      </c>
      <c r="I157" t="s">
        <v>890</v>
      </c>
      <c r="J157" t="s">
        <v>687</v>
      </c>
      <c r="K157" t="s">
        <v>55</v>
      </c>
      <c r="L157" t="s">
        <v>786</v>
      </c>
      <c r="M157" t="s">
        <v>57</v>
      </c>
      <c r="N157" t="str">
        <f>"N/A"</f>
        <v>N/A</v>
      </c>
      <c r="O157" t="s">
        <v>49</v>
      </c>
      <c r="P157" t="s">
        <v>68</v>
      </c>
      <c r="Q157" t="s">
        <v>68</v>
      </c>
      <c r="R157" t="s">
        <v>68</v>
      </c>
      <c r="S157" t="s">
        <v>180</v>
      </c>
    </row>
    <row r="158" spans="1:19" x14ac:dyDescent="0.35">
      <c r="A158">
        <v>200011</v>
      </c>
      <c r="B158" t="str">
        <f>"200011"</f>
        <v>200011</v>
      </c>
      <c r="C158" t="s">
        <v>891</v>
      </c>
      <c r="D158" t="s">
        <v>49</v>
      </c>
      <c r="E158" t="s">
        <v>62</v>
      </c>
      <c r="F158" t="s">
        <v>51</v>
      </c>
      <c r="G158" t="s">
        <v>777</v>
      </c>
      <c r="H158" t="s">
        <v>892</v>
      </c>
      <c r="I158" t="s">
        <v>893</v>
      </c>
      <c r="J158" t="s">
        <v>780</v>
      </c>
      <c r="K158" t="s">
        <v>55</v>
      </c>
      <c r="L158" t="s">
        <v>894</v>
      </c>
      <c r="M158" t="s">
        <v>57</v>
      </c>
      <c r="N158" t="str">
        <f>"N/A"</f>
        <v>N/A</v>
      </c>
      <c r="O158" t="s">
        <v>49</v>
      </c>
      <c r="P158" t="s">
        <v>68</v>
      </c>
      <c r="Q158" t="s">
        <v>68</v>
      </c>
      <c r="R158" t="s">
        <v>68</v>
      </c>
      <c r="S158" t="s">
        <v>180</v>
      </c>
    </row>
    <row r="159" spans="1:19" x14ac:dyDescent="0.35">
      <c r="A159">
        <v>50575</v>
      </c>
      <c r="B159" t="str">
        <f>"050575"</f>
        <v>050575</v>
      </c>
      <c r="C159" t="s">
        <v>895</v>
      </c>
      <c r="D159" t="s">
        <v>49</v>
      </c>
      <c r="E159" t="s">
        <v>50</v>
      </c>
      <c r="F159" t="s">
        <v>51</v>
      </c>
      <c r="G159" t="s">
        <v>187</v>
      </c>
      <c r="H159" t="s">
        <v>896</v>
      </c>
      <c r="I159" t="s">
        <v>897</v>
      </c>
      <c r="J159" t="s">
        <v>898</v>
      </c>
      <c r="K159" t="s">
        <v>55</v>
      </c>
      <c r="L159" t="s">
        <v>899</v>
      </c>
      <c r="M159" t="s">
        <v>57</v>
      </c>
      <c r="N159" t="str">
        <f>"050526"</f>
        <v>050526</v>
      </c>
      <c r="O159" t="s">
        <v>192</v>
      </c>
      <c r="P159" t="s">
        <v>76</v>
      </c>
      <c r="Q159">
        <v>35</v>
      </c>
      <c r="R159">
        <v>4.5999999999999943</v>
      </c>
      <c r="S159" t="s">
        <v>77</v>
      </c>
    </row>
    <row r="160" spans="1:19" x14ac:dyDescent="0.35">
      <c r="A160">
        <v>200051</v>
      </c>
      <c r="B160" t="str">
        <f>"200051"</f>
        <v>200051</v>
      </c>
      <c r="C160" t="s">
        <v>900</v>
      </c>
      <c r="D160" t="s">
        <v>49</v>
      </c>
      <c r="E160" t="s">
        <v>62</v>
      </c>
      <c r="F160" t="s">
        <v>51</v>
      </c>
      <c r="G160" t="s">
        <v>901</v>
      </c>
      <c r="H160" t="s">
        <v>902</v>
      </c>
      <c r="I160" t="s">
        <v>903</v>
      </c>
      <c r="J160" t="s">
        <v>904</v>
      </c>
      <c r="K160" t="s">
        <v>55</v>
      </c>
      <c r="L160" t="s">
        <v>905</v>
      </c>
      <c r="M160" t="s">
        <v>57</v>
      </c>
      <c r="N160" t="str">
        <f>"N/A"</f>
        <v>N/A</v>
      </c>
      <c r="O160" t="s">
        <v>49</v>
      </c>
      <c r="P160" t="s">
        <v>68</v>
      </c>
      <c r="Q160" t="s">
        <v>68</v>
      </c>
      <c r="R160" t="s">
        <v>68</v>
      </c>
      <c r="S160" t="s">
        <v>60</v>
      </c>
    </row>
    <row r="161" spans="1:19" x14ac:dyDescent="0.35">
      <c r="A161">
        <v>43661</v>
      </c>
      <c r="B161" t="str">
        <f>"043661"</f>
        <v>043661</v>
      </c>
      <c r="C161" t="s">
        <v>906</v>
      </c>
      <c r="D161" t="s">
        <v>49</v>
      </c>
      <c r="E161" t="s">
        <v>50</v>
      </c>
      <c r="F161" t="s">
        <v>51</v>
      </c>
      <c r="G161" t="s">
        <v>406</v>
      </c>
      <c r="H161" t="s">
        <v>907</v>
      </c>
      <c r="I161" t="s">
        <v>908</v>
      </c>
      <c r="J161" t="s">
        <v>909</v>
      </c>
      <c r="K161" t="s">
        <v>55</v>
      </c>
      <c r="L161" t="s">
        <v>910</v>
      </c>
      <c r="M161" t="s">
        <v>57</v>
      </c>
      <c r="N161" t="str">
        <f>"050765"</f>
        <v>050765</v>
      </c>
      <c r="O161" t="s">
        <v>58</v>
      </c>
      <c r="P161" t="s">
        <v>59</v>
      </c>
      <c r="Q161">
        <v>21.6</v>
      </c>
      <c r="R161">
        <v>12.200000000000003</v>
      </c>
      <c r="S161" t="s">
        <v>77</v>
      </c>
    </row>
    <row r="162" spans="1:19" x14ac:dyDescent="0.35">
      <c r="A162">
        <v>47332</v>
      </c>
      <c r="B162" t="str">
        <f>"047332"</f>
        <v>047332</v>
      </c>
      <c r="C162" t="s">
        <v>911</v>
      </c>
      <c r="D162" t="s">
        <v>49</v>
      </c>
      <c r="E162" t="s">
        <v>50</v>
      </c>
      <c r="F162" t="s">
        <v>51</v>
      </c>
      <c r="G162" t="s">
        <v>212</v>
      </c>
      <c r="H162" t="s">
        <v>912</v>
      </c>
      <c r="I162" t="s">
        <v>913</v>
      </c>
      <c r="J162" t="s">
        <v>215</v>
      </c>
      <c r="K162" t="s">
        <v>55</v>
      </c>
      <c r="L162" t="s">
        <v>914</v>
      </c>
      <c r="M162" t="s">
        <v>57</v>
      </c>
      <c r="N162" t="str">
        <f>"050765"</f>
        <v>050765</v>
      </c>
      <c r="O162" t="s">
        <v>58</v>
      </c>
      <c r="P162" t="s">
        <v>59</v>
      </c>
      <c r="Q162">
        <v>59.8</v>
      </c>
      <c r="R162">
        <v>72.2</v>
      </c>
      <c r="S162" t="s">
        <v>217</v>
      </c>
    </row>
    <row r="163" spans="1:19" x14ac:dyDescent="0.35">
      <c r="A163">
        <v>49122</v>
      </c>
      <c r="B163" t="str">
        <f>"049122"</f>
        <v>049122</v>
      </c>
      <c r="C163" t="s">
        <v>844</v>
      </c>
      <c r="D163" t="s">
        <v>49</v>
      </c>
      <c r="E163" t="s">
        <v>50</v>
      </c>
      <c r="F163" t="s">
        <v>51</v>
      </c>
      <c r="G163" t="s">
        <v>194</v>
      </c>
      <c r="H163" t="s">
        <v>915</v>
      </c>
      <c r="I163" t="s">
        <v>916</v>
      </c>
      <c r="J163" t="s">
        <v>917</v>
      </c>
      <c r="K163" t="s">
        <v>55</v>
      </c>
      <c r="L163" t="s">
        <v>918</v>
      </c>
      <c r="M163" t="s">
        <v>57</v>
      </c>
      <c r="N163" t="str">
        <f>"138222"</f>
        <v>138222</v>
      </c>
      <c r="O163" t="s">
        <v>323</v>
      </c>
      <c r="P163" t="s">
        <v>76</v>
      </c>
      <c r="Q163">
        <v>98.5</v>
      </c>
      <c r="R163">
        <v>4</v>
      </c>
      <c r="S163" t="s">
        <v>130</v>
      </c>
    </row>
    <row r="164" spans="1:19" x14ac:dyDescent="0.35">
      <c r="A164">
        <v>49445</v>
      </c>
      <c r="B164" t="str">
        <f>"049445"</f>
        <v>049445</v>
      </c>
      <c r="C164" t="s">
        <v>919</v>
      </c>
      <c r="D164" t="s">
        <v>49</v>
      </c>
      <c r="E164" t="s">
        <v>50</v>
      </c>
      <c r="F164" t="s">
        <v>51</v>
      </c>
      <c r="G164" t="s">
        <v>663</v>
      </c>
      <c r="H164" t="s">
        <v>920</v>
      </c>
      <c r="I164" t="s">
        <v>921</v>
      </c>
      <c r="J164" t="s">
        <v>200</v>
      </c>
      <c r="K164" t="s">
        <v>55</v>
      </c>
      <c r="L164" t="s">
        <v>922</v>
      </c>
      <c r="M164" t="s">
        <v>57</v>
      </c>
      <c r="N164" t="str">
        <f>"123521"</f>
        <v>123521</v>
      </c>
      <c r="O164" t="s">
        <v>570</v>
      </c>
      <c r="P164" t="s">
        <v>76</v>
      </c>
      <c r="Q164">
        <v>27.6</v>
      </c>
      <c r="R164">
        <v>4.7000000000000028</v>
      </c>
      <c r="S164" t="s">
        <v>77</v>
      </c>
    </row>
    <row r="165" spans="1:19" x14ac:dyDescent="0.35">
      <c r="A165">
        <v>51532</v>
      </c>
      <c r="B165" t="str">
        <f>"051532"</f>
        <v>051532</v>
      </c>
      <c r="C165" t="s">
        <v>923</v>
      </c>
      <c r="D165" t="s">
        <v>49</v>
      </c>
      <c r="E165" t="s">
        <v>163</v>
      </c>
      <c r="F165" t="s">
        <v>51</v>
      </c>
      <c r="G165" t="s">
        <v>777</v>
      </c>
      <c r="H165" t="s">
        <v>892</v>
      </c>
      <c r="I165" t="s">
        <v>893</v>
      </c>
      <c r="J165" t="s">
        <v>780</v>
      </c>
      <c r="K165" t="s">
        <v>55</v>
      </c>
      <c r="L165" t="s">
        <v>894</v>
      </c>
      <c r="M165" t="s">
        <v>57</v>
      </c>
      <c r="N165" t="str">
        <f>"050765"</f>
        <v>050765</v>
      </c>
      <c r="O165" t="s">
        <v>58</v>
      </c>
      <c r="P165" t="s">
        <v>68</v>
      </c>
      <c r="Q165" t="s">
        <v>68</v>
      </c>
      <c r="R165" t="s">
        <v>68</v>
      </c>
      <c r="S165" t="s">
        <v>180</v>
      </c>
    </row>
    <row r="166" spans="1:19" x14ac:dyDescent="0.35">
      <c r="A166">
        <v>48850</v>
      </c>
      <c r="B166" t="str">
        <f>"048850"</f>
        <v>048850</v>
      </c>
      <c r="C166" t="s">
        <v>924</v>
      </c>
      <c r="D166" t="s">
        <v>49</v>
      </c>
      <c r="E166" t="s">
        <v>50</v>
      </c>
      <c r="F166" t="s">
        <v>51</v>
      </c>
      <c r="G166" t="s">
        <v>674</v>
      </c>
      <c r="H166" t="s">
        <v>925</v>
      </c>
      <c r="I166" t="s">
        <v>926</v>
      </c>
      <c r="J166" t="s">
        <v>927</v>
      </c>
      <c r="K166" t="s">
        <v>55</v>
      </c>
      <c r="L166" t="s">
        <v>928</v>
      </c>
      <c r="M166" t="s">
        <v>57</v>
      </c>
      <c r="N166" t="str">
        <f>"125252"</f>
        <v>125252</v>
      </c>
      <c r="O166" t="s">
        <v>90</v>
      </c>
      <c r="P166" t="s">
        <v>84</v>
      </c>
      <c r="Q166">
        <v>94.3</v>
      </c>
      <c r="R166">
        <v>10.299999999999997</v>
      </c>
      <c r="S166" t="s">
        <v>130</v>
      </c>
    </row>
    <row r="167" spans="1:19" x14ac:dyDescent="0.35">
      <c r="A167">
        <v>49411</v>
      </c>
      <c r="B167" t="str">
        <f>"049411"</f>
        <v>049411</v>
      </c>
      <c r="C167" t="s">
        <v>929</v>
      </c>
      <c r="D167" t="s">
        <v>49</v>
      </c>
      <c r="E167" t="s">
        <v>50</v>
      </c>
      <c r="F167" t="s">
        <v>51</v>
      </c>
      <c r="G167" t="s">
        <v>663</v>
      </c>
      <c r="H167" t="s">
        <v>930</v>
      </c>
      <c r="I167" t="s">
        <v>931</v>
      </c>
      <c r="J167" t="s">
        <v>932</v>
      </c>
      <c r="K167" t="s">
        <v>55</v>
      </c>
      <c r="L167" t="s">
        <v>933</v>
      </c>
      <c r="M167" t="s">
        <v>57</v>
      </c>
      <c r="N167" t="str">
        <f>"047811"</f>
        <v>047811</v>
      </c>
      <c r="O167" t="s">
        <v>934</v>
      </c>
      <c r="P167" t="s">
        <v>76</v>
      </c>
      <c r="Q167">
        <v>28.8</v>
      </c>
      <c r="R167">
        <v>6.2000000000000028</v>
      </c>
      <c r="S167" t="s">
        <v>77</v>
      </c>
    </row>
    <row r="168" spans="1:19" x14ac:dyDescent="0.35">
      <c r="A168">
        <v>50419</v>
      </c>
      <c r="B168" t="str">
        <f>"050419"</f>
        <v>050419</v>
      </c>
      <c r="C168" t="s">
        <v>935</v>
      </c>
      <c r="D168" t="s">
        <v>49</v>
      </c>
      <c r="E168" t="s">
        <v>50</v>
      </c>
      <c r="F168" t="s">
        <v>51</v>
      </c>
      <c r="G168" t="s">
        <v>172</v>
      </c>
      <c r="H168" t="s">
        <v>936</v>
      </c>
      <c r="I168" t="s">
        <v>937</v>
      </c>
      <c r="J168" t="s">
        <v>938</v>
      </c>
      <c r="K168" t="s">
        <v>55</v>
      </c>
      <c r="L168" t="s">
        <v>939</v>
      </c>
      <c r="M168" t="s">
        <v>57</v>
      </c>
      <c r="N168" t="str">
        <f>"050401"</f>
        <v>050401</v>
      </c>
      <c r="O168" t="s">
        <v>582</v>
      </c>
      <c r="P168" t="s">
        <v>84</v>
      </c>
      <c r="Q168">
        <v>34.799999999999997</v>
      </c>
      <c r="R168">
        <v>7.4000000000000057</v>
      </c>
      <c r="S168" t="s">
        <v>217</v>
      </c>
    </row>
    <row r="169" spans="1:19" x14ac:dyDescent="0.35">
      <c r="A169">
        <v>200058</v>
      </c>
      <c r="B169" t="str">
        <f>"200058"</f>
        <v>200058</v>
      </c>
      <c r="C169" t="s">
        <v>940</v>
      </c>
      <c r="D169" t="s">
        <v>49</v>
      </c>
      <c r="E169" t="s">
        <v>62</v>
      </c>
      <c r="F169" t="s">
        <v>51</v>
      </c>
      <c r="G169" t="s">
        <v>143</v>
      </c>
      <c r="H169" t="s">
        <v>164</v>
      </c>
      <c r="I169" t="s">
        <v>165</v>
      </c>
      <c r="J169" t="s">
        <v>166</v>
      </c>
      <c r="K169" t="s">
        <v>55</v>
      </c>
      <c r="L169" t="s">
        <v>167</v>
      </c>
      <c r="M169" t="s">
        <v>57</v>
      </c>
      <c r="N169" t="str">
        <f>"N/A"</f>
        <v>N/A</v>
      </c>
      <c r="O169" t="s">
        <v>49</v>
      </c>
      <c r="P169" t="s">
        <v>68</v>
      </c>
      <c r="Q169" t="s">
        <v>68</v>
      </c>
      <c r="R169" t="s">
        <v>68</v>
      </c>
      <c r="S169" t="s">
        <v>69</v>
      </c>
    </row>
    <row r="170" spans="1:19" x14ac:dyDescent="0.35">
      <c r="A170">
        <v>200039</v>
      </c>
      <c r="B170" t="str">
        <f>"200039"</f>
        <v>200039</v>
      </c>
      <c r="C170" t="s">
        <v>941</v>
      </c>
      <c r="D170" t="s">
        <v>49</v>
      </c>
      <c r="E170" t="s">
        <v>62</v>
      </c>
      <c r="F170" t="s">
        <v>51</v>
      </c>
      <c r="G170" t="s">
        <v>226</v>
      </c>
      <c r="H170" t="s">
        <v>942</v>
      </c>
      <c r="I170" t="s">
        <v>943</v>
      </c>
      <c r="J170" t="s">
        <v>944</v>
      </c>
      <c r="K170" t="s">
        <v>55</v>
      </c>
      <c r="L170" t="s">
        <v>945</v>
      </c>
      <c r="M170" t="s">
        <v>57</v>
      </c>
      <c r="N170" t="str">
        <f>"N/A"</f>
        <v>N/A</v>
      </c>
      <c r="O170" t="s">
        <v>49</v>
      </c>
      <c r="P170" t="s">
        <v>68</v>
      </c>
      <c r="Q170" t="s">
        <v>68</v>
      </c>
      <c r="R170" t="s">
        <v>68</v>
      </c>
      <c r="S170" t="s">
        <v>156</v>
      </c>
    </row>
    <row r="171" spans="1:19" x14ac:dyDescent="0.35">
      <c r="A171">
        <v>44461</v>
      </c>
      <c r="B171" t="str">
        <f>"044461"</f>
        <v>044461</v>
      </c>
      <c r="C171" t="s">
        <v>946</v>
      </c>
      <c r="D171" t="s">
        <v>49</v>
      </c>
      <c r="E171" t="s">
        <v>50</v>
      </c>
      <c r="F171" t="s">
        <v>51</v>
      </c>
      <c r="G171" t="s">
        <v>219</v>
      </c>
      <c r="H171" t="s">
        <v>947</v>
      </c>
      <c r="I171" t="s">
        <v>948</v>
      </c>
      <c r="J171" t="s">
        <v>949</v>
      </c>
      <c r="K171" t="s">
        <v>55</v>
      </c>
      <c r="L171" t="s">
        <v>223</v>
      </c>
      <c r="M171" t="s">
        <v>57</v>
      </c>
      <c r="N171" t="str">
        <f>"125658"</f>
        <v>125658</v>
      </c>
      <c r="O171" t="s">
        <v>224</v>
      </c>
      <c r="P171" t="s">
        <v>84</v>
      </c>
      <c r="Q171">
        <v>100</v>
      </c>
      <c r="R171">
        <v>10.5</v>
      </c>
      <c r="S171" t="s">
        <v>130</v>
      </c>
    </row>
    <row r="172" spans="1:19" x14ac:dyDescent="0.35">
      <c r="A172">
        <v>44693</v>
      </c>
      <c r="B172" t="str">
        <f>"044693"</f>
        <v>044693</v>
      </c>
      <c r="C172" t="s">
        <v>950</v>
      </c>
      <c r="D172" t="s">
        <v>49</v>
      </c>
      <c r="E172" t="s">
        <v>50</v>
      </c>
      <c r="F172" t="s">
        <v>51</v>
      </c>
      <c r="G172" t="s">
        <v>212</v>
      </c>
      <c r="H172" t="s">
        <v>951</v>
      </c>
      <c r="I172" t="s">
        <v>952</v>
      </c>
      <c r="J172" t="s">
        <v>953</v>
      </c>
      <c r="K172" t="s">
        <v>55</v>
      </c>
      <c r="L172" t="s">
        <v>954</v>
      </c>
      <c r="M172" t="s">
        <v>57</v>
      </c>
      <c r="N172" t="str">
        <f>"050765"</f>
        <v>050765</v>
      </c>
      <c r="O172" t="s">
        <v>58</v>
      </c>
      <c r="P172" t="s">
        <v>281</v>
      </c>
      <c r="Q172">
        <v>47.1</v>
      </c>
      <c r="R172">
        <v>28.799999999999997</v>
      </c>
      <c r="S172" t="s">
        <v>217</v>
      </c>
    </row>
    <row r="173" spans="1:19" x14ac:dyDescent="0.35">
      <c r="A173">
        <v>45039</v>
      </c>
      <c r="B173" t="str">
        <f>"045039"</f>
        <v>045039</v>
      </c>
      <c r="C173" t="s">
        <v>955</v>
      </c>
      <c r="D173" t="s">
        <v>49</v>
      </c>
      <c r="E173" t="s">
        <v>50</v>
      </c>
      <c r="F173" t="s">
        <v>51</v>
      </c>
      <c r="G173" t="s">
        <v>536</v>
      </c>
      <c r="H173" t="s">
        <v>956</v>
      </c>
      <c r="I173" t="s">
        <v>957</v>
      </c>
      <c r="J173" t="s">
        <v>958</v>
      </c>
      <c r="K173" t="s">
        <v>55</v>
      </c>
      <c r="L173" t="s">
        <v>959</v>
      </c>
      <c r="M173" t="s">
        <v>57</v>
      </c>
      <c r="N173" t="str">
        <f>"046417"</f>
        <v>046417</v>
      </c>
      <c r="O173" t="s">
        <v>541</v>
      </c>
      <c r="P173" t="s">
        <v>84</v>
      </c>
      <c r="Q173">
        <v>99.7</v>
      </c>
      <c r="R173">
        <v>19.799999999999997</v>
      </c>
      <c r="S173" t="s">
        <v>77</v>
      </c>
    </row>
    <row r="174" spans="1:19" x14ac:dyDescent="0.35">
      <c r="A174">
        <v>49577</v>
      </c>
      <c r="B174" t="str">
        <f>"049577"</f>
        <v>049577</v>
      </c>
      <c r="C174" t="s">
        <v>960</v>
      </c>
      <c r="D174" t="s">
        <v>49</v>
      </c>
      <c r="E174" t="s">
        <v>50</v>
      </c>
      <c r="F174" t="s">
        <v>51</v>
      </c>
      <c r="G174" t="s">
        <v>400</v>
      </c>
      <c r="H174" t="s">
        <v>961</v>
      </c>
      <c r="I174" t="s">
        <v>962</v>
      </c>
      <c r="J174" t="s">
        <v>963</v>
      </c>
      <c r="K174" t="s">
        <v>55</v>
      </c>
      <c r="L174" t="s">
        <v>964</v>
      </c>
      <c r="M174" t="s">
        <v>57</v>
      </c>
      <c r="N174" t="str">
        <f>"050765"</f>
        <v>050765</v>
      </c>
      <c r="O174" t="s">
        <v>58</v>
      </c>
      <c r="P174" t="s">
        <v>84</v>
      </c>
      <c r="Q174">
        <v>23.1</v>
      </c>
      <c r="R174">
        <v>13.799999999999997</v>
      </c>
      <c r="S174" t="s">
        <v>156</v>
      </c>
    </row>
    <row r="175" spans="1:19" x14ac:dyDescent="0.35">
      <c r="A175">
        <v>200067</v>
      </c>
      <c r="B175" t="str">
        <f>"200067"</f>
        <v>200067</v>
      </c>
      <c r="C175" t="s">
        <v>965</v>
      </c>
      <c r="D175" t="s">
        <v>49</v>
      </c>
      <c r="E175" t="s">
        <v>62</v>
      </c>
      <c r="F175" t="s">
        <v>51</v>
      </c>
      <c r="G175" t="s">
        <v>966</v>
      </c>
      <c r="H175" t="s">
        <v>967</v>
      </c>
      <c r="I175" t="s">
        <v>968</v>
      </c>
      <c r="J175" t="s">
        <v>969</v>
      </c>
      <c r="K175" t="s">
        <v>55</v>
      </c>
      <c r="L175" t="s">
        <v>970</v>
      </c>
      <c r="M175" t="s">
        <v>57</v>
      </c>
      <c r="N175" t="str">
        <f>"N/A"</f>
        <v>N/A</v>
      </c>
      <c r="O175" t="s">
        <v>49</v>
      </c>
      <c r="P175" t="s">
        <v>68</v>
      </c>
      <c r="Q175" t="s">
        <v>68</v>
      </c>
      <c r="R175" t="s">
        <v>68</v>
      </c>
      <c r="S175" t="s">
        <v>130</v>
      </c>
    </row>
    <row r="176" spans="1:19" x14ac:dyDescent="0.35">
      <c r="A176">
        <v>44107</v>
      </c>
      <c r="B176" t="str">
        <f>"044107"</f>
        <v>044107</v>
      </c>
      <c r="C176" t="s">
        <v>971</v>
      </c>
      <c r="D176" t="s">
        <v>49</v>
      </c>
      <c r="E176" t="s">
        <v>50</v>
      </c>
      <c r="F176" t="s">
        <v>51</v>
      </c>
      <c r="G176" t="s">
        <v>244</v>
      </c>
      <c r="H176" t="s">
        <v>972</v>
      </c>
      <c r="I176" t="s">
        <v>973</v>
      </c>
      <c r="J176" t="s">
        <v>212</v>
      </c>
      <c r="K176" t="s">
        <v>55</v>
      </c>
      <c r="L176" t="s">
        <v>374</v>
      </c>
      <c r="M176" t="s">
        <v>57</v>
      </c>
      <c r="N176" t="str">
        <f>"050765"</f>
        <v>050765</v>
      </c>
      <c r="O176" t="s">
        <v>58</v>
      </c>
      <c r="P176" t="s">
        <v>281</v>
      </c>
      <c r="Q176">
        <v>100</v>
      </c>
      <c r="R176">
        <v>42.9</v>
      </c>
      <c r="S176" t="s">
        <v>217</v>
      </c>
    </row>
    <row r="177" spans="1:19" x14ac:dyDescent="0.35">
      <c r="A177">
        <v>44354</v>
      </c>
      <c r="B177" t="str">
        <f>"044354"</f>
        <v>044354</v>
      </c>
      <c r="C177" t="s">
        <v>974</v>
      </c>
      <c r="D177" t="s">
        <v>49</v>
      </c>
      <c r="E177" t="s">
        <v>50</v>
      </c>
      <c r="F177" t="s">
        <v>51</v>
      </c>
      <c r="G177" t="s">
        <v>117</v>
      </c>
      <c r="H177" t="s">
        <v>975</v>
      </c>
      <c r="I177" t="s">
        <v>976</v>
      </c>
      <c r="J177" t="s">
        <v>977</v>
      </c>
      <c r="K177" t="s">
        <v>55</v>
      </c>
      <c r="L177" t="s">
        <v>978</v>
      </c>
      <c r="M177" t="s">
        <v>57</v>
      </c>
      <c r="N177" t="str">
        <f>"050765"</f>
        <v>050765</v>
      </c>
      <c r="O177" t="s">
        <v>58</v>
      </c>
      <c r="P177" t="s">
        <v>281</v>
      </c>
      <c r="Q177">
        <v>100</v>
      </c>
      <c r="R177">
        <v>35.5</v>
      </c>
      <c r="S177" t="s">
        <v>77</v>
      </c>
    </row>
    <row r="178" spans="1:19" x14ac:dyDescent="0.35">
      <c r="A178">
        <v>45237</v>
      </c>
      <c r="B178" t="str">
        <f>"045237"</f>
        <v>045237</v>
      </c>
      <c r="C178" t="s">
        <v>979</v>
      </c>
      <c r="D178" t="s">
        <v>49</v>
      </c>
      <c r="E178" t="s">
        <v>50</v>
      </c>
      <c r="F178" t="s">
        <v>51</v>
      </c>
      <c r="G178" t="s">
        <v>233</v>
      </c>
      <c r="H178" t="s">
        <v>980</v>
      </c>
      <c r="I178" t="s">
        <v>981</v>
      </c>
      <c r="J178" t="s">
        <v>982</v>
      </c>
      <c r="K178" t="s">
        <v>55</v>
      </c>
      <c r="L178" t="s">
        <v>983</v>
      </c>
      <c r="M178" t="s">
        <v>57</v>
      </c>
      <c r="N178" t="str">
        <f>"050765"</f>
        <v>050765</v>
      </c>
      <c r="O178" t="s">
        <v>58</v>
      </c>
      <c r="P178" t="s">
        <v>84</v>
      </c>
      <c r="Q178">
        <v>63.5</v>
      </c>
      <c r="R178">
        <v>11.900000000000006</v>
      </c>
      <c r="S178" t="s">
        <v>130</v>
      </c>
    </row>
    <row r="179" spans="1:19" x14ac:dyDescent="0.35">
      <c r="A179">
        <v>200096</v>
      </c>
      <c r="B179" t="str">
        <f>"200096"</f>
        <v>200096</v>
      </c>
      <c r="C179" t="s">
        <v>984</v>
      </c>
      <c r="D179" t="s">
        <v>49</v>
      </c>
      <c r="E179" t="s">
        <v>62</v>
      </c>
      <c r="F179" t="s">
        <v>51</v>
      </c>
      <c r="G179" t="s">
        <v>406</v>
      </c>
      <c r="H179" t="s">
        <v>463</v>
      </c>
      <c r="I179" t="s">
        <v>464</v>
      </c>
      <c r="J179" t="s">
        <v>465</v>
      </c>
      <c r="K179" t="s">
        <v>55</v>
      </c>
      <c r="L179" t="s">
        <v>466</v>
      </c>
      <c r="M179" t="s">
        <v>57</v>
      </c>
      <c r="N179" t="str">
        <f>"N/A"</f>
        <v>N/A</v>
      </c>
      <c r="O179" t="s">
        <v>49</v>
      </c>
      <c r="P179" t="s">
        <v>68</v>
      </c>
      <c r="Q179" t="s">
        <v>68</v>
      </c>
      <c r="R179" t="s">
        <v>68</v>
      </c>
      <c r="S179" t="s">
        <v>77</v>
      </c>
    </row>
    <row r="180" spans="1:19" x14ac:dyDescent="0.35">
      <c r="A180">
        <v>43844</v>
      </c>
      <c r="B180" t="str">
        <f>"043844"</f>
        <v>043844</v>
      </c>
      <c r="C180" t="s">
        <v>985</v>
      </c>
      <c r="D180" t="s">
        <v>49</v>
      </c>
      <c r="E180" t="s">
        <v>50</v>
      </c>
      <c r="F180" t="s">
        <v>51</v>
      </c>
      <c r="G180" t="s">
        <v>543</v>
      </c>
      <c r="H180" t="s">
        <v>986</v>
      </c>
      <c r="I180" t="s">
        <v>987</v>
      </c>
      <c r="J180" t="s">
        <v>687</v>
      </c>
      <c r="K180" t="s">
        <v>55</v>
      </c>
      <c r="L180" t="s">
        <v>786</v>
      </c>
      <c r="M180" t="s">
        <v>57</v>
      </c>
      <c r="N180" t="str">
        <f>"050765"</f>
        <v>050765</v>
      </c>
      <c r="O180" t="s">
        <v>58</v>
      </c>
      <c r="P180" t="s">
        <v>281</v>
      </c>
      <c r="Q180">
        <v>96.8</v>
      </c>
      <c r="R180">
        <v>79.2</v>
      </c>
      <c r="S180" t="s">
        <v>180</v>
      </c>
    </row>
    <row r="181" spans="1:19" x14ac:dyDescent="0.35">
      <c r="A181">
        <v>43893</v>
      </c>
      <c r="B181" t="str">
        <f>"043893"</f>
        <v>043893</v>
      </c>
      <c r="C181" t="s">
        <v>988</v>
      </c>
      <c r="D181" t="s">
        <v>49</v>
      </c>
      <c r="E181" t="s">
        <v>50</v>
      </c>
      <c r="F181" t="s">
        <v>51</v>
      </c>
      <c r="G181" t="s">
        <v>71</v>
      </c>
      <c r="H181" t="s">
        <v>989</v>
      </c>
      <c r="I181" t="s">
        <v>990</v>
      </c>
      <c r="J181" t="s">
        <v>991</v>
      </c>
      <c r="K181" t="s">
        <v>55</v>
      </c>
      <c r="L181" t="s">
        <v>992</v>
      </c>
      <c r="M181" t="s">
        <v>57</v>
      </c>
      <c r="N181" t="str">
        <f>"050765"</f>
        <v>050765</v>
      </c>
      <c r="O181" t="s">
        <v>58</v>
      </c>
      <c r="P181" t="s">
        <v>84</v>
      </c>
      <c r="Q181">
        <v>38.5</v>
      </c>
      <c r="R181">
        <v>24</v>
      </c>
      <c r="S181" t="s">
        <v>77</v>
      </c>
    </row>
    <row r="182" spans="1:19" x14ac:dyDescent="0.35">
      <c r="A182">
        <v>44594</v>
      </c>
      <c r="B182" t="str">
        <f>"044594"</f>
        <v>044594</v>
      </c>
      <c r="C182" t="s">
        <v>993</v>
      </c>
      <c r="D182" t="s">
        <v>49</v>
      </c>
      <c r="E182" t="s">
        <v>50</v>
      </c>
      <c r="F182" t="s">
        <v>51</v>
      </c>
      <c r="G182" t="s">
        <v>143</v>
      </c>
      <c r="H182" t="s">
        <v>994</v>
      </c>
      <c r="I182" t="s">
        <v>995</v>
      </c>
      <c r="J182" t="s">
        <v>166</v>
      </c>
      <c r="K182" t="s">
        <v>55</v>
      </c>
      <c r="L182" t="s">
        <v>167</v>
      </c>
      <c r="M182" t="s">
        <v>57</v>
      </c>
      <c r="N182" t="str">
        <f>"050765"</f>
        <v>050765</v>
      </c>
      <c r="O182" t="s">
        <v>58</v>
      </c>
      <c r="P182" t="s">
        <v>59</v>
      </c>
      <c r="Q182">
        <v>48</v>
      </c>
      <c r="R182">
        <v>51.1</v>
      </c>
      <c r="S182" t="s">
        <v>69</v>
      </c>
    </row>
    <row r="183" spans="1:19" x14ac:dyDescent="0.35">
      <c r="A183">
        <v>49841</v>
      </c>
      <c r="B183" t="str">
        <f>"049841"</f>
        <v>049841</v>
      </c>
      <c r="C183" t="s">
        <v>996</v>
      </c>
      <c r="D183" t="s">
        <v>49</v>
      </c>
      <c r="E183" t="s">
        <v>50</v>
      </c>
      <c r="F183" t="s">
        <v>51</v>
      </c>
      <c r="G183" t="s">
        <v>117</v>
      </c>
      <c r="H183" t="s">
        <v>997</v>
      </c>
      <c r="I183" t="s">
        <v>998</v>
      </c>
      <c r="J183" t="s">
        <v>999</v>
      </c>
      <c r="K183" t="s">
        <v>55</v>
      </c>
      <c r="L183" t="s">
        <v>1000</v>
      </c>
      <c r="M183" t="s">
        <v>57</v>
      </c>
      <c r="N183" t="str">
        <f>"049825"</f>
        <v>049825</v>
      </c>
      <c r="O183" t="s">
        <v>122</v>
      </c>
      <c r="P183" t="s">
        <v>76</v>
      </c>
      <c r="Q183">
        <v>39.5</v>
      </c>
      <c r="R183">
        <v>7.4000000000000057</v>
      </c>
      <c r="S183" t="s">
        <v>77</v>
      </c>
    </row>
    <row r="184" spans="1:19" x14ac:dyDescent="0.35">
      <c r="A184">
        <v>45195</v>
      </c>
      <c r="B184" t="str">
        <f>"045195"</f>
        <v>045195</v>
      </c>
      <c r="C184" t="s">
        <v>1001</v>
      </c>
      <c r="D184" t="s">
        <v>49</v>
      </c>
      <c r="E184" t="s">
        <v>50</v>
      </c>
      <c r="F184" t="s">
        <v>51</v>
      </c>
      <c r="G184" t="s">
        <v>143</v>
      </c>
      <c r="H184" t="s">
        <v>1002</v>
      </c>
      <c r="I184" t="s">
        <v>1003</v>
      </c>
      <c r="J184" t="s">
        <v>1004</v>
      </c>
      <c r="K184" t="s">
        <v>55</v>
      </c>
      <c r="L184" t="s">
        <v>1005</v>
      </c>
      <c r="M184" t="s">
        <v>57</v>
      </c>
      <c r="N184" t="str">
        <f>"050765"</f>
        <v>050765</v>
      </c>
      <c r="O184" t="s">
        <v>58</v>
      </c>
      <c r="P184" t="s">
        <v>59</v>
      </c>
      <c r="Q184">
        <v>25.2</v>
      </c>
      <c r="R184">
        <v>24.299999999999997</v>
      </c>
      <c r="S184" t="s">
        <v>69</v>
      </c>
    </row>
    <row r="185" spans="1:19" x14ac:dyDescent="0.35">
      <c r="A185">
        <v>51474</v>
      </c>
      <c r="B185" t="str">
        <f>"051474"</f>
        <v>051474</v>
      </c>
      <c r="C185" t="s">
        <v>1006</v>
      </c>
      <c r="D185" t="s">
        <v>49</v>
      </c>
      <c r="E185" t="s">
        <v>163</v>
      </c>
      <c r="F185" t="s">
        <v>51</v>
      </c>
      <c r="G185" t="s">
        <v>172</v>
      </c>
      <c r="H185" t="s">
        <v>1007</v>
      </c>
      <c r="I185" t="s">
        <v>1008</v>
      </c>
      <c r="J185" t="s">
        <v>629</v>
      </c>
      <c r="K185" t="s">
        <v>55</v>
      </c>
      <c r="L185" t="s">
        <v>630</v>
      </c>
      <c r="M185" t="s">
        <v>57</v>
      </c>
      <c r="N185" t="str">
        <f>"050765"</f>
        <v>050765</v>
      </c>
      <c r="O185" t="s">
        <v>58</v>
      </c>
      <c r="P185" t="s">
        <v>68</v>
      </c>
      <c r="Q185" t="s">
        <v>68</v>
      </c>
      <c r="R185" t="s">
        <v>68</v>
      </c>
      <c r="S185" t="s">
        <v>217</v>
      </c>
    </row>
    <row r="186" spans="1:19" x14ac:dyDescent="0.35">
      <c r="A186">
        <v>44164</v>
      </c>
      <c r="B186" t="str">
        <f>"044164"</f>
        <v>044164</v>
      </c>
      <c r="C186" t="s">
        <v>1009</v>
      </c>
      <c r="D186" t="s">
        <v>49</v>
      </c>
      <c r="E186" t="s">
        <v>50</v>
      </c>
      <c r="F186" t="s">
        <v>51</v>
      </c>
      <c r="G186" t="s">
        <v>295</v>
      </c>
      <c r="H186" t="s">
        <v>1010</v>
      </c>
      <c r="I186" t="s">
        <v>1011</v>
      </c>
      <c r="J186" t="s">
        <v>1012</v>
      </c>
      <c r="K186" t="s">
        <v>55</v>
      </c>
      <c r="L186" t="s">
        <v>1013</v>
      </c>
      <c r="M186" t="s">
        <v>57</v>
      </c>
      <c r="N186" t="str">
        <f>"050765"</f>
        <v>050765</v>
      </c>
      <c r="O186" t="s">
        <v>58</v>
      </c>
      <c r="P186" t="s">
        <v>59</v>
      </c>
      <c r="Q186">
        <v>43.9</v>
      </c>
      <c r="R186">
        <v>31.799999999999997</v>
      </c>
      <c r="S186" t="s">
        <v>77</v>
      </c>
    </row>
    <row r="187" spans="1:19" x14ac:dyDescent="0.35">
      <c r="A187">
        <v>44933</v>
      </c>
      <c r="B187" t="str">
        <f>"044933"</f>
        <v>044933</v>
      </c>
      <c r="C187" t="s">
        <v>1014</v>
      </c>
      <c r="D187" t="s">
        <v>49</v>
      </c>
      <c r="E187" t="s">
        <v>50</v>
      </c>
      <c r="F187" t="s">
        <v>51</v>
      </c>
      <c r="G187" t="s">
        <v>600</v>
      </c>
      <c r="H187" t="s">
        <v>1015</v>
      </c>
      <c r="I187" t="s">
        <v>1016</v>
      </c>
      <c r="J187" t="s">
        <v>1017</v>
      </c>
      <c r="K187" t="s">
        <v>55</v>
      </c>
      <c r="L187" t="s">
        <v>1018</v>
      </c>
      <c r="M187" t="s">
        <v>57</v>
      </c>
      <c r="N187" t="str">
        <f>"050765"</f>
        <v>050765</v>
      </c>
      <c r="O187" t="s">
        <v>58</v>
      </c>
      <c r="P187" t="s">
        <v>59</v>
      </c>
      <c r="Q187">
        <v>4</v>
      </c>
      <c r="R187">
        <v>16.099999999999994</v>
      </c>
      <c r="S187" t="s">
        <v>60</v>
      </c>
    </row>
    <row r="188" spans="1:19" x14ac:dyDescent="0.35">
      <c r="A188">
        <v>44966</v>
      </c>
      <c r="B188" t="str">
        <f>"044966"</f>
        <v>044966</v>
      </c>
      <c r="C188" t="s">
        <v>1019</v>
      </c>
      <c r="D188" t="s">
        <v>49</v>
      </c>
      <c r="E188" t="s">
        <v>50</v>
      </c>
      <c r="F188" t="s">
        <v>51</v>
      </c>
      <c r="G188" t="s">
        <v>1020</v>
      </c>
      <c r="H188" t="s">
        <v>1021</v>
      </c>
      <c r="I188" t="s">
        <v>1022</v>
      </c>
      <c r="J188" t="s">
        <v>1020</v>
      </c>
      <c r="K188" t="s">
        <v>55</v>
      </c>
      <c r="L188" t="s">
        <v>1023</v>
      </c>
      <c r="M188" t="s">
        <v>57</v>
      </c>
      <c r="N188" t="str">
        <f>"050765"</f>
        <v>050765</v>
      </c>
      <c r="O188" t="s">
        <v>58</v>
      </c>
      <c r="P188" t="s">
        <v>84</v>
      </c>
      <c r="Q188">
        <v>46.2</v>
      </c>
      <c r="R188">
        <v>13.5</v>
      </c>
      <c r="S188" t="s">
        <v>156</v>
      </c>
    </row>
    <row r="189" spans="1:19" x14ac:dyDescent="0.35">
      <c r="A189">
        <v>48009</v>
      </c>
      <c r="B189" t="str">
        <f>"048009"</f>
        <v>048009</v>
      </c>
      <c r="C189" t="s">
        <v>1024</v>
      </c>
      <c r="D189" t="s">
        <v>49</v>
      </c>
      <c r="E189" t="s">
        <v>50</v>
      </c>
      <c r="F189" t="s">
        <v>51</v>
      </c>
      <c r="G189" t="s">
        <v>110</v>
      </c>
      <c r="H189" t="s">
        <v>1025</v>
      </c>
      <c r="I189" t="s">
        <v>1026</v>
      </c>
      <c r="J189" t="s">
        <v>1027</v>
      </c>
      <c r="K189" t="s">
        <v>55</v>
      </c>
      <c r="L189" t="s">
        <v>1028</v>
      </c>
      <c r="M189" t="s">
        <v>57</v>
      </c>
      <c r="N189" t="str">
        <f>"046938"</f>
        <v>046938</v>
      </c>
      <c r="O189" t="s">
        <v>1029</v>
      </c>
      <c r="P189" t="s">
        <v>59</v>
      </c>
      <c r="Q189">
        <v>51.6</v>
      </c>
      <c r="R189">
        <v>65.2</v>
      </c>
      <c r="S189" t="s">
        <v>60</v>
      </c>
    </row>
    <row r="190" spans="1:19" x14ac:dyDescent="0.35">
      <c r="A190">
        <v>48132</v>
      </c>
      <c r="B190" t="str">
        <f>"048132"</f>
        <v>048132</v>
      </c>
      <c r="C190" t="s">
        <v>1030</v>
      </c>
      <c r="D190" t="s">
        <v>49</v>
      </c>
      <c r="E190" t="s">
        <v>50</v>
      </c>
      <c r="F190" t="s">
        <v>51</v>
      </c>
      <c r="G190" t="s">
        <v>143</v>
      </c>
      <c r="H190" t="s">
        <v>1031</v>
      </c>
      <c r="I190" t="s">
        <v>1032</v>
      </c>
      <c r="J190" t="s">
        <v>143</v>
      </c>
      <c r="K190" t="s">
        <v>55</v>
      </c>
      <c r="L190" t="s">
        <v>1033</v>
      </c>
      <c r="M190" t="s">
        <v>57</v>
      </c>
      <c r="N190" t="str">
        <f>"048108"</f>
        <v>048108</v>
      </c>
      <c r="O190" t="s">
        <v>148</v>
      </c>
      <c r="P190" t="s">
        <v>84</v>
      </c>
      <c r="Q190">
        <v>100</v>
      </c>
      <c r="R190">
        <v>66.3</v>
      </c>
      <c r="S190" t="s">
        <v>69</v>
      </c>
    </row>
    <row r="191" spans="1:19" x14ac:dyDescent="0.35">
      <c r="A191">
        <v>49791</v>
      </c>
      <c r="B191" t="str">
        <f>"049791"</f>
        <v>049791</v>
      </c>
      <c r="C191" t="s">
        <v>1034</v>
      </c>
      <c r="D191" t="s">
        <v>49</v>
      </c>
      <c r="E191" t="s">
        <v>50</v>
      </c>
      <c r="F191" t="s">
        <v>51</v>
      </c>
      <c r="G191" t="s">
        <v>572</v>
      </c>
      <c r="H191" t="s">
        <v>1035</v>
      </c>
      <c r="I191" t="s">
        <v>1036</v>
      </c>
      <c r="J191" t="s">
        <v>1037</v>
      </c>
      <c r="K191" t="s">
        <v>55</v>
      </c>
      <c r="L191" t="s">
        <v>1038</v>
      </c>
      <c r="M191" t="s">
        <v>57</v>
      </c>
      <c r="N191" t="str">
        <f>"014777"</f>
        <v>014777</v>
      </c>
      <c r="O191" t="s">
        <v>293</v>
      </c>
      <c r="P191" t="s">
        <v>76</v>
      </c>
      <c r="Q191">
        <v>33.799999999999997</v>
      </c>
      <c r="R191">
        <v>6</v>
      </c>
      <c r="S191" t="s">
        <v>180</v>
      </c>
    </row>
    <row r="192" spans="1:19" x14ac:dyDescent="0.35">
      <c r="A192">
        <v>63495</v>
      </c>
      <c r="B192" t="str">
        <f>"063495"</f>
        <v>063495</v>
      </c>
      <c r="C192" t="s">
        <v>1039</v>
      </c>
      <c r="D192" t="s">
        <v>49</v>
      </c>
      <c r="E192" t="s">
        <v>163</v>
      </c>
      <c r="F192" t="s">
        <v>51</v>
      </c>
      <c r="G192" t="s">
        <v>264</v>
      </c>
      <c r="H192" t="s">
        <v>341</v>
      </c>
      <c r="I192" t="s">
        <v>342</v>
      </c>
      <c r="J192" t="s">
        <v>160</v>
      </c>
      <c r="K192" t="s">
        <v>55</v>
      </c>
      <c r="L192" t="s">
        <v>161</v>
      </c>
      <c r="M192" t="s">
        <v>57</v>
      </c>
      <c r="N192" t="str">
        <f>"050765"</f>
        <v>050765</v>
      </c>
      <c r="O192" t="s">
        <v>58</v>
      </c>
      <c r="P192" t="s">
        <v>68</v>
      </c>
      <c r="Q192" t="s">
        <v>68</v>
      </c>
      <c r="R192" t="s">
        <v>68</v>
      </c>
      <c r="S192" t="s">
        <v>77</v>
      </c>
    </row>
    <row r="193" spans="1:19" x14ac:dyDescent="0.35">
      <c r="A193">
        <v>46359</v>
      </c>
      <c r="B193" t="str">
        <f>"046359"</f>
        <v>046359</v>
      </c>
      <c r="C193" t="s">
        <v>1040</v>
      </c>
      <c r="D193" t="s">
        <v>49</v>
      </c>
      <c r="E193" t="s">
        <v>50</v>
      </c>
      <c r="F193" t="s">
        <v>51</v>
      </c>
      <c r="G193" t="s">
        <v>1041</v>
      </c>
      <c r="H193" t="s">
        <v>1042</v>
      </c>
      <c r="I193" t="s">
        <v>1043</v>
      </c>
      <c r="J193" t="s">
        <v>215</v>
      </c>
      <c r="K193" t="s">
        <v>55</v>
      </c>
      <c r="L193" t="s">
        <v>1044</v>
      </c>
      <c r="M193" t="s">
        <v>57</v>
      </c>
      <c r="N193" t="str">
        <f>"046292"</f>
        <v>046292</v>
      </c>
      <c r="O193" t="s">
        <v>1045</v>
      </c>
      <c r="P193" t="s">
        <v>59</v>
      </c>
      <c r="Q193">
        <v>34.5</v>
      </c>
      <c r="R193">
        <v>15.900000000000006</v>
      </c>
      <c r="S193" t="s">
        <v>217</v>
      </c>
    </row>
    <row r="194" spans="1:19" x14ac:dyDescent="0.35">
      <c r="A194">
        <v>47191</v>
      </c>
      <c r="B194" t="str">
        <f>"047191"</f>
        <v>047191</v>
      </c>
      <c r="C194" t="s">
        <v>1046</v>
      </c>
      <c r="D194" t="s">
        <v>49</v>
      </c>
      <c r="E194" t="s">
        <v>50</v>
      </c>
      <c r="F194" t="s">
        <v>51</v>
      </c>
      <c r="G194" t="s">
        <v>511</v>
      </c>
      <c r="H194" t="s">
        <v>1047</v>
      </c>
      <c r="I194" t="s">
        <v>1048</v>
      </c>
      <c r="J194" t="s">
        <v>1049</v>
      </c>
      <c r="K194" t="s">
        <v>55</v>
      </c>
      <c r="L194" t="s">
        <v>1050</v>
      </c>
      <c r="M194" t="s">
        <v>57</v>
      </c>
      <c r="N194" t="str">
        <f>"046532"</f>
        <v>046532</v>
      </c>
      <c r="O194" t="s">
        <v>509</v>
      </c>
      <c r="P194" t="s">
        <v>59</v>
      </c>
      <c r="Q194">
        <v>8.1</v>
      </c>
      <c r="R194">
        <v>10.799999999999997</v>
      </c>
      <c r="S194" t="s">
        <v>69</v>
      </c>
    </row>
    <row r="195" spans="1:19" x14ac:dyDescent="0.35">
      <c r="A195">
        <v>200030</v>
      </c>
      <c r="B195" t="str">
        <f>"200030"</f>
        <v>200030</v>
      </c>
      <c r="C195" t="s">
        <v>1051</v>
      </c>
      <c r="D195" t="s">
        <v>49</v>
      </c>
      <c r="E195" t="s">
        <v>62</v>
      </c>
      <c r="F195" t="s">
        <v>51</v>
      </c>
      <c r="G195" t="s">
        <v>271</v>
      </c>
      <c r="H195" t="s">
        <v>272</v>
      </c>
      <c r="I195" t="s">
        <v>273</v>
      </c>
      <c r="J195" t="s">
        <v>274</v>
      </c>
      <c r="K195" t="s">
        <v>55</v>
      </c>
      <c r="L195" t="s">
        <v>275</v>
      </c>
      <c r="M195" t="s">
        <v>57</v>
      </c>
      <c r="N195" t="str">
        <f>"N/A"</f>
        <v>N/A</v>
      </c>
      <c r="O195" t="s">
        <v>49</v>
      </c>
      <c r="P195" t="s">
        <v>68</v>
      </c>
      <c r="Q195" t="s">
        <v>68</v>
      </c>
      <c r="R195" t="s">
        <v>68</v>
      </c>
      <c r="S195" t="s">
        <v>156</v>
      </c>
    </row>
    <row r="196" spans="1:19" x14ac:dyDescent="0.35">
      <c r="A196">
        <v>46409</v>
      </c>
      <c r="B196" t="str">
        <f>"046409"</f>
        <v>046409</v>
      </c>
      <c r="C196" t="s">
        <v>1052</v>
      </c>
      <c r="D196" t="s">
        <v>49</v>
      </c>
      <c r="E196" t="s">
        <v>50</v>
      </c>
      <c r="F196" t="s">
        <v>51</v>
      </c>
      <c r="G196" t="s">
        <v>250</v>
      </c>
      <c r="H196" t="s">
        <v>1053</v>
      </c>
      <c r="I196" t="s">
        <v>1054</v>
      </c>
      <c r="J196" t="s">
        <v>1055</v>
      </c>
      <c r="K196" t="s">
        <v>55</v>
      </c>
      <c r="L196" t="s">
        <v>1056</v>
      </c>
      <c r="M196" t="s">
        <v>57</v>
      </c>
      <c r="N196" t="str">
        <f>"046375"</f>
        <v>046375</v>
      </c>
      <c r="O196" t="s">
        <v>255</v>
      </c>
      <c r="P196" t="s">
        <v>76</v>
      </c>
      <c r="Q196">
        <v>48.3</v>
      </c>
      <c r="R196">
        <v>6.4000000000000057</v>
      </c>
      <c r="S196" t="s">
        <v>60</v>
      </c>
    </row>
    <row r="197" spans="1:19" x14ac:dyDescent="0.35">
      <c r="A197">
        <v>47787</v>
      </c>
      <c r="B197" t="str">
        <f>"047787"</f>
        <v>047787</v>
      </c>
      <c r="C197" t="s">
        <v>742</v>
      </c>
      <c r="D197" t="s">
        <v>49</v>
      </c>
      <c r="E197" t="s">
        <v>50</v>
      </c>
      <c r="F197" t="s">
        <v>51</v>
      </c>
      <c r="G197" t="s">
        <v>135</v>
      </c>
      <c r="H197" t="s">
        <v>1057</v>
      </c>
      <c r="I197" t="s">
        <v>1058</v>
      </c>
      <c r="J197" t="s">
        <v>1059</v>
      </c>
      <c r="K197" t="s">
        <v>55</v>
      </c>
      <c r="L197" t="s">
        <v>1060</v>
      </c>
      <c r="M197" t="s">
        <v>57</v>
      </c>
      <c r="N197" t="str">
        <f>"047779"</f>
        <v>047779</v>
      </c>
      <c r="O197" t="s">
        <v>653</v>
      </c>
      <c r="P197" t="s">
        <v>76</v>
      </c>
      <c r="Q197">
        <v>61.4</v>
      </c>
      <c r="R197">
        <v>5.2000000000000028</v>
      </c>
      <c r="S197" t="s">
        <v>130</v>
      </c>
    </row>
    <row r="198" spans="1:19" x14ac:dyDescent="0.35">
      <c r="A198">
        <v>48348</v>
      </c>
      <c r="B198" t="str">
        <f>"048348"</f>
        <v>048348</v>
      </c>
      <c r="C198" t="s">
        <v>1061</v>
      </c>
      <c r="D198" t="s">
        <v>49</v>
      </c>
      <c r="E198" t="s">
        <v>50</v>
      </c>
      <c r="F198" t="s">
        <v>51</v>
      </c>
      <c r="G198" t="s">
        <v>383</v>
      </c>
      <c r="H198" t="s">
        <v>1062</v>
      </c>
      <c r="I198" t="s">
        <v>1063</v>
      </c>
      <c r="J198" t="s">
        <v>1064</v>
      </c>
      <c r="K198" t="s">
        <v>55</v>
      </c>
      <c r="L198" t="s">
        <v>1065</v>
      </c>
      <c r="M198" t="s">
        <v>57</v>
      </c>
      <c r="N198" t="str">
        <f>"048280"</f>
        <v>048280</v>
      </c>
      <c r="O198" t="s">
        <v>388</v>
      </c>
      <c r="P198" t="s">
        <v>59</v>
      </c>
      <c r="Q198">
        <v>12.9</v>
      </c>
      <c r="R198">
        <v>10.200000000000003</v>
      </c>
      <c r="S198" t="s">
        <v>77</v>
      </c>
    </row>
    <row r="199" spans="1:19" x14ac:dyDescent="0.35">
      <c r="A199">
        <v>48363</v>
      </c>
      <c r="B199" t="str">
        <f>"048363"</f>
        <v>048363</v>
      </c>
      <c r="C199" t="s">
        <v>1066</v>
      </c>
      <c r="D199" t="s">
        <v>49</v>
      </c>
      <c r="E199" t="s">
        <v>50</v>
      </c>
      <c r="F199" t="s">
        <v>51</v>
      </c>
      <c r="G199" t="s">
        <v>383</v>
      </c>
      <c r="H199" t="s">
        <v>1067</v>
      </c>
      <c r="I199" t="s">
        <v>1068</v>
      </c>
      <c r="J199" t="s">
        <v>1069</v>
      </c>
      <c r="K199" t="s">
        <v>55</v>
      </c>
      <c r="L199" t="s">
        <v>1070</v>
      </c>
      <c r="M199" t="s">
        <v>57</v>
      </c>
      <c r="N199" t="str">
        <f>"048280"</f>
        <v>048280</v>
      </c>
      <c r="O199" t="s">
        <v>388</v>
      </c>
      <c r="P199" t="s">
        <v>84</v>
      </c>
      <c r="Q199">
        <v>19.2</v>
      </c>
      <c r="R199">
        <v>4</v>
      </c>
      <c r="S199" t="s">
        <v>77</v>
      </c>
    </row>
    <row r="200" spans="1:19" x14ac:dyDescent="0.35">
      <c r="A200">
        <v>62125</v>
      </c>
      <c r="B200" t="str">
        <f>"062125"</f>
        <v>062125</v>
      </c>
      <c r="C200" t="s">
        <v>1071</v>
      </c>
      <c r="D200" t="s">
        <v>49</v>
      </c>
      <c r="E200" t="s">
        <v>163</v>
      </c>
      <c r="F200" t="s">
        <v>51</v>
      </c>
      <c r="G200" t="s">
        <v>325</v>
      </c>
      <c r="H200" t="s">
        <v>478</v>
      </c>
      <c r="I200" t="s">
        <v>479</v>
      </c>
      <c r="J200" t="s">
        <v>328</v>
      </c>
      <c r="K200" t="s">
        <v>55</v>
      </c>
      <c r="L200" t="s">
        <v>329</v>
      </c>
      <c r="M200" t="s">
        <v>57</v>
      </c>
      <c r="N200" t="str">
        <f>"050765"</f>
        <v>050765</v>
      </c>
      <c r="O200" t="s">
        <v>58</v>
      </c>
      <c r="P200" t="s">
        <v>68</v>
      </c>
      <c r="Q200" t="s">
        <v>68</v>
      </c>
      <c r="R200" t="s">
        <v>68</v>
      </c>
      <c r="S200" t="s">
        <v>180</v>
      </c>
    </row>
    <row r="201" spans="1:19" x14ac:dyDescent="0.35">
      <c r="A201">
        <v>200015</v>
      </c>
      <c r="B201" t="str">
        <f>"200015"</f>
        <v>200015</v>
      </c>
      <c r="C201" t="s">
        <v>1072</v>
      </c>
      <c r="D201" t="s">
        <v>49</v>
      </c>
      <c r="E201" t="s">
        <v>62</v>
      </c>
      <c r="F201" t="s">
        <v>51</v>
      </c>
      <c r="G201" t="s">
        <v>536</v>
      </c>
      <c r="H201" t="s">
        <v>1073</v>
      </c>
      <c r="I201" t="s">
        <v>1074</v>
      </c>
      <c r="J201" t="s">
        <v>1075</v>
      </c>
      <c r="K201" t="s">
        <v>55</v>
      </c>
      <c r="L201" t="s">
        <v>1076</v>
      </c>
      <c r="M201" t="s">
        <v>57</v>
      </c>
      <c r="N201" t="str">
        <f>"N/A"</f>
        <v>N/A</v>
      </c>
      <c r="O201" t="s">
        <v>49</v>
      </c>
      <c r="P201" t="s">
        <v>68</v>
      </c>
      <c r="Q201" t="s">
        <v>68</v>
      </c>
      <c r="R201" t="s">
        <v>68</v>
      </c>
      <c r="S201" t="s">
        <v>77</v>
      </c>
    </row>
    <row r="202" spans="1:19" x14ac:dyDescent="0.35">
      <c r="A202">
        <v>200099</v>
      </c>
      <c r="B202" t="str">
        <f>"200099"</f>
        <v>200099</v>
      </c>
      <c r="C202" t="s">
        <v>1077</v>
      </c>
      <c r="D202" t="s">
        <v>49</v>
      </c>
      <c r="E202" t="s">
        <v>62</v>
      </c>
      <c r="F202" t="s">
        <v>51</v>
      </c>
      <c r="G202" t="s">
        <v>169</v>
      </c>
      <c r="H202" t="s">
        <v>170</v>
      </c>
      <c r="I202" t="s">
        <v>171</v>
      </c>
      <c r="J202" t="s">
        <v>172</v>
      </c>
      <c r="K202" t="s">
        <v>55</v>
      </c>
      <c r="L202" t="s">
        <v>173</v>
      </c>
      <c r="M202" t="s">
        <v>57</v>
      </c>
      <c r="N202" t="str">
        <f>"N/A"</f>
        <v>N/A</v>
      </c>
      <c r="O202" t="s">
        <v>49</v>
      </c>
      <c r="P202" t="s">
        <v>68</v>
      </c>
      <c r="Q202" t="s">
        <v>68</v>
      </c>
      <c r="R202" t="s">
        <v>68</v>
      </c>
      <c r="S202" t="s">
        <v>77</v>
      </c>
    </row>
    <row r="203" spans="1:19" x14ac:dyDescent="0.35">
      <c r="A203">
        <v>51003</v>
      </c>
      <c r="B203" t="str">
        <f>"051003"</f>
        <v>051003</v>
      </c>
      <c r="C203" t="s">
        <v>1078</v>
      </c>
      <c r="D203" t="s">
        <v>49</v>
      </c>
      <c r="E203" t="s">
        <v>163</v>
      </c>
      <c r="F203" t="s">
        <v>51</v>
      </c>
      <c r="G203" t="s">
        <v>600</v>
      </c>
      <c r="H203" t="s">
        <v>1079</v>
      </c>
      <c r="I203" t="s">
        <v>1080</v>
      </c>
      <c r="J203" t="s">
        <v>1081</v>
      </c>
      <c r="K203" t="s">
        <v>55</v>
      </c>
      <c r="L203" t="s">
        <v>1082</v>
      </c>
      <c r="M203" t="s">
        <v>57</v>
      </c>
      <c r="N203" t="str">
        <f>"050765"</f>
        <v>050765</v>
      </c>
      <c r="O203" t="s">
        <v>58</v>
      </c>
      <c r="P203" t="s">
        <v>68</v>
      </c>
      <c r="Q203" t="s">
        <v>68</v>
      </c>
      <c r="R203" t="s">
        <v>68</v>
      </c>
      <c r="S203" t="s">
        <v>60</v>
      </c>
    </row>
    <row r="204" spans="1:19" x14ac:dyDescent="0.35">
      <c r="A204">
        <v>44230</v>
      </c>
      <c r="B204" t="str">
        <f>"044230"</f>
        <v>044230</v>
      </c>
      <c r="C204" t="s">
        <v>1083</v>
      </c>
      <c r="D204" t="s">
        <v>49</v>
      </c>
      <c r="E204" t="s">
        <v>50</v>
      </c>
      <c r="F204" t="s">
        <v>51</v>
      </c>
      <c r="G204" t="s">
        <v>212</v>
      </c>
      <c r="H204" t="s">
        <v>1084</v>
      </c>
      <c r="I204" t="s">
        <v>1085</v>
      </c>
      <c r="J204" t="s">
        <v>215</v>
      </c>
      <c r="K204" t="s">
        <v>55</v>
      </c>
      <c r="L204" t="s">
        <v>954</v>
      </c>
      <c r="M204" t="s">
        <v>57</v>
      </c>
      <c r="N204" t="str">
        <f>"050765"</f>
        <v>050765</v>
      </c>
      <c r="O204" t="s">
        <v>58</v>
      </c>
      <c r="P204" t="s">
        <v>281</v>
      </c>
      <c r="Q204">
        <v>100</v>
      </c>
      <c r="R204">
        <v>77</v>
      </c>
      <c r="S204" t="s">
        <v>217</v>
      </c>
    </row>
    <row r="205" spans="1:19" x14ac:dyDescent="0.35">
      <c r="A205">
        <v>46334</v>
      </c>
      <c r="B205" t="str">
        <f>"046334"</f>
        <v>046334</v>
      </c>
      <c r="C205" t="s">
        <v>1086</v>
      </c>
      <c r="D205" t="s">
        <v>49</v>
      </c>
      <c r="E205" t="s">
        <v>50</v>
      </c>
      <c r="F205" t="s">
        <v>51</v>
      </c>
      <c r="G205" t="s">
        <v>1041</v>
      </c>
      <c r="H205" t="s">
        <v>1087</v>
      </c>
      <c r="I205" t="s">
        <v>1088</v>
      </c>
      <c r="J205" t="s">
        <v>1089</v>
      </c>
      <c r="K205" t="s">
        <v>55</v>
      </c>
      <c r="L205" t="s">
        <v>1090</v>
      </c>
      <c r="M205" t="s">
        <v>57</v>
      </c>
      <c r="N205" t="str">
        <f>"046292"</f>
        <v>046292</v>
      </c>
      <c r="O205" t="s">
        <v>1045</v>
      </c>
      <c r="P205" t="s">
        <v>76</v>
      </c>
      <c r="Q205">
        <v>43.1</v>
      </c>
      <c r="R205">
        <v>5.2999999999999972</v>
      </c>
      <c r="S205" t="s">
        <v>217</v>
      </c>
    </row>
    <row r="206" spans="1:19" x14ac:dyDescent="0.35">
      <c r="A206">
        <v>50153</v>
      </c>
      <c r="B206" t="str">
        <f>"050153"</f>
        <v>050153</v>
      </c>
      <c r="C206" t="s">
        <v>1091</v>
      </c>
      <c r="D206" t="s">
        <v>49</v>
      </c>
      <c r="E206" t="s">
        <v>50</v>
      </c>
      <c r="F206" t="s">
        <v>51</v>
      </c>
      <c r="G206" t="s">
        <v>169</v>
      </c>
      <c r="H206" t="s">
        <v>1092</v>
      </c>
      <c r="I206" t="s">
        <v>1093</v>
      </c>
      <c r="J206" t="s">
        <v>730</v>
      </c>
      <c r="K206" t="s">
        <v>55</v>
      </c>
      <c r="L206" t="s">
        <v>731</v>
      </c>
      <c r="M206" t="s">
        <v>57</v>
      </c>
      <c r="N206" t="str">
        <f>"050088"</f>
        <v>050088</v>
      </c>
      <c r="O206" t="s">
        <v>416</v>
      </c>
      <c r="P206" t="s">
        <v>84</v>
      </c>
      <c r="Q206">
        <v>44.6</v>
      </c>
      <c r="R206">
        <v>6.2000000000000028</v>
      </c>
      <c r="S206" t="s">
        <v>77</v>
      </c>
    </row>
    <row r="207" spans="1:19" x14ac:dyDescent="0.35">
      <c r="A207">
        <v>50161</v>
      </c>
      <c r="B207" t="str">
        <f>"050161"</f>
        <v>050161</v>
      </c>
      <c r="C207" t="s">
        <v>1094</v>
      </c>
      <c r="D207" t="s">
        <v>49</v>
      </c>
      <c r="E207" t="s">
        <v>50</v>
      </c>
      <c r="F207" t="s">
        <v>51</v>
      </c>
      <c r="G207" t="s">
        <v>169</v>
      </c>
      <c r="H207" t="s">
        <v>1095</v>
      </c>
      <c r="I207" t="s">
        <v>1096</v>
      </c>
      <c r="J207" t="s">
        <v>172</v>
      </c>
      <c r="K207" t="s">
        <v>55</v>
      </c>
      <c r="L207" t="s">
        <v>1097</v>
      </c>
      <c r="M207" t="s">
        <v>57</v>
      </c>
      <c r="N207" t="str">
        <f>"050088"</f>
        <v>050088</v>
      </c>
      <c r="O207" t="s">
        <v>416</v>
      </c>
      <c r="P207" t="s">
        <v>59</v>
      </c>
      <c r="Q207">
        <v>34.4</v>
      </c>
      <c r="R207">
        <v>16.400000000000006</v>
      </c>
      <c r="S207" t="s">
        <v>77</v>
      </c>
    </row>
    <row r="208" spans="1:19" x14ac:dyDescent="0.35">
      <c r="A208">
        <v>200074</v>
      </c>
      <c r="B208" t="str">
        <f>"200074"</f>
        <v>200074</v>
      </c>
      <c r="C208" t="s">
        <v>1098</v>
      </c>
      <c r="D208" t="s">
        <v>49</v>
      </c>
      <c r="E208" t="s">
        <v>62</v>
      </c>
      <c r="F208" t="s">
        <v>51</v>
      </c>
      <c r="G208" t="s">
        <v>1099</v>
      </c>
      <c r="H208" t="s">
        <v>1100</v>
      </c>
      <c r="I208" t="s">
        <v>1101</v>
      </c>
      <c r="J208" t="s">
        <v>1102</v>
      </c>
      <c r="K208" t="s">
        <v>55</v>
      </c>
      <c r="L208" t="s">
        <v>1103</v>
      </c>
      <c r="M208" t="s">
        <v>57</v>
      </c>
      <c r="N208" t="str">
        <f>"N/A"</f>
        <v>N/A</v>
      </c>
      <c r="O208" t="s">
        <v>49</v>
      </c>
      <c r="P208" t="s">
        <v>68</v>
      </c>
      <c r="Q208" t="s">
        <v>68</v>
      </c>
      <c r="R208" t="s">
        <v>68</v>
      </c>
      <c r="S208" t="s">
        <v>130</v>
      </c>
    </row>
    <row r="209" spans="1:19" x14ac:dyDescent="0.35">
      <c r="A209">
        <v>43521</v>
      </c>
      <c r="B209" t="str">
        <f>"043521"</f>
        <v>043521</v>
      </c>
      <c r="C209" t="s">
        <v>1104</v>
      </c>
      <c r="D209" t="s">
        <v>49</v>
      </c>
      <c r="E209" t="s">
        <v>50</v>
      </c>
      <c r="F209" t="s">
        <v>51</v>
      </c>
      <c r="G209" t="s">
        <v>493</v>
      </c>
      <c r="H209" t="s">
        <v>1105</v>
      </c>
      <c r="I209" t="s">
        <v>1106</v>
      </c>
      <c r="J209" t="s">
        <v>1107</v>
      </c>
      <c r="K209" t="s">
        <v>55</v>
      </c>
      <c r="L209" t="s">
        <v>1108</v>
      </c>
      <c r="M209" t="s">
        <v>57</v>
      </c>
      <c r="N209" t="str">
        <f>"050765"</f>
        <v>050765</v>
      </c>
      <c r="O209" t="s">
        <v>58</v>
      </c>
      <c r="P209" t="s">
        <v>59</v>
      </c>
      <c r="Q209">
        <v>40.9</v>
      </c>
      <c r="R209">
        <v>15.700000000000003</v>
      </c>
      <c r="S209" t="s">
        <v>130</v>
      </c>
    </row>
    <row r="210" spans="1:19" x14ac:dyDescent="0.35">
      <c r="A210">
        <v>200016</v>
      </c>
      <c r="B210" t="str">
        <f>"200016"</f>
        <v>200016</v>
      </c>
      <c r="C210" t="s">
        <v>1109</v>
      </c>
      <c r="D210" t="s">
        <v>49</v>
      </c>
      <c r="E210" t="s">
        <v>62</v>
      </c>
      <c r="F210" t="s">
        <v>51</v>
      </c>
      <c r="G210" t="s">
        <v>536</v>
      </c>
      <c r="H210" t="s">
        <v>1110</v>
      </c>
      <c r="I210" t="s">
        <v>1111</v>
      </c>
      <c r="J210" t="s">
        <v>539</v>
      </c>
      <c r="K210" t="s">
        <v>55</v>
      </c>
      <c r="L210" t="s">
        <v>540</v>
      </c>
      <c r="M210" t="s">
        <v>57</v>
      </c>
      <c r="N210" t="str">
        <f>"N/A"</f>
        <v>N/A</v>
      </c>
      <c r="O210" t="s">
        <v>49</v>
      </c>
      <c r="P210" t="s">
        <v>68</v>
      </c>
      <c r="Q210" t="s">
        <v>68</v>
      </c>
      <c r="R210" t="s">
        <v>68</v>
      </c>
      <c r="S210" t="s">
        <v>77</v>
      </c>
    </row>
    <row r="211" spans="1:19" x14ac:dyDescent="0.35">
      <c r="A211">
        <v>45500</v>
      </c>
      <c r="B211" t="str">
        <f>"045500"</f>
        <v>045500</v>
      </c>
      <c r="C211" t="s">
        <v>1112</v>
      </c>
      <c r="D211" t="s">
        <v>49</v>
      </c>
      <c r="E211" t="s">
        <v>50</v>
      </c>
      <c r="F211" t="s">
        <v>51</v>
      </c>
      <c r="G211" t="s">
        <v>1041</v>
      </c>
      <c r="H211" t="s">
        <v>1113</v>
      </c>
      <c r="I211" t="s">
        <v>1114</v>
      </c>
      <c r="J211" t="s">
        <v>1115</v>
      </c>
      <c r="K211" t="s">
        <v>55</v>
      </c>
      <c r="L211" t="s">
        <v>1116</v>
      </c>
      <c r="M211" t="s">
        <v>57</v>
      </c>
      <c r="N211" t="str">
        <f>"050765"</f>
        <v>050765</v>
      </c>
      <c r="O211" t="s">
        <v>58</v>
      </c>
      <c r="P211" t="s">
        <v>59</v>
      </c>
      <c r="Q211">
        <v>18.600000000000001</v>
      </c>
      <c r="R211">
        <v>11.5</v>
      </c>
      <c r="S211" t="s">
        <v>217</v>
      </c>
    </row>
    <row r="212" spans="1:19" x14ac:dyDescent="0.35">
      <c r="A212">
        <v>45526</v>
      </c>
      <c r="B212" t="str">
        <f>"045526"</f>
        <v>045526</v>
      </c>
      <c r="C212" t="s">
        <v>1117</v>
      </c>
      <c r="D212" t="s">
        <v>49</v>
      </c>
      <c r="E212" t="s">
        <v>50</v>
      </c>
      <c r="F212" t="s">
        <v>51</v>
      </c>
      <c r="G212" t="s">
        <v>1118</v>
      </c>
      <c r="H212" t="s">
        <v>1119</v>
      </c>
      <c r="I212" t="s">
        <v>1120</v>
      </c>
      <c r="J212" t="s">
        <v>1121</v>
      </c>
      <c r="K212" t="s">
        <v>55</v>
      </c>
      <c r="L212" t="s">
        <v>1122</v>
      </c>
      <c r="M212" t="s">
        <v>57</v>
      </c>
      <c r="N212" t="str">
        <f>"050765"</f>
        <v>050765</v>
      </c>
      <c r="O212" t="s">
        <v>58</v>
      </c>
      <c r="P212" t="s">
        <v>76</v>
      </c>
      <c r="Q212">
        <v>45</v>
      </c>
      <c r="R212">
        <v>9.7000000000000028</v>
      </c>
      <c r="S212" t="s">
        <v>156</v>
      </c>
    </row>
    <row r="213" spans="1:19" x14ac:dyDescent="0.35">
      <c r="A213">
        <v>47621</v>
      </c>
      <c r="B213" t="str">
        <f>"047621"</f>
        <v>047621</v>
      </c>
      <c r="C213" t="s">
        <v>1123</v>
      </c>
      <c r="D213" t="s">
        <v>49</v>
      </c>
      <c r="E213" t="s">
        <v>50</v>
      </c>
      <c r="F213" t="s">
        <v>51</v>
      </c>
      <c r="G213" t="s">
        <v>719</v>
      </c>
      <c r="H213" t="s">
        <v>1124</v>
      </c>
      <c r="I213" t="s">
        <v>1125</v>
      </c>
      <c r="J213" t="s">
        <v>1126</v>
      </c>
      <c r="K213" t="s">
        <v>55</v>
      </c>
      <c r="L213" t="s">
        <v>1127</v>
      </c>
      <c r="M213" t="s">
        <v>57</v>
      </c>
      <c r="N213" t="str">
        <f>"046375"</f>
        <v>046375</v>
      </c>
      <c r="O213" t="s">
        <v>255</v>
      </c>
      <c r="P213" t="s">
        <v>76</v>
      </c>
      <c r="Q213">
        <v>31.6</v>
      </c>
      <c r="R213">
        <v>4.9000000000000057</v>
      </c>
      <c r="S213" t="s">
        <v>130</v>
      </c>
    </row>
    <row r="214" spans="1:19" x14ac:dyDescent="0.35">
      <c r="A214">
        <v>47837</v>
      </c>
      <c r="B214" t="str">
        <f>"047837"</f>
        <v>047837</v>
      </c>
      <c r="C214" t="s">
        <v>1128</v>
      </c>
      <c r="D214" t="s">
        <v>49</v>
      </c>
      <c r="E214" t="s">
        <v>50</v>
      </c>
      <c r="F214" t="s">
        <v>51</v>
      </c>
      <c r="G214" t="s">
        <v>901</v>
      </c>
      <c r="H214" t="s">
        <v>1129</v>
      </c>
      <c r="I214" t="s">
        <v>1130</v>
      </c>
      <c r="J214" t="s">
        <v>1131</v>
      </c>
      <c r="K214" t="s">
        <v>55</v>
      </c>
      <c r="L214" t="s">
        <v>1132</v>
      </c>
      <c r="M214" t="s">
        <v>57</v>
      </c>
      <c r="N214" t="str">
        <f>"047811"</f>
        <v>047811</v>
      </c>
      <c r="O214" t="s">
        <v>934</v>
      </c>
      <c r="P214" t="s">
        <v>76</v>
      </c>
      <c r="Q214">
        <v>39.700000000000003</v>
      </c>
      <c r="R214">
        <v>7.5</v>
      </c>
      <c r="S214" t="s">
        <v>60</v>
      </c>
    </row>
    <row r="215" spans="1:19" x14ac:dyDescent="0.35">
      <c r="A215">
        <v>44800</v>
      </c>
      <c r="B215" t="str">
        <f>"044800"</f>
        <v>044800</v>
      </c>
      <c r="C215" t="s">
        <v>1133</v>
      </c>
      <c r="D215" t="s">
        <v>49</v>
      </c>
      <c r="E215" t="s">
        <v>50</v>
      </c>
      <c r="F215" t="s">
        <v>51</v>
      </c>
      <c r="G215" t="s">
        <v>600</v>
      </c>
      <c r="H215" t="s">
        <v>1134</v>
      </c>
      <c r="I215" t="s">
        <v>1135</v>
      </c>
      <c r="J215" t="s">
        <v>1136</v>
      </c>
      <c r="K215" t="s">
        <v>55</v>
      </c>
      <c r="L215" t="s">
        <v>1137</v>
      </c>
      <c r="M215" t="s">
        <v>57</v>
      </c>
      <c r="N215" t="str">
        <f>"050765"</f>
        <v>050765</v>
      </c>
      <c r="O215" t="s">
        <v>58</v>
      </c>
      <c r="P215" t="s">
        <v>281</v>
      </c>
      <c r="Q215">
        <v>58.3</v>
      </c>
      <c r="R215">
        <v>47.2</v>
      </c>
      <c r="S215" t="s">
        <v>60</v>
      </c>
    </row>
    <row r="216" spans="1:19" x14ac:dyDescent="0.35">
      <c r="A216">
        <v>48314</v>
      </c>
      <c r="B216" t="str">
        <f>"048314"</f>
        <v>048314</v>
      </c>
      <c r="C216" t="s">
        <v>1138</v>
      </c>
      <c r="D216" t="s">
        <v>49</v>
      </c>
      <c r="E216" t="s">
        <v>50</v>
      </c>
      <c r="F216" t="s">
        <v>51</v>
      </c>
      <c r="G216" t="s">
        <v>383</v>
      </c>
      <c r="H216" t="s">
        <v>1139</v>
      </c>
      <c r="I216" t="s">
        <v>1140</v>
      </c>
      <c r="J216" t="s">
        <v>1069</v>
      </c>
      <c r="K216" t="s">
        <v>55</v>
      </c>
      <c r="L216" t="s">
        <v>1070</v>
      </c>
      <c r="M216" t="s">
        <v>57</v>
      </c>
      <c r="N216" t="str">
        <f>"048280"</f>
        <v>048280</v>
      </c>
      <c r="O216" t="s">
        <v>388</v>
      </c>
      <c r="P216" t="s">
        <v>59</v>
      </c>
      <c r="Q216">
        <v>10.6</v>
      </c>
      <c r="R216">
        <v>11.700000000000003</v>
      </c>
      <c r="S216" t="s">
        <v>77</v>
      </c>
    </row>
    <row r="217" spans="1:19" x14ac:dyDescent="0.35">
      <c r="A217">
        <v>43513</v>
      </c>
      <c r="B217" t="str">
        <f>"043513"</f>
        <v>043513</v>
      </c>
      <c r="C217" t="s">
        <v>1141</v>
      </c>
      <c r="D217" t="s">
        <v>49</v>
      </c>
      <c r="E217" t="s">
        <v>50</v>
      </c>
      <c r="F217" t="s">
        <v>51</v>
      </c>
      <c r="G217" t="s">
        <v>132</v>
      </c>
      <c r="H217" t="s">
        <v>1142</v>
      </c>
      <c r="I217" t="s">
        <v>1143</v>
      </c>
      <c r="J217" t="s">
        <v>132</v>
      </c>
      <c r="K217" t="s">
        <v>55</v>
      </c>
      <c r="L217" t="s">
        <v>184</v>
      </c>
      <c r="M217" t="s">
        <v>57</v>
      </c>
      <c r="N217" t="str">
        <f>"050765"</f>
        <v>050765</v>
      </c>
      <c r="O217" t="s">
        <v>58</v>
      </c>
      <c r="P217" t="s">
        <v>84</v>
      </c>
      <c r="Q217">
        <v>100</v>
      </c>
      <c r="R217">
        <v>43.2</v>
      </c>
      <c r="S217" t="s">
        <v>69</v>
      </c>
    </row>
    <row r="218" spans="1:19" x14ac:dyDescent="0.35">
      <c r="A218">
        <v>49247</v>
      </c>
      <c r="B218" t="str">
        <f>"049247"</f>
        <v>049247</v>
      </c>
      <c r="C218" t="s">
        <v>1144</v>
      </c>
      <c r="D218" t="s">
        <v>49</v>
      </c>
      <c r="E218" t="s">
        <v>50</v>
      </c>
      <c r="F218" t="s">
        <v>51</v>
      </c>
      <c r="G218" t="s">
        <v>295</v>
      </c>
      <c r="H218" t="s">
        <v>1145</v>
      </c>
      <c r="I218" t="s">
        <v>1146</v>
      </c>
      <c r="J218" t="s">
        <v>1147</v>
      </c>
      <c r="K218" t="s">
        <v>55</v>
      </c>
      <c r="L218" t="s">
        <v>1148</v>
      </c>
      <c r="M218" t="s">
        <v>57</v>
      </c>
      <c r="N218" t="str">
        <f>"046532"</f>
        <v>046532</v>
      </c>
      <c r="O218" t="s">
        <v>509</v>
      </c>
      <c r="P218" t="s">
        <v>76</v>
      </c>
      <c r="Q218">
        <v>42.3</v>
      </c>
      <c r="R218">
        <v>7.4000000000000057</v>
      </c>
      <c r="S218" t="s">
        <v>77</v>
      </c>
    </row>
    <row r="219" spans="1:19" x14ac:dyDescent="0.35">
      <c r="A219">
        <v>48124</v>
      </c>
      <c r="B219" t="str">
        <f>"048124"</f>
        <v>048124</v>
      </c>
      <c r="C219" t="s">
        <v>1149</v>
      </c>
      <c r="D219" t="s">
        <v>49</v>
      </c>
      <c r="E219" t="s">
        <v>50</v>
      </c>
      <c r="F219" t="s">
        <v>51</v>
      </c>
      <c r="G219" t="s">
        <v>143</v>
      </c>
      <c r="H219" t="s">
        <v>1150</v>
      </c>
      <c r="I219" t="s">
        <v>1151</v>
      </c>
      <c r="J219" t="s">
        <v>1152</v>
      </c>
      <c r="K219" t="s">
        <v>55</v>
      </c>
      <c r="L219" t="s">
        <v>1153</v>
      </c>
      <c r="M219" t="s">
        <v>57</v>
      </c>
      <c r="N219" t="str">
        <f>"050765"</f>
        <v>050765</v>
      </c>
      <c r="O219" t="s">
        <v>58</v>
      </c>
      <c r="P219" t="s">
        <v>59</v>
      </c>
      <c r="Q219">
        <v>9.1</v>
      </c>
      <c r="R219">
        <v>12.700000000000003</v>
      </c>
      <c r="S219" t="s">
        <v>69</v>
      </c>
    </row>
    <row r="220" spans="1:19" x14ac:dyDescent="0.35">
      <c r="A220">
        <v>15456</v>
      </c>
      <c r="B220" t="str">
        <f>"015456"</f>
        <v>015456</v>
      </c>
      <c r="C220" t="s">
        <v>1154</v>
      </c>
      <c r="D220" t="s">
        <v>49</v>
      </c>
      <c r="E220" t="s">
        <v>301</v>
      </c>
      <c r="F220" t="s">
        <v>51</v>
      </c>
      <c r="G220" t="s">
        <v>124</v>
      </c>
      <c r="H220" t="s">
        <v>1155</v>
      </c>
      <c r="I220" t="s">
        <v>1156</v>
      </c>
      <c r="J220" t="s">
        <v>1157</v>
      </c>
      <c r="K220" t="s">
        <v>55</v>
      </c>
      <c r="L220" t="s">
        <v>1158</v>
      </c>
      <c r="M220" t="s">
        <v>57</v>
      </c>
      <c r="N220" t="str">
        <f>"N/A"</f>
        <v>N/A</v>
      </c>
      <c r="O220" t="s">
        <v>49</v>
      </c>
      <c r="P220" t="s">
        <v>68</v>
      </c>
      <c r="Q220" t="s">
        <v>68</v>
      </c>
      <c r="R220" t="s">
        <v>68</v>
      </c>
      <c r="S220" t="s">
        <v>130</v>
      </c>
    </row>
    <row r="221" spans="1:19" x14ac:dyDescent="0.35">
      <c r="A221">
        <v>200075</v>
      </c>
      <c r="B221" t="str">
        <f>"200075"</f>
        <v>200075</v>
      </c>
      <c r="C221" t="s">
        <v>1159</v>
      </c>
      <c r="D221" t="s">
        <v>49</v>
      </c>
      <c r="E221" t="s">
        <v>62</v>
      </c>
      <c r="F221" t="s">
        <v>51</v>
      </c>
      <c r="G221" t="s">
        <v>674</v>
      </c>
      <c r="H221" t="s">
        <v>1160</v>
      </c>
      <c r="I221" t="s">
        <v>1161</v>
      </c>
      <c r="J221" t="s">
        <v>927</v>
      </c>
      <c r="K221" t="s">
        <v>55</v>
      </c>
      <c r="L221" t="s">
        <v>928</v>
      </c>
      <c r="M221" t="s">
        <v>57</v>
      </c>
      <c r="N221" t="str">
        <f>"N/A"</f>
        <v>N/A</v>
      </c>
      <c r="O221" t="s">
        <v>49</v>
      </c>
      <c r="P221" t="s">
        <v>68</v>
      </c>
      <c r="Q221" t="s">
        <v>68</v>
      </c>
      <c r="R221" t="s">
        <v>68</v>
      </c>
      <c r="S221" t="s">
        <v>130</v>
      </c>
    </row>
    <row r="222" spans="1:19" x14ac:dyDescent="0.35">
      <c r="A222">
        <v>200103</v>
      </c>
      <c r="B222" t="str">
        <f>"200103"</f>
        <v>200103</v>
      </c>
      <c r="C222" t="s">
        <v>1162</v>
      </c>
      <c r="D222" t="s">
        <v>49</v>
      </c>
      <c r="E222" t="s">
        <v>62</v>
      </c>
      <c r="F222" t="s">
        <v>51</v>
      </c>
      <c r="G222" t="s">
        <v>172</v>
      </c>
      <c r="H222" t="s">
        <v>1007</v>
      </c>
      <c r="I222" t="s">
        <v>1008</v>
      </c>
      <c r="J222" t="s">
        <v>629</v>
      </c>
      <c r="K222" t="s">
        <v>55</v>
      </c>
      <c r="L222" t="s">
        <v>630</v>
      </c>
      <c r="M222" t="s">
        <v>57</v>
      </c>
      <c r="N222" t="str">
        <f>"N/A"</f>
        <v>N/A</v>
      </c>
      <c r="O222" t="s">
        <v>49</v>
      </c>
      <c r="P222" t="s">
        <v>68</v>
      </c>
      <c r="Q222" t="s">
        <v>68</v>
      </c>
      <c r="R222" t="s">
        <v>68</v>
      </c>
      <c r="S222" t="s">
        <v>217</v>
      </c>
    </row>
    <row r="223" spans="1:19" x14ac:dyDescent="0.35">
      <c r="A223">
        <v>44511</v>
      </c>
      <c r="B223" t="str">
        <f>"044511"</f>
        <v>044511</v>
      </c>
      <c r="C223" t="s">
        <v>1163</v>
      </c>
      <c r="D223" t="s">
        <v>49</v>
      </c>
      <c r="E223" t="s">
        <v>50</v>
      </c>
      <c r="F223" t="s">
        <v>51</v>
      </c>
      <c r="G223" t="s">
        <v>212</v>
      </c>
      <c r="H223" t="s">
        <v>1164</v>
      </c>
      <c r="I223" t="s">
        <v>1165</v>
      </c>
      <c r="J223" t="s">
        <v>215</v>
      </c>
      <c r="K223" t="s">
        <v>55</v>
      </c>
      <c r="L223" t="s">
        <v>614</v>
      </c>
      <c r="M223" t="s">
        <v>57</v>
      </c>
      <c r="N223" t="str">
        <f>"050765"</f>
        <v>050765</v>
      </c>
      <c r="O223" t="s">
        <v>58</v>
      </c>
      <c r="P223" t="s">
        <v>281</v>
      </c>
      <c r="Q223">
        <v>100</v>
      </c>
      <c r="R223">
        <v>93.7</v>
      </c>
      <c r="S223" t="s">
        <v>217</v>
      </c>
    </row>
    <row r="224" spans="1:19" x14ac:dyDescent="0.35">
      <c r="A224">
        <v>46011</v>
      </c>
      <c r="B224" t="str">
        <f>"046011"</f>
        <v>046011</v>
      </c>
      <c r="C224" t="s">
        <v>1166</v>
      </c>
      <c r="D224" t="s">
        <v>49</v>
      </c>
      <c r="E224" t="s">
        <v>50</v>
      </c>
      <c r="F224" t="s">
        <v>51</v>
      </c>
      <c r="G224" t="s">
        <v>233</v>
      </c>
      <c r="H224" t="s">
        <v>1167</v>
      </c>
      <c r="I224" t="s">
        <v>1168</v>
      </c>
      <c r="J224" t="s">
        <v>233</v>
      </c>
      <c r="K224" t="s">
        <v>55</v>
      </c>
      <c r="L224" t="s">
        <v>1169</v>
      </c>
      <c r="M224" t="s">
        <v>57</v>
      </c>
      <c r="N224" t="str">
        <f>"050260"</f>
        <v>050260</v>
      </c>
      <c r="O224" t="s">
        <v>1170</v>
      </c>
      <c r="P224" t="s">
        <v>76</v>
      </c>
      <c r="Q224">
        <v>36.6</v>
      </c>
      <c r="R224">
        <v>4.2000000000000028</v>
      </c>
      <c r="S224" t="s">
        <v>130</v>
      </c>
    </row>
    <row r="225" spans="1:19" x14ac:dyDescent="0.35">
      <c r="A225">
        <v>47472</v>
      </c>
      <c r="B225" t="str">
        <f>"047472"</f>
        <v>047472</v>
      </c>
      <c r="C225" t="s">
        <v>1171</v>
      </c>
      <c r="D225" t="s">
        <v>49</v>
      </c>
      <c r="E225" t="s">
        <v>50</v>
      </c>
      <c r="F225" t="s">
        <v>51</v>
      </c>
      <c r="G225" t="s">
        <v>821</v>
      </c>
      <c r="H225" t="s">
        <v>1172</v>
      </c>
      <c r="I225" t="s">
        <v>1173</v>
      </c>
      <c r="J225" t="s">
        <v>1174</v>
      </c>
      <c r="K225" t="s">
        <v>55</v>
      </c>
      <c r="L225" t="s">
        <v>1175</v>
      </c>
      <c r="M225" t="s">
        <v>57</v>
      </c>
      <c r="N225" t="str">
        <f>"047407"</f>
        <v>047407</v>
      </c>
      <c r="O225" t="s">
        <v>826</v>
      </c>
      <c r="P225" t="s">
        <v>76</v>
      </c>
      <c r="Q225">
        <v>36.6</v>
      </c>
      <c r="R225">
        <v>8.5</v>
      </c>
      <c r="S225" t="s">
        <v>156</v>
      </c>
    </row>
    <row r="226" spans="1:19" x14ac:dyDescent="0.35">
      <c r="A226">
        <v>44404</v>
      </c>
      <c r="B226" t="str">
        <f>"044404"</f>
        <v>044404</v>
      </c>
      <c r="C226" t="s">
        <v>1176</v>
      </c>
      <c r="D226" t="s">
        <v>49</v>
      </c>
      <c r="E226" t="s">
        <v>50</v>
      </c>
      <c r="F226" t="s">
        <v>51</v>
      </c>
      <c r="G226" t="s">
        <v>244</v>
      </c>
      <c r="H226" t="s">
        <v>1177</v>
      </c>
      <c r="I226" t="s">
        <v>1178</v>
      </c>
      <c r="J226" t="s">
        <v>1179</v>
      </c>
      <c r="K226" t="s">
        <v>55</v>
      </c>
      <c r="L226" t="s">
        <v>1180</v>
      </c>
      <c r="M226" t="s">
        <v>57</v>
      </c>
      <c r="N226" t="str">
        <f>"050765"</f>
        <v>050765</v>
      </c>
      <c r="O226" t="s">
        <v>58</v>
      </c>
      <c r="P226" t="s">
        <v>281</v>
      </c>
      <c r="Q226">
        <v>100</v>
      </c>
      <c r="R226">
        <v>49</v>
      </c>
      <c r="S226" t="s">
        <v>217</v>
      </c>
    </row>
    <row r="227" spans="1:19" x14ac:dyDescent="0.35">
      <c r="A227">
        <v>44982</v>
      </c>
      <c r="B227" t="str">
        <f>"044982"</f>
        <v>044982</v>
      </c>
      <c r="C227" t="s">
        <v>1181</v>
      </c>
      <c r="D227" t="s">
        <v>49</v>
      </c>
      <c r="E227" t="s">
        <v>50</v>
      </c>
      <c r="F227" t="s">
        <v>51</v>
      </c>
      <c r="G227" t="s">
        <v>554</v>
      </c>
      <c r="H227" t="s">
        <v>1182</v>
      </c>
      <c r="I227" t="s">
        <v>1183</v>
      </c>
      <c r="J227" t="s">
        <v>1184</v>
      </c>
      <c r="K227" t="s">
        <v>55</v>
      </c>
      <c r="L227" t="s">
        <v>1185</v>
      </c>
      <c r="M227" t="s">
        <v>57</v>
      </c>
      <c r="N227" t="str">
        <f>"045930"</f>
        <v>045930</v>
      </c>
      <c r="O227" t="s">
        <v>559</v>
      </c>
      <c r="P227" t="s">
        <v>76</v>
      </c>
      <c r="Q227">
        <v>33.5</v>
      </c>
      <c r="R227">
        <v>6.0999999999999943</v>
      </c>
      <c r="S227" t="s">
        <v>156</v>
      </c>
    </row>
    <row r="228" spans="1:19" x14ac:dyDescent="0.35">
      <c r="A228">
        <v>45245</v>
      </c>
      <c r="B228" t="str">
        <f>"045245"</f>
        <v>045245</v>
      </c>
      <c r="C228" t="s">
        <v>1186</v>
      </c>
      <c r="D228" t="s">
        <v>49</v>
      </c>
      <c r="E228" t="s">
        <v>50</v>
      </c>
      <c r="F228" t="s">
        <v>51</v>
      </c>
      <c r="G228" t="s">
        <v>1187</v>
      </c>
      <c r="H228" t="s">
        <v>1188</v>
      </c>
      <c r="I228" t="s">
        <v>1189</v>
      </c>
      <c r="J228" t="s">
        <v>1190</v>
      </c>
      <c r="K228" t="s">
        <v>55</v>
      </c>
      <c r="L228" t="s">
        <v>1191</v>
      </c>
      <c r="M228" t="s">
        <v>57</v>
      </c>
      <c r="N228" t="str">
        <f>"050765"</f>
        <v>050765</v>
      </c>
      <c r="O228" t="s">
        <v>58</v>
      </c>
      <c r="P228" t="s">
        <v>76</v>
      </c>
      <c r="Q228">
        <v>48.7</v>
      </c>
      <c r="R228">
        <v>7.7999999999999972</v>
      </c>
      <c r="S228" t="s">
        <v>130</v>
      </c>
    </row>
    <row r="229" spans="1:19" x14ac:dyDescent="0.35">
      <c r="A229">
        <v>45765</v>
      </c>
      <c r="B229" t="str">
        <f>"045765"</f>
        <v>045765</v>
      </c>
      <c r="C229" t="s">
        <v>1192</v>
      </c>
      <c r="D229" t="s">
        <v>49</v>
      </c>
      <c r="E229" t="s">
        <v>50</v>
      </c>
      <c r="F229" t="s">
        <v>51</v>
      </c>
      <c r="G229" t="s">
        <v>1193</v>
      </c>
      <c r="H229" t="s">
        <v>1194</v>
      </c>
      <c r="I229" t="s">
        <v>1195</v>
      </c>
      <c r="J229" t="s">
        <v>1196</v>
      </c>
      <c r="K229" t="s">
        <v>55</v>
      </c>
      <c r="L229" t="s">
        <v>1197</v>
      </c>
      <c r="M229" t="s">
        <v>57</v>
      </c>
      <c r="N229" t="str">
        <f>"045740"</f>
        <v>045740</v>
      </c>
      <c r="O229" t="s">
        <v>1198</v>
      </c>
      <c r="P229" t="s">
        <v>84</v>
      </c>
      <c r="Q229">
        <v>38.6</v>
      </c>
      <c r="R229">
        <v>14.200000000000003</v>
      </c>
      <c r="S229" t="s">
        <v>156</v>
      </c>
    </row>
    <row r="230" spans="1:19" x14ac:dyDescent="0.35">
      <c r="A230">
        <v>48843</v>
      </c>
      <c r="B230" t="str">
        <f>"048843"</f>
        <v>048843</v>
      </c>
      <c r="C230" t="s">
        <v>1199</v>
      </c>
      <c r="D230" t="s">
        <v>49</v>
      </c>
      <c r="E230" t="s">
        <v>50</v>
      </c>
      <c r="F230" t="s">
        <v>51</v>
      </c>
      <c r="G230" t="s">
        <v>674</v>
      </c>
      <c r="H230" t="s">
        <v>1200</v>
      </c>
      <c r="I230" t="s">
        <v>1201</v>
      </c>
      <c r="J230" t="s">
        <v>1202</v>
      </c>
      <c r="K230" t="s">
        <v>55</v>
      </c>
      <c r="L230" t="s">
        <v>1203</v>
      </c>
      <c r="M230" t="s">
        <v>57</v>
      </c>
      <c r="N230" t="str">
        <f>"125252"</f>
        <v>125252</v>
      </c>
      <c r="O230" t="s">
        <v>90</v>
      </c>
      <c r="P230" t="s">
        <v>76</v>
      </c>
      <c r="Q230">
        <v>48.3</v>
      </c>
      <c r="R230">
        <v>4.5999999999999943</v>
      </c>
      <c r="S230" t="s">
        <v>130</v>
      </c>
    </row>
    <row r="231" spans="1:19" x14ac:dyDescent="0.35">
      <c r="A231">
        <v>44446</v>
      </c>
      <c r="B231" t="str">
        <f>"044446"</f>
        <v>044446</v>
      </c>
      <c r="C231" t="s">
        <v>1204</v>
      </c>
      <c r="D231" t="s">
        <v>49</v>
      </c>
      <c r="E231" t="s">
        <v>50</v>
      </c>
      <c r="F231" t="s">
        <v>51</v>
      </c>
      <c r="G231" t="s">
        <v>493</v>
      </c>
      <c r="H231" t="s">
        <v>1205</v>
      </c>
      <c r="I231" t="s">
        <v>1206</v>
      </c>
      <c r="J231" t="s">
        <v>496</v>
      </c>
      <c r="K231" t="s">
        <v>55</v>
      </c>
      <c r="L231" t="s">
        <v>497</v>
      </c>
      <c r="M231" t="s">
        <v>57</v>
      </c>
      <c r="N231" t="str">
        <f>"050765"</f>
        <v>050765</v>
      </c>
      <c r="O231" t="s">
        <v>58</v>
      </c>
      <c r="P231" t="s">
        <v>76</v>
      </c>
      <c r="Q231">
        <v>100</v>
      </c>
      <c r="R231">
        <v>7.4000000000000057</v>
      </c>
      <c r="S231" t="s">
        <v>130</v>
      </c>
    </row>
    <row r="232" spans="1:19" x14ac:dyDescent="0.35">
      <c r="A232">
        <v>44834</v>
      </c>
      <c r="B232" t="str">
        <f>"044834"</f>
        <v>044834</v>
      </c>
      <c r="C232" t="s">
        <v>1207</v>
      </c>
      <c r="D232" t="s">
        <v>49</v>
      </c>
      <c r="E232" t="s">
        <v>50</v>
      </c>
      <c r="F232" t="s">
        <v>51</v>
      </c>
      <c r="G232" t="s">
        <v>264</v>
      </c>
      <c r="H232" t="s">
        <v>1208</v>
      </c>
      <c r="I232" t="s">
        <v>1209</v>
      </c>
      <c r="J232" t="s">
        <v>1210</v>
      </c>
      <c r="K232" t="s">
        <v>55</v>
      </c>
      <c r="L232" t="s">
        <v>1211</v>
      </c>
      <c r="M232" t="s">
        <v>57</v>
      </c>
      <c r="N232" t="str">
        <f>"050765"</f>
        <v>050765</v>
      </c>
      <c r="O232" t="s">
        <v>58</v>
      </c>
      <c r="P232" t="s">
        <v>59</v>
      </c>
      <c r="Q232">
        <v>29.8</v>
      </c>
      <c r="R232">
        <v>18.299999999999997</v>
      </c>
      <c r="S232" t="s">
        <v>77</v>
      </c>
    </row>
    <row r="233" spans="1:19" x14ac:dyDescent="0.35">
      <c r="A233">
        <v>45161</v>
      </c>
      <c r="B233" t="str">
        <f>"045161"</f>
        <v>045161</v>
      </c>
      <c r="C233" t="s">
        <v>1212</v>
      </c>
      <c r="D233" t="s">
        <v>49</v>
      </c>
      <c r="E233" t="s">
        <v>50</v>
      </c>
      <c r="F233" t="s">
        <v>51</v>
      </c>
      <c r="G233" t="s">
        <v>383</v>
      </c>
      <c r="H233" t="s">
        <v>1213</v>
      </c>
      <c r="I233" t="s">
        <v>1214</v>
      </c>
      <c r="J233" t="s">
        <v>1215</v>
      </c>
      <c r="K233" t="s">
        <v>55</v>
      </c>
      <c r="L233" t="s">
        <v>1216</v>
      </c>
      <c r="M233" t="s">
        <v>57</v>
      </c>
      <c r="N233" t="str">
        <f>"050765"</f>
        <v>050765</v>
      </c>
      <c r="O233" t="s">
        <v>58</v>
      </c>
      <c r="P233" t="s">
        <v>281</v>
      </c>
      <c r="Q233">
        <v>99.9</v>
      </c>
      <c r="R233">
        <v>86.9</v>
      </c>
      <c r="S233" t="s">
        <v>77</v>
      </c>
    </row>
    <row r="234" spans="1:19" x14ac:dyDescent="0.35">
      <c r="A234">
        <v>46276</v>
      </c>
      <c r="B234" t="str">
        <f>"046276"</f>
        <v>046276</v>
      </c>
      <c r="C234" t="s">
        <v>1217</v>
      </c>
      <c r="D234" t="s">
        <v>49</v>
      </c>
      <c r="E234" t="s">
        <v>50</v>
      </c>
      <c r="F234" t="s">
        <v>51</v>
      </c>
      <c r="G234" t="s">
        <v>777</v>
      </c>
      <c r="H234" t="s">
        <v>1218</v>
      </c>
      <c r="I234" t="s">
        <v>1219</v>
      </c>
      <c r="J234" t="s">
        <v>1220</v>
      </c>
      <c r="K234" t="s">
        <v>55</v>
      </c>
      <c r="L234" t="s">
        <v>1221</v>
      </c>
      <c r="M234" t="s">
        <v>57</v>
      </c>
      <c r="N234" t="str">
        <f>"046227"</f>
        <v>046227</v>
      </c>
      <c r="O234" t="s">
        <v>782</v>
      </c>
      <c r="P234" t="s">
        <v>84</v>
      </c>
      <c r="Q234">
        <v>28.9</v>
      </c>
      <c r="R234">
        <v>5.5</v>
      </c>
      <c r="S234" t="s">
        <v>180</v>
      </c>
    </row>
    <row r="235" spans="1:19" x14ac:dyDescent="0.35">
      <c r="A235">
        <v>49148</v>
      </c>
      <c r="B235" t="str">
        <f>"049148"</f>
        <v>049148</v>
      </c>
      <c r="C235" t="s">
        <v>1222</v>
      </c>
      <c r="D235" t="s">
        <v>49</v>
      </c>
      <c r="E235" t="s">
        <v>50</v>
      </c>
      <c r="F235" t="s">
        <v>51</v>
      </c>
      <c r="G235" t="s">
        <v>194</v>
      </c>
      <c r="H235" t="s">
        <v>1223</v>
      </c>
      <c r="I235" t="s">
        <v>1224</v>
      </c>
      <c r="J235" t="s">
        <v>1225</v>
      </c>
      <c r="K235" t="s">
        <v>55</v>
      </c>
      <c r="L235" t="s">
        <v>1226</v>
      </c>
      <c r="M235" t="s">
        <v>57</v>
      </c>
      <c r="N235" t="str">
        <f>"050765"</f>
        <v>050765</v>
      </c>
      <c r="O235" t="s">
        <v>58</v>
      </c>
      <c r="P235" t="s">
        <v>84</v>
      </c>
      <c r="Q235">
        <v>81.5</v>
      </c>
      <c r="R235">
        <v>5.2000000000000028</v>
      </c>
      <c r="S235" t="s">
        <v>130</v>
      </c>
    </row>
    <row r="236" spans="1:19" x14ac:dyDescent="0.35">
      <c r="A236">
        <v>50989</v>
      </c>
      <c r="B236" t="str">
        <f>"050989"</f>
        <v>050989</v>
      </c>
      <c r="C236" t="s">
        <v>1227</v>
      </c>
      <c r="D236" t="s">
        <v>49</v>
      </c>
      <c r="E236" t="s">
        <v>163</v>
      </c>
      <c r="F236" t="s">
        <v>51</v>
      </c>
      <c r="G236" t="s">
        <v>52</v>
      </c>
      <c r="H236" t="s">
        <v>837</v>
      </c>
      <c r="I236" t="s">
        <v>838</v>
      </c>
      <c r="J236" t="s">
        <v>52</v>
      </c>
      <c r="K236" t="s">
        <v>55</v>
      </c>
      <c r="L236" t="s">
        <v>56</v>
      </c>
      <c r="M236" t="s">
        <v>57</v>
      </c>
      <c r="N236" t="str">
        <f>"050765"</f>
        <v>050765</v>
      </c>
      <c r="O236" t="s">
        <v>58</v>
      </c>
      <c r="P236" t="s">
        <v>68</v>
      </c>
      <c r="Q236" t="s">
        <v>68</v>
      </c>
      <c r="R236" t="s">
        <v>68</v>
      </c>
      <c r="S236" t="s">
        <v>60</v>
      </c>
    </row>
    <row r="237" spans="1:19" x14ac:dyDescent="0.35">
      <c r="A237">
        <v>50351</v>
      </c>
      <c r="B237" t="str">
        <f>"050351"</f>
        <v>050351</v>
      </c>
      <c r="C237" t="s">
        <v>1228</v>
      </c>
      <c r="D237" t="s">
        <v>49</v>
      </c>
      <c r="E237" t="s">
        <v>50</v>
      </c>
      <c r="F237" t="s">
        <v>51</v>
      </c>
      <c r="G237" t="s">
        <v>1020</v>
      </c>
      <c r="H237" t="s">
        <v>1229</v>
      </c>
      <c r="I237" t="s">
        <v>1230</v>
      </c>
      <c r="J237" t="s">
        <v>1231</v>
      </c>
      <c r="K237" t="s">
        <v>55</v>
      </c>
      <c r="L237" t="s">
        <v>1232</v>
      </c>
      <c r="M237" t="s">
        <v>57</v>
      </c>
      <c r="N237" t="str">
        <f>"134999"</f>
        <v>134999</v>
      </c>
      <c r="O237" t="s">
        <v>439</v>
      </c>
      <c r="P237" t="s">
        <v>76</v>
      </c>
      <c r="Q237">
        <v>29</v>
      </c>
      <c r="R237">
        <v>6.5</v>
      </c>
      <c r="S237" t="s">
        <v>156</v>
      </c>
    </row>
    <row r="238" spans="1:19" x14ac:dyDescent="0.35">
      <c r="A238">
        <v>200021</v>
      </c>
      <c r="B238" t="str">
        <f>"200021"</f>
        <v>200021</v>
      </c>
      <c r="C238" t="s">
        <v>1233</v>
      </c>
      <c r="D238" t="s">
        <v>49</v>
      </c>
      <c r="E238" t="s">
        <v>62</v>
      </c>
      <c r="F238" t="s">
        <v>51</v>
      </c>
      <c r="G238" t="s">
        <v>63</v>
      </c>
      <c r="H238" t="s">
        <v>1234</v>
      </c>
      <c r="I238" t="s">
        <v>1235</v>
      </c>
      <c r="J238" t="s">
        <v>1236</v>
      </c>
      <c r="K238" t="s">
        <v>55</v>
      </c>
      <c r="L238" t="s">
        <v>1237</v>
      </c>
      <c r="M238" t="s">
        <v>57</v>
      </c>
      <c r="N238" t="str">
        <f>"N/A"</f>
        <v>N/A</v>
      </c>
      <c r="O238" t="s">
        <v>49</v>
      </c>
      <c r="P238" t="s">
        <v>68</v>
      </c>
      <c r="Q238" t="s">
        <v>68</v>
      </c>
      <c r="R238" t="s">
        <v>68</v>
      </c>
      <c r="S238" t="s">
        <v>69</v>
      </c>
    </row>
    <row r="239" spans="1:19" x14ac:dyDescent="0.35">
      <c r="A239">
        <v>200070</v>
      </c>
      <c r="B239" t="str">
        <f>"200070"</f>
        <v>200070</v>
      </c>
      <c r="C239" t="s">
        <v>1238</v>
      </c>
      <c r="D239" t="s">
        <v>49</v>
      </c>
      <c r="E239" t="s">
        <v>62</v>
      </c>
      <c r="F239" t="s">
        <v>51</v>
      </c>
      <c r="G239" t="s">
        <v>1239</v>
      </c>
      <c r="H239" t="s">
        <v>1240</v>
      </c>
      <c r="I239" t="s">
        <v>1241</v>
      </c>
      <c r="J239" t="s">
        <v>1242</v>
      </c>
      <c r="K239" t="s">
        <v>55</v>
      </c>
      <c r="L239" t="s">
        <v>1243</v>
      </c>
      <c r="M239" t="s">
        <v>57</v>
      </c>
      <c r="N239" t="str">
        <f>"N/A"</f>
        <v>N/A</v>
      </c>
      <c r="O239" t="s">
        <v>49</v>
      </c>
      <c r="P239" t="s">
        <v>68</v>
      </c>
      <c r="Q239" t="s">
        <v>68</v>
      </c>
      <c r="R239" t="s">
        <v>68</v>
      </c>
      <c r="S239" t="s">
        <v>130</v>
      </c>
    </row>
    <row r="240" spans="1:19" x14ac:dyDescent="0.35">
      <c r="A240">
        <v>43604</v>
      </c>
      <c r="B240" t="str">
        <f>"043604"</f>
        <v>043604</v>
      </c>
      <c r="C240" t="s">
        <v>1244</v>
      </c>
      <c r="D240" t="s">
        <v>49</v>
      </c>
      <c r="E240" t="s">
        <v>50</v>
      </c>
      <c r="F240" t="s">
        <v>51</v>
      </c>
      <c r="G240" t="s">
        <v>124</v>
      </c>
      <c r="H240" t="s">
        <v>1245</v>
      </c>
      <c r="I240" t="s">
        <v>1246</v>
      </c>
      <c r="J240" t="s">
        <v>1247</v>
      </c>
      <c r="K240" t="s">
        <v>55</v>
      </c>
      <c r="L240" t="s">
        <v>1248</v>
      </c>
      <c r="M240" t="s">
        <v>57</v>
      </c>
      <c r="N240" t="str">
        <f>"050765"</f>
        <v>050765</v>
      </c>
      <c r="O240" t="s">
        <v>58</v>
      </c>
      <c r="P240" t="s">
        <v>84</v>
      </c>
      <c r="Q240">
        <v>48.2</v>
      </c>
      <c r="R240">
        <v>10.700000000000003</v>
      </c>
      <c r="S240" t="s">
        <v>130</v>
      </c>
    </row>
    <row r="241" spans="1:19" x14ac:dyDescent="0.35">
      <c r="A241">
        <v>48751</v>
      </c>
      <c r="B241" t="str">
        <f>"048751"</f>
        <v>048751</v>
      </c>
      <c r="C241" t="s">
        <v>1249</v>
      </c>
      <c r="D241" t="s">
        <v>49</v>
      </c>
      <c r="E241" t="s">
        <v>50</v>
      </c>
      <c r="F241" t="s">
        <v>51</v>
      </c>
      <c r="G241" t="s">
        <v>543</v>
      </c>
      <c r="H241" t="s">
        <v>1250</v>
      </c>
      <c r="I241" t="s">
        <v>1251</v>
      </c>
      <c r="J241" t="s">
        <v>1252</v>
      </c>
      <c r="K241" t="s">
        <v>55</v>
      </c>
      <c r="L241" t="s">
        <v>1253</v>
      </c>
      <c r="M241" t="s">
        <v>57</v>
      </c>
      <c r="N241" t="str">
        <f>"050765"</f>
        <v>050765</v>
      </c>
      <c r="O241" t="s">
        <v>58</v>
      </c>
      <c r="P241" t="s">
        <v>281</v>
      </c>
      <c r="Q241">
        <v>49.4</v>
      </c>
      <c r="R241">
        <v>46.3</v>
      </c>
      <c r="S241" t="s">
        <v>180</v>
      </c>
    </row>
    <row r="242" spans="1:19" x14ac:dyDescent="0.35">
      <c r="A242">
        <v>50674</v>
      </c>
      <c r="B242" t="str">
        <f>"050674"</f>
        <v>050674</v>
      </c>
      <c r="C242" t="s">
        <v>1254</v>
      </c>
      <c r="D242" t="s">
        <v>49</v>
      </c>
      <c r="E242" t="s">
        <v>50</v>
      </c>
      <c r="F242" t="s">
        <v>51</v>
      </c>
      <c r="G242" t="s">
        <v>226</v>
      </c>
      <c r="H242" t="s">
        <v>1255</v>
      </c>
      <c r="I242" t="s">
        <v>1256</v>
      </c>
      <c r="J242" t="s">
        <v>1257</v>
      </c>
      <c r="K242" t="s">
        <v>55</v>
      </c>
      <c r="L242" t="s">
        <v>1258</v>
      </c>
      <c r="M242" t="s">
        <v>57</v>
      </c>
      <c r="N242" t="str">
        <f>"050666"</f>
        <v>050666</v>
      </c>
      <c r="O242" t="s">
        <v>231</v>
      </c>
      <c r="P242" t="s">
        <v>84</v>
      </c>
      <c r="Q242">
        <v>25.1</v>
      </c>
      <c r="R242">
        <v>10.299999999999997</v>
      </c>
      <c r="S242" t="s">
        <v>156</v>
      </c>
    </row>
    <row r="243" spans="1:19" x14ac:dyDescent="0.35">
      <c r="A243">
        <v>47845</v>
      </c>
      <c r="B243" t="str">
        <f>"047845"</f>
        <v>047845</v>
      </c>
      <c r="C243" t="s">
        <v>1259</v>
      </c>
      <c r="D243" t="s">
        <v>49</v>
      </c>
      <c r="E243" t="s">
        <v>50</v>
      </c>
      <c r="F243" t="s">
        <v>51</v>
      </c>
      <c r="G243" t="s">
        <v>901</v>
      </c>
      <c r="H243" t="s">
        <v>1260</v>
      </c>
      <c r="I243" t="s">
        <v>1261</v>
      </c>
      <c r="J243" t="s">
        <v>1262</v>
      </c>
      <c r="K243" t="s">
        <v>55</v>
      </c>
      <c r="L243" t="s">
        <v>1263</v>
      </c>
      <c r="M243" t="s">
        <v>57</v>
      </c>
      <c r="N243" t="str">
        <f>"047811"</f>
        <v>047811</v>
      </c>
      <c r="O243" t="s">
        <v>934</v>
      </c>
      <c r="P243" t="s">
        <v>76</v>
      </c>
      <c r="Q243">
        <v>34</v>
      </c>
      <c r="R243">
        <v>7.2999999999999972</v>
      </c>
      <c r="S243" t="s">
        <v>60</v>
      </c>
    </row>
    <row r="244" spans="1:19" x14ac:dyDescent="0.35">
      <c r="A244">
        <v>48520</v>
      </c>
      <c r="B244" t="str">
        <f>"048520"</f>
        <v>048520</v>
      </c>
      <c r="C244" t="s">
        <v>1264</v>
      </c>
      <c r="D244" t="s">
        <v>49</v>
      </c>
      <c r="E244" t="s">
        <v>50</v>
      </c>
      <c r="F244" t="s">
        <v>51</v>
      </c>
      <c r="G244" t="s">
        <v>966</v>
      </c>
      <c r="H244" t="s">
        <v>967</v>
      </c>
      <c r="I244" t="s">
        <v>968</v>
      </c>
      <c r="J244" t="s">
        <v>969</v>
      </c>
      <c r="K244" t="s">
        <v>55</v>
      </c>
      <c r="L244" t="s">
        <v>970</v>
      </c>
      <c r="M244" t="s">
        <v>57</v>
      </c>
      <c r="N244" t="str">
        <f>"135145"</f>
        <v>135145</v>
      </c>
      <c r="O244" t="s">
        <v>503</v>
      </c>
      <c r="P244" t="s">
        <v>76</v>
      </c>
      <c r="Q244">
        <v>99.9</v>
      </c>
      <c r="R244">
        <v>5.5</v>
      </c>
      <c r="S244" t="s">
        <v>130</v>
      </c>
    </row>
    <row r="245" spans="1:19" x14ac:dyDescent="0.35">
      <c r="A245">
        <v>51698</v>
      </c>
      <c r="B245" t="str">
        <f>"051698"</f>
        <v>051698</v>
      </c>
      <c r="C245" t="s">
        <v>1265</v>
      </c>
      <c r="D245" t="s">
        <v>49</v>
      </c>
      <c r="E245" t="s">
        <v>163</v>
      </c>
      <c r="F245" t="s">
        <v>51</v>
      </c>
      <c r="G245" t="s">
        <v>124</v>
      </c>
      <c r="H245" t="s">
        <v>1266</v>
      </c>
      <c r="I245" t="s">
        <v>1267</v>
      </c>
      <c r="J245" t="s">
        <v>586</v>
      </c>
      <c r="K245" t="s">
        <v>55</v>
      </c>
      <c r="L245" t="s">
        <v>587</v>
      </c>
      <c r="M245" t="s">
        <v>57</v>
      </c>
      <c r="N245" t="str">
        <f>"050765"</f>
        <v>050765</v>
      </c>
      <c r="O245" t="s">
        <v>58</v>
      </c>
      <c r="P245" t="s">
        <v>68</v>
      </c>
      <c r="Q245" t="s">
        <v>68</v>
      </c>
      <c r="R245" t="s">
        <v>68</v>
      </c>
      <c r="S245" t="s">
        <v>130</v>
      </c>
    </row>
    <row r="246" spans="1:19" x14ac:dyDescent="0.35">
      <c r="A246">
        <v>44198</v>
      </c>
      <c r="B246" t="str">
        <f>"044198"</f>
        <v>044198</v>
      </c>
      <c r="C246" t="s">
        <v>1268</v>
      </c>
      <c r="D246" t="s">
        <v>49</v>
      </c>
      <c r="E246" t="s">
        <v>50</v>
      </c>
      <c r="F246" t="s">
        <v>51</v>
      </c>
      <c r="G246" t="s">
        <v>63</v>
      </c>
      <c r="H246" t="s">
        <v>1269</v>
      </c>
      <c r="I246" t="s">
        <v>1270</v>
      </c>
      <c r="J246" t="s">
        <v>1271</v>
      </c>
      <c r="K246" t="s">
        <v>55</v>
      </c>
      <c r="L246" t="s">
        <v>1272</v>
      </c>
      <c r="M246" t="s">
        <v>57</v>
      </c>
      <c r="N246" t="str">
        <f>"050765"</f>
        <v>050765</v>
      </c>
      <c r="O246" t="s">
        <v>58</v>
      </c>
      <c r="P246" t="s">
        <v>59</v>
      </c>
      <c r="Q246">
        <v>40.5</v>
      </c>
      <c r="R246">
        <v>24.900000000000006</v>
      </c>
      <c r="S246" t="s">
        <v>69</v>
      </c>
    </row>
    <row r="247" spans="1:19" x14ac:dyDescent="0.35">
      <c r="A247">
        <v>46631</v>
      </c>
      <c r="B247" t="str">
        <f>"046631"</f>
        <v>046631</v>
      </c>
      <c r="C247" t="s">
        <v>1273</v>
      </c>
      <c r="D247" t="s">
        <v>49</v>
      </c>
      <c r="E247" t="s">
        <v>50</v>
      </c>
      <c r="F247" t="s">
        <v>51</v>
      </c>
      <c r="G247" t="s">
        <v>175</v>
      </c>
      <c r="H247" t="s">
        <v>1274</v>
      </c>
      <c r="I247" t="s">
        <v>1275</v>
      </c>
      <c r="J247" t="s">
        <v>597</v>
      </c>
      <c r="K247" t="s">
        <v>55</v>
      </c>
      <c r="L247" t="s">
        <v>598</v>
      </c>
      <c r="M247" t="s">
        <v>57</v>
      </c>
      <c r="N247" t="str">
        <f>"046615"</f>
        <v>046615</v>
      </c>
      <c r="O247" t="s">
        <v>381</v>
      </c>
      <c r="P247" t="s">
        <v>76</v>
      </c>
      <c r="Q247">
        <v>19.899999999999999</v>
      </c>
      <c r="R247">
        <v>3.7999999999999972</v>
      </c>
      <c r="S247" t="s">
        <v>180</v>
      </c>
    </row>
    <row r="248" spans="1:19" x14ac:dyDescent="0.35">
      <c r="A248">
        <v>50542</v>
      </c>
      <c r="B248" t="str">
        <f>"050542"</f>
        <v>050542</v>
      </c>
      <c r="C248" t="s">
        <v>1276</v>
      </c>
      <c r="D248" t="s">
        <v>49</v>
      </c>
      <c r="E248" t="s">
        <v>50</v>
      </c>
      <c r="F248" t="s">
        <v>51</v>
      </c>
      <c r="G248" t="s">
        <v>187</v>
      </c>
      <c r="H248" t="s">
        <v>1277</v>
      </c>
      <c r="I248" t="s">
        <v>1278</v>
      </c>
      <c r="J248" t="s">
        <v>1279</v>
      </c>
      <c r="K248" t="s">
        <v>55</v>
      </c>
      <c r="L248" t="s">
        <v>1280</v>
      </c>
      <c r="M248" t="s">
        <v>57</v>
      </c>
      <c r="N248" t="str">
        <f>"050526"</f>
        <v>050526</v>
      </c>
      <c r="O248" t="s">
        <v>192</v>
      </c>
      <c r="P248" t="s">
        <v>84</v>
      </c>
      <c r="Q248">
        <v>21.5</v>
      </c>
      <c r="R248">
        <v>11.400000000000006</v>
      </c>
      <c r="S248" t="s">
        <v>77</v>
      </c>
    </row>
    <row r="249" spans="1:19" x14ac:dyDescent="0.35">
      <c r="A249">
        <v>91686</v>
      </c>
      <c r="B249" t="str">
        <f>"091686"</f>
        <v>091686</v>
      </c>
      <c r="C249" t="s">
        <v>1281</v>
      </c>
      <c r="D249" t="s">
        <v>49</v>
      </c>
      <c r="E249" t="s">
        <v>606</v>
      </c>
      <c r="F249" t="s">
        <v>51</v>
      </c>
      <c r="G249" t="s">
        <v>543</v>
      </c>
      <c r="H249" t="s">
        <v>1282</v>
      </c>
      <c r="I249" t="s">
        <v>1283</v>
      </c>
      <c r="J249" t="s">
        <v>790</v>
      </c>
      <c r="K249" t="s">
        <v>55</v>
      </c>
      <c r="L249" t="s">
        <v>791</v>
      </c>
      <c r="M249" t="s">
        <v>57</v>
      </c>
      <c r="N249" t="str">
        <f>"000129"</f>
        <v>000129</v>
      </c>
      <c r="O249" t="s">
        <v>1284</v>
      </c>
      <c r="P249" t="s">
        <v>68</v>
      </c>
      <c r="Q249" t="s">
        <v>68</v>
      </c>
      <c r="R249" t="s">
        <v>68</v>
      </c>
      <c r="S249" t="s">
        <v>180</v>
      </c>
    </row>
    <row r="250" spans="1:19" x14ac:dyDescent="0.35">
      <c r="A250">
        <v>45633</v>
      </c>
      <c r="B250" t="str">
        <f>"045633"</f>
        <v>045633</v>
      </c>
      <c r="C250" t="s">
        <v>1285</v>
      </c>
      <c r="D250" t="s">
        <v>49</v>
      </c>
      <c r="E250" t="s">
        <v>50</v>
      </c>
      <c r="F250" t="s">
        <v>51</v>
      </c>
      <c r="G250" t="s">
        <v>175</v>
      </c>
      <c r="H250" t="s">
        <v>1286</v>
      </c>
      <c r="I250" t="s">
        <v>1287</v>
      </c>
      <c r="J250" t="s">
        <v>1288</v>
      </c>
      <c r="K250" t="s">
        <v>55</v>
      </c>
      <c r="L250" t="s">
        <v>1289</v>
      </c>
      <c r="M250" t="s">
        <v>57</v>
      </c>
      <c r="N250" t="str">
        <f>"050765"</f>
        <v>050765</v>
      </c>
      <c r="O250" t="s">
        <v>58</v>
      </c>
      <c r="P250" t="s">
        <v>76</v>
      </c>
      <c r="Q250">
        <v>11</v>
      </c>
      <c r="R250">
        <v>2.7999999999999972</v>
      </c>
      <c r="S250" t="s">
        <v>180</v>
      </c>
    </row>
    <row r="251" spans="1:19" x14ac:dyDescent="0.35">
      <c r="A251">
        <v>47183</v>
      </c>
      <c r="B251" t="str">
        <f>"047183"</f>
        <v>047183</v>
      </c>
      <c r="C251" t="s">
        <v>1290</v>
      </c>
      <c r="D251" t="s">
        <v>49</v>
      </c>
      <c r="E251" t="s">
        <v>50</v>
      </c>
      <c r="F251" t="s">
        <v>51</v>
      </c>
      <c r="G251" t="s">
        <v>511</v>
      </c>
      <c r="H251" t="s">
        <v>1291</v>
      </c>
      <c r="I251" t="s">
        <v>1292</v>
      </c>
      <c r="J251" t="s">
        <v>1293</v>
      </c>
      <c r="K251" t="s">
        <v>55</v>
      </c>
      <c r="L251" t="s">
        <v>1294</v>
      </c>
      <c r="M251" t="s">
        <v>57</v>
      </c>
      <c r="N251" t="str">
        <f>"046532"</f>
        <v>046532</v>
      </c>
      <c r="O251" t="s">
        <v>509</v>
      </c>
      <c r="P251" t="s">
        <v>59</v>
      </c>
      <c r="Q251">
        <v>18.600000000000001</v>
      </c>
      <c r="R251">
        <v>9.5999999999999943</v>
      </c>
      <c r="S251" t="s">
        <v>69</v>
      </c>
    </row>
    <row r="252" spans="1:19" x14ac:dyDescent="0.35">
      <c r="A252">
        <v>49726</v>
      </c>
      <c r="B252" t="str">
        <f>"049726"</f>
        <v>049726</v>
      </c>
      <c r="C252" t="s">
        <v>1295</v>
      </c>
      <c r="D252" t="s">
        <v>49</v>
      </c>
      <c r="E252" t="s">
        <v>50</v>
      </c>
      <c r="F252" t="s">
        <v>51</v>
      </c>
      <c r="G252" t="s">
        <v>1296</v>
      </c>
      <c r="H252" t="s">
        <v>1297</v>
      </c>
      <c r="I252" t="s">
        <v>1298</v>
      </c>
      <c r="J252" t="s">
        <v>1299</v>
      </c>
      <c r="K252" t="s">
        <v>55</v>
      </c>
      <c r="L252" t="s">
        <v>1300</v>
      </c>
      <c r="M252" t="s">
        <v>57</v>
      </c>
      <c r="N252" t="str">
        <f>"123257"</f>
        <v>123257</v>
      </c>
      <c r="O252" t="s">
        <v>316</v>
      </c>
      <c r="P252" t="s">
        <v>76</v>
      </c>
      <c r="Q252">
        <v>30.8</v>
      </c>
      <c r="R252">
        <v>11.599999999999994</v>
      </c>
      <c r="S252" t="s">
        <v>156</v>
      </c>
    </row>
    <row r="253" spans="1:19" x14ac:dyDescent="0.35">
      <c r="A253">
        <v>200089</v>
      </c>
      <c r="B253" t="str">
        <f>"200089"</f>
        <v>200089</v>
      </c>
      <c r="C253" t="s">
        <v>1301</v>
      </c>
      <c r="D253" t="s">
        <v>49</v>
      </c>
      <c r="E253" t="s">
        <v>62</v>
      </c>
      <c r="F253" t="s">
        <v>51</v>
      </c>
      <c r="G253" t="s">
        <v>117</v>
      </c>
      <c r="H253" t="s">
        <v>1302</v>
      </c>
      <c r="I253" t="s">
        <v>1303</v>
      </c>
      <c r="J253" t="s">
        <v>120</v>
      </c>
      <c r="K253" t="s">
        <v>55</v>
      </c>
      <c r="L253" t="s">
        <v>121</v>
      </c>
      <c r="M253" t="s">
        <v>57</v>
      </c>
      <c r="N253" t="str">
        <f>"N/A"</f>
        <v>N/A</v>
      </c>
      <c r="O253" t="s">
        <v>49</v>
      </c>
      <c r="P253" t="s">
        <v>68</v>
      </c>
      <c r="Q253" t="s">
        <v>68</v>
      </c>
      <c r="R253" t="s">
        <v>68</v>
      </c>
      <c r="S253" t="s">
        <v>77</v>
      </c>
    </row>
    <row r="254" spans="1:19" x14ac:dyDescent="0.35">
      <c r="A254">
        <v>45807</v>
      </c>
      <c r="B254" t="str">
        <f>"045807"</f>
        <v>045807</v>
      </c>
      <c r="C254" t="s">
        <v>1304</v>
      </c>
      <c r="D254" t="s">
        <v>49</v>
      </c>
      <c r="E254" t="s">
        <v>50</v>
      </c>
      <c r="F254" t="s">
        <v>51</v>
      </c>
      <c r="G254" t="s">
        <v>1193</v>
      </c>
      <c r="H254" t="s">
        <v>1305</v>
      </c>
      <c r="I254" t="s">
        <v>1306</v>
      </c>
      <c r="J254" t="s">
        <v>1307</v>
      </c>
      <c r="K254" t="s">
        <v>55</v>
      </c>
      <c r="L254" t="s">
        <v>1308</v>
      </c>
      <c r="M254" t="s">
        <v>57</v>
      </c>
      <c r="N254" t="str">
        <f>"045740"</f>
        <v>045740</v>
      </c>
      <c r="O254" t="s">
        <v>1198</v>
      </c>
      <c r="P254" t="s">
        <v>76</v>
      </c>
      <c r="Q254">
        <v>33.799999999999997</v>
      </c>
      <c r="R254">
        <v>7.2000000000000028</v>
      </c>
      <c r="S254" t="s">
        <v>156</v>
      </c>
    </row>
    <row r="255" spans="1:19" x14ac:dyDescent="0.35">
      <c r="A255">
        <v>48025</v>
      </c>
      <c r="B255" t="str">
        <f>"048025"</f>
        <v>048025</v>
      </c>
      <c r="C255" t="s">
        <v>1309</v>
      </c>
      <c r="D255" t="s">
        <v>49</v>
      </c>
      <c r="E255" t="s">
        <v>50</v>
      </c>
      <c r="F255" t="s">
        <v>51</v>
      </c>
      <c r="G255" t="s">
        <v>110</v>
      </c>
      <c r="H255" t="s">
        <v>1310</v>
      </c>
      <c r="I255" t="s">
        <v>1311</v>
      </c>
      <c r="J255" t="s">
        <v>1312</v>
      </c>
      <c r="K255" t="s">
        <v>55</v>
      </c>
      <c r="L255" t="s">
        <v>1313</v>
      </c>
      <c r="M255" t="s">
        <v>57</v>
      </c>
      <c r="N255" t="str">
        <f>"047977"</f>
        <v>047977</v>
      </c>
      <c r="O255" t="s">
        <v>115</v>
      </c>
      <c r="P255" t="s">
        <v>76</v>
      </c>
      <c r="Q255">
        <v>38.4</v>
      </c>
      <c r="R255">
        <v>4.7999999999999972</v>
      </c>
      <c r="S255" t="s">
        <v>60</v>
      </c>
    </row>
    <row r="256" spans="1:19" x14ac:dyDescent="0.35">
      <c r="A256">
        <v>49999</v>
      </c>
      <c r="B256" t="str">
        <f>"049999"</f>
        <v>049999</v>
      </c>
      <c r="C256" t="s">
        <v>1314</v>
      </c>
      <c r="D256" t="s">
        <v>49</v>
      </c>
      <c r="E256" t="s">
        <v>50</v>
      </c>
      <c r="F256" t="s">
        <v>51</v>
      </c>
      <c r="G256" t="s">
        <v>264</v>
      </c>
      <c r="H256" t="s">
        <v>1315</v>
      </c>
      <c r="I256" t="s">
        <v>1316</v>
      </c>
      <c r="J256" t="s">
        <v>1317</v>
      </c>
      <c r="K256" t="s">
        <v>55</v>
      </c>
      <c r="L256" t="s">
        <v>1318</v>
      </c>
      <c r="M256" t="s">
        <v>57</v>
      </c>
      <c r="N256" t="str">
        <f>"049965"</f>
        <v>049965</v>
      </c>
      <c r="O256" t="s">
        <v>269</v>
      </c>
      <c r="P256" t="s">
        <v>84</v>
      </c>
      <c r="Q256">
        <v>53.9</v>
      </c>
      <c r="R256">
        <v>16</v>
      </c>
      <c r="S256" t="s">
        <v>77</v>
      </c>
    </row>
    <row r="257" spans="1:19" x14ac:dyDescent="0.35">
      <c r="A257">
        <v>46755</v>
      </c>
      <c r="B257" t="str">
        <f>"046755"</f>
        <v>046755</v>
      </c>
      <c r="C257" t="s">
        <v>1319</v>
      </c>
      <c r="D257" t="s">
        <v>49</v>
      </c>
      <c r="E257" t="s">
        <v>50</v>
      </c>
      <c r="F257" t="s">
        <v>51</v>
      </c>
      <c r="G257" t="s">
        <v>52</v>
      </c>
      <c r="H257" t="s">
        <v>1320</v>
      </c>
      <c r="I257" t="s">
        <v>1321</v>
      </c>
      <c r="J257" t="s">
        <v>52</v>
      </c>
      <c r="K257" t="s">
        <v>55</v>
      </c>
      <c r="L257" t="s">
        <v>56</v>
      </c>
      <c r="M257" t="s">
        <v>57</v>
      </c>
      <c r="N257" t="str">
        <f>"046938"</f>
        <v>046938</v>
      </c>
      <c r="O257" t="s">
        <v>1029</v>
      </c>
      <c r="P257" t="s">
        <v>84</v>
      </c>
      <c r="Q257">
        <v>15.8</v>
      </c>
      <c r="R257">
        <v>10.799999999999997</v>
      </c>
      <c r="S257" t="s">
        <v>60</v>
      </c>
    </row>
    <row r="258" spans="1:19" x14ac:dyDescent="0.35">
      <c r="A258">
        <v>47043</v>
      </c>
      <c r="B258" t="str">
        <f>"047043"</f>
        <v>047043</v>
      </c>
      <c r="C258" t="s">
        <v>1322</v>
      </c>
      <c r="D258" t="s">
        <v>49</v>
      </c>
      <c r="E258" t="s">
        <v>50</v>
      </c>
      <c r="F258" t="s">
        <v>51</v>
      </c>
      <c r="G258" t="s">
        <v>344</v>
      </c>
      <c r="H258" t="s">
        <v>1323</v>
      </c>
      <c r="I258" t="s">
        <v>1324</v>
      </c>
      <c r="J258" t="s">
        <v>274</v>
      </c>
      <c r="K258" t="s">
        <v>55</v>
      </c>
      <c r="L258" t="s">
        <v>275</v>
      </c>
      <c r="M258" t="s">
        <v>57</v>
      </c>
      <c r="N258" t="str">
        <f>"124297"</f>
        <v>124297</v>
      </c>
      <c r="O258" t="s">
        <v>349</v>
      </c>
      <c r="P258" t="s">
        <v>84</v>
      </c>
      <c r="Q258">
        <v>21</v>
      </c>
      <c r="R258">
        <v>20.900000000000006</v>
      </c>
      <c r="S258" t="s">
        <v>156</v>
      </c>
    </row>
    <row r="259" spans="1:19" x14ac:dyDescent="0.35">
      <c r="A259">
        <v>48579</v>
      </c>
      <c r="B259" t="str">
        <f>"048579"</f>
        <v>048579</v>
      </c>
      <c r="C259" t="s">
        <v>1325</v>
      </c>
      <c r="D259" t="s">
        <v>49</v>
      </c>
      <c r="E259" t="s">
        <v>50</v>
      </c>
      <c r="F259" t="s">
        <v>51</v>
      </c>
      <c r="G259" t="s">
        <v>423</v>
      </c>
      <c r="H259" t="s">
        <v>1326</v>
      </c>
      <c r="I259" t="s">
        <v>1327</v>
      </c>
      <c r="J259" t="s">
        <v>1328</v>
      </c>
      <c r="K259" t="s">
        <v>55</v>
      </c>
      <c r="L259" t="s">
        <v>1329</v>
      </c>
      <c r="M259" t="s">
        <v>57</v>
      </c>
      <c r="N259" t="str">
        <f>"048546"</f>
        <v>048546</v>
      </c>
      <c r="O259" t="s">
        <v>1330</v>
      </c>
      <c r="P259" t="s">
        <v>76</v>
      </c>
      <c r="Q259">
        <v>27.6</v>
      </c>
      <c r="R259">
        <v>5.2999999999999972</v>
      </c>
      <c r="S259" t="s">
        <v>156</v>
      </c>
    </row>
    <row r="260" spans="1:19" x14ac:dyDescent="0.35">
      <c r="A260">
        <v>44636</v>
      </c>
      <c r="B260" t="str">
        <f>"044636"</f>
        <v>044636</v>
      </c>
      <c r="C260" t="s">
        <v>1331</v>
      </c>
      <c r="D260" t="s">
        <v>49</v>
      </c>
      <c r="E260" t="s">
        <v>50</v>
      </c>
      <c r="F260" t="s">
        <v>51</v>
      </c>
      <c r="G260" t="s">
        <v>63</v>
      </c>
      <c r="H260" t="s">
        <v>1332</v>
      </c>
      <c r="I260" t="s">
        <v>1333</v>
      </c>
      <c r="J260" t="s">
        <v>66</v>
      </c>
      <c r="K260" t="s">
        <v>55</v>
      </c>
      <c r="L260" t="s">
        <v>67</v>
      </c>
      <c r="M260" t="s">
        <v>57</v>
      </c>
      <c r="N260" t="str">
        <f>"050765"</f>
        <v>050765</v>
      </c>
      <c r="O260" t="s">
        <v>58</v>
      </c>
      <c r="P260" t="s">
        <v>281</v>
      </c>
      <c r="Q260">
        <v>49.7</v>
      </c>
      <c r="R260">
        <v>31.5</v>
      </c>
      <c r="S260" t="s">
        <v>69</v>
      </c>
    </row>
    <row r="261" spans="1:19" x14ac:dyDescent="0.35">
      <c r="A261">
        <v>51185</v>
      </c>
      <c r="B261" t="str">
        <f>"051185"</f>
        <v>051185</v>
      </c>
      <c r="C261" t="s">
        <v>1334</v>
      </c>
      <c r="D261" t="s">
        <v>49</v>
      </c>
      <c r="E261" t="s">
        <v>163</v>
      </c>
      <c r="F261" t="s">
        <v>51</v>
      </c>
      <c r="G261" t="s">
        <v>1335</v>
      </c>
      <c r="H261" t="s">
        <v>1336</v>
      </c>
      <c r="I261" t="s">
        <v>1337</v>
      </c>
      <c r="J261" t="s">
        <v>1338</v>
      </c>
      <c r="K261" t="s">
        <v>55</v>
      </c>
      <c r="L261" t="s">
        <v>1339</v>
      </c>
      <c r="M261" t="s">
        <v>57</v>
      </c>
      <c r="N261" t="str">
        <f>"050765"</f>
        <v>050765</v>
      </c>
      <c r="O261" t="s">
        <v>58</v>
      </c>
      <c r="P261" t="s">
        <v>68</v>
      </c>
      <c r="Q261" t="s">
        <v>68</v>
      </c>
      <c r="R261" t="s">
        <v>68</v>
      </c>
      <c r="S261" t="s">
        <v>130</v>
      </c>
    </row>
    <row r="262" spans="1:19" x14ac:dyDescent="0.35">
      <c r="A262">
        <v>43786</v>
      </c>
      <c r="B262" t="str">
        <f>"043786"</f>
        <v>043786</v>
      </c>
      <c r="C262" t="s">
        <v>1340</v>
      </c>
      <c r="D262" t="s">
        <v>49</v>
      </c>
      <c r="E262" t="s">
        <v>50</v>
      </c>
      <c r="F262" t="s">
        <v>51</v>
      </c>
      <c r="G262" t="s">
        <v>63</v>
      </c>
      <c r="H262" t="s">
        <v>1341</v>
      </c>
      <c r="I262" t="s">
        <v>1342</v>
      </c>
      <c r="J262" t="s">
        <v>285</v>
      </c>
      <c r="K262" t="s">
        <v>55</v>
      </c>
      <c r="L262" t="s">
        <v>609</v>
      </c>
      <c r="M262" t="s">
        <v>57</v>
      </c>
      <c r="N262" t="str">
        <f>"043786"</f>
        <v>043786</v>
      </c>
      <c r="O262" t="s">
        <v>1340</v>
      </c>
      <c r="P262" t="s">
        <v>281</v>
      </c>
      <c r="Q262">
        <v>100</v>
      </c>
      <c r="R262">
        <v>86.2</v>
      </c>
      <c r="S262" t="s">
        <v>69</v>
      </c>
    </row>
    <row r="263" spans="1:19" x14ac:dyDescent="0.35">
      <c r="A263">
        <v>46268</v>
      </c>
      <c r="B263" t="str">
        <f>"046268"</f>
        <v>046268</v>
      </c>
      <c r="C263" t="s">
        <v>895</v>
      </c>
      <c r="D263" t="s">
        <v>49</v>
      </c>
      <c r="E263" t="s">
        <v>50</v>
      </c>
      <c r="F263" t="s">
        <v>51</v>
      </c>
      <c r="G263" t="s">
        <v>777</v>
      </c>
      <c r="H263" t="s">
        <v>1343</v>
      </c>
      <c r="I263" t="s">
        <v>1344</v>
      </c>
      <c r="J263" t="s">
        <v>780</v>
      </c>
      <c r="K263" t="s">
        <v>55</v>
      </c>
      <c r="L263" t="s">
        <v>781</v>
      </c>
      <c r="M263" t="s">
        <v>57</v>
      </c>
      <c r="N263" t="str">
        <f>"046227"</f>
        <v>046227</v>
      </c>
      <c r="O263" t="s">
        <v>782</v>
      </c>
      <c r="P263" t="s">
        <v>84</v>
      </c>
      <c r="Q263">
        <v>35.4</v>
      </c>
      <c r="R263">
        <v>9</v>
      </c>
      <c r="S263" t="s">
        <v>180</v>
      </c>
    </row>
    <row r="264" spans="1:19" x14ac:dyDescent="0.35">
      <c r="A264">
        <v>47019</v>
      </c>
      <c r="B264" t="str">
        <f>"047019"</f>
        <v>047019</v>
      </c>
      <c r="C264" t="s">
        <v>1345</v>
      </c>
      <c r="D264" t="s">
        <v>49</v>
      </c>
      <c r="E264" t="s">
        <v>50</v>
      </c>
      <c r="F264" t="s">
        <v>51</v>
      </c>
      <c r="G264" t="s">
        <v>600</v>
      </c>
      <c r="H264" t="s">
        <v>1346</v>
      </c>
      <c r="I264" t="s">
        <v>1347</v>
      </c>
      <c r="J264" t="s">
        <v>1348</v>
      </c>
      <c r="K264" t="s">
        <v>55</v>
      </c>
      <c r="L264" t="s">
        <v>1349</v>
      </c>
      <c r="M264" t="s">
        <v>57</v>
      </c>
      <c r="N264" t="str">
        <f>"050765"</f>
        <v>050765</v>
      </c>
      <c r="O264" t="s">
        <v>58</v>
      </c>
      <c r="P264" t="s">
        <v>59</v>
      </c>
      <c r="Q264">
        <v>26</v>
      </c>
      <c r="R264">
        <v>32.299999999999997</v>
      </c>
      <c r="S264" t="s">
        <v>60</v>
      </c>
    </row>
    <row r="265" spans="1:19" x14ac:dyDescent="0.35">
      <c r="A265">
        <v>43547</v>
      </c>
      <c r="B265" t="str">
        <f>"043547"</f>
        <v>043547</v>
      </c>
      <c r="C265" t="s">
        <v>1350</v>
      </c>
      <c r="D265" t="s">
        <v>49</v>
      </c>
      <c r="E265" t="s">
        <v>50</v>
      </c>
      <c r="F265" t="s">
        <v>51</v>
      </c>
      <c r="G265" t="s">
        <v>63</v>
      </c>
      <c r="H265" t="s">
        <v>1351</v>
      </c>
      <c r="I265" t="s">
        <v>1352</v>
      </c>
      <c r="J265" t="s">
        <v>1353</v>
      </c>
      <c r="K265" t="s">
        <v>55</v>
      </c>
      <c r="L265" t="s">
        <v>1354</v>
      </c>
      <c r="M265" t="s">
        <v>57</v>
      </c>
      <c r="N265" t="str">
        <f>"050765"</f>
        <v>050765</v>
      </c>
      <c r="O265" t="s">
        <v>58</v>
      </c>
      <c r="P265" t="s">
        <v>59</v>
      </c>
      <c r="Q265">
        <v>5.7</v>
      </c>
      <c r="R265">
        <v>10</v>
      </c>
      <c r="S265" t="s">
        <v>69</v>
      </c>
    </row>
    <row r="266" spans="1:19" x14ac:dyDescent="0.35">
      <c r="A266">
        <v>48074</v>
      </c>
      <c r="B266" t="str">
        <f>"048074"</f>
        <v>048074</v>
      </c>
      <c r="C266" t="s">
        <v>1355</v>
      </c>
      <c r="D266" t="s">
        <v>49</v>
      </c>
      <c r="E266" t="s">
        <v>50</v>
      </c>
      <c r="F266" t="s">
        <v>51</v>
      </c>
      <c r="G266" t="s">
        <v>288</v>
      </c>
      <c r="H266" t="s">
        <v>1356</v>
      </c>
      <c r="I266" t="s">
        <v>1357</v>
      </c>
      <c r="J266" t="s">
        <v>769</v>
      </c>
      <c r="K266" t="s">
        <v>55</v>
      </c>
      <c r="L266" t="s">
        <v>770</v>
      </c>
      <c r="M266" t="s">
        <v>57</v>
      </c>
      <c r="N266" t="str">
        <f>"014777"</f>
        <v>014777</v>
      </c>
      <c r="O266" t="s">
        <v>293</v>
      </c>
      <c r="P266" t="s">
        <v>84</v>
      </c>
      <c r="Q266">
        <v>24.6</v>
      </c>
      <c r="R266">
        <v>6.5</v>
      </c>
      <c r="S266" t="s">
        <v>180</v>
      </c>
    </row>
    <row r="267" spans="1:19" x14ac:dyDescent="0.35">
      <c r="A267">
        <v>48793</v>
      </c>
      <c r="B267" t="str">
        <f>"048793"</f>
        <v>048793</v>
      </c>
      <c r="C267" t="s">
        <v>1358</v>
      </c>
      <c r="D267" t="s">
        <v>49</v>
      </c>
      <c r="E267" t="s">
        <v>50</v>
      </c>
      <c r="F267" t="s">
        <v>51</v>
      </c>
      <c r="G267" t="s">
        <v>1359</v>
      </c>
      <c r="H267" t="s">
        <v>1360</v>
      </c>
      <c r="I267" t="s">
        <v>1361</v>
      </c>
      <c r="J267" t="s">
        <v>1362</v>
      </c>
      <c r="K267" t="s">
        <v>55</v>
      </c>
      <c r="L267" t="s">
        <v>1363</v>
      </c>
      <c r="M267" t="s">
        <v>57</v>
      </c>
      <c r="N267" t="str">
        <f>"123521"</f>
        <v>123521</v>
      </c>
      <c r="O267" t="s">
        <v>570</v>
      </c>
      <c r="P267" t="s">
        <v>76</v>
      </c>
      <c r="Q267">
        <v>42.7</v>
      </c>
      <c r="R267">
        <v>6.7999999999999972</v>
      </c>
      <c r="S267" t="s">
        <v>60</v>
      </c>
    </row>
    <row r="268" spans="1:19" x14ac:dyDescent="0.35">
      <c r="A268">
        <v>44263</v>
      </c>
      <c r="B268" t="str">
        <f>"044263"</f>
        <v>044263</v>
      </c>
      <c r="C268" t="s">
        <v>1364</v>
      </c>
      <c r="D268" t="s">
        <v>49</v>
      </c>
      <c r="E268" t="s">
        <v>50</v>
      </c>
      <c r="F268" t="s">
        <v>51</v>
      </c>
      <c r="G268" t="s">
        <v>143</v>
      </c>
      <c r="H268" t="s">
        <v>1365</v>
      </c>
      <c r="I268" t="s">
        <v>1366</v>
      </c>
      <c r="J268" t="s">
        <v>143</v>
      </c>
      <c r="K268" t="s">
        <v>55</v>
      </c>
      <c r="L268" t="s">
        <v>1033</v>
      </c>
      <c r="M268" t="s">
        <v>57</v>
      </c>
      <c r="N268" t="str">
        <f>"050765"</f>
        <v>050765</v>
      </c>
      <c r="O268" t="s">
        <v>58</v>
      </c>
      <c r="P268" t="s">
        <v>281</v>
      </c>
      <c r="Q268">
        <v>100</v>
      </c>
      <c r="R268">
        <v>79.900000000000006</v>
      </c>
      <c r="S268" t="s">
        <v>69</v>
      </c>
    </row>
    <row r="269" spans="1:19" x14ac:dyDescent="0.35">
      <c r="A269">
        <v>44586</v>
      </c>
      <c r="B269" t="str">
        <f>"044586"</f>
        <v>044586</v>
      </c>
      <c r="C269" t="s">
        <v>1367</v>
      </c>
      <c r="D269" t="s">
        <v>49</v>
      </c>
      <c r="E269" t="s">
        <v>50</v>
      </c>
      <c r="F269" t="s">
        <v>51</v>
      </c>
      <c r="G269" t="s">
        <v>543</v>
      </c>
      <c r="H269" t="s">
        <v>1368</v>
      </c>
      <c r="I269" t="s">
        <v>1369</v>
      </c>
      <c r="J269" t="s">
        <v>687</v>
      </c>
      <c r="K269" t="s">
        <v>55</v>
      </c>
      <c r="L269" t="s">
        <v>1370</v>
      </c>
      <c r="M269" t="s">
        <v>57</v>
      </c>
      <c r="N269" t="str">
        <f>"050765"</f>
        <v>050765</v>
      </c>
      <c r="O269" t="s">
        <v>58</v>
      </c>
      <c r="P269" t="s">
        <v>59</v>
      </c>
      <c r="Q269">
        <v>3.3</v>
      </c>
      <c r="R269">
        <v>19.099999999999994</v>
      </c>
      <c r="S269" t="s">
        <v>180</v>
      </c>
    </row>
    <row r="270" spans="1:19" x14ac:dyDescent="0.35">
      <c r="A270">
        <v>45534</v>
      </c>
      <c r="B270" t="str">
        <f>"045534"</f>
        <v>045534</v>
      </c>
      <c r="C270" t="s">
        <v>1371</v>
      </c>
      <c r="D270" t="s">
        <v>49</v>
      </c>
      <c r="E270" t="s">
        <v>50</v>
      </c>
      <c r="F270" t="s">
        <v>51</v>
      </c>
      <c r="G270" t="s">
        <v>1359</v>
      </c>
      <c r="H270" t="s">
        <v>1372</v>
      </c>
      <c r="I270" t="s">
        <v>1373</v>
      </c>
      <c r="J270" t="s">
        <v>1374</v>
      </c>
      <c r="K270" t="s">
        <v>55</v>
      </c>
      <c r="L270" t="s">
        <v>1375</v>
      </c>
      <c r="M270" t="s">
        <v>57</v>
      </c>
      <c r="N270" t="str">
        <f>"050765"</f>
        <v>050765</v>
      </c>
      <c r="O270" t="s">
        <v>58</v>
      </c>
      <c r="P270" t="s">
        <v>84</v>
      </c>
      <c r="Q270">
        <v>45.3</v>
      </c>
      <c r="R270">
        <v>7.5</v>
      </c>
      <c r="S270" t="s">
        <v>60</v>
      </c>
    </row>
    <row r="271" spans="1:19" x14ac:dyDescent="0.35">
      <c r="A271">
        <v>47423</v>
      </c>
      <c r="B271" t="str">
        <f>"047423"</f>
        <v>047423</v>
      </c>
      <c r="C271" t="s">
        <v>1376</v>
      </c>
      <c r="D271" t="s">
        <v>49</v>
      </c>
      <c r="E271" t="s">
        <v>50</v>
      </c>
      <c r="F271" t="s">
        <v>51</v>
      </c>
      <c r="G271" t="s">
        <v>821</v>
      </c>
      <c r="H271" t="s">
        <v>1377</v>
      </c>
      <c r="I271" t="s">
        <v>1378</v>
      </c>
      <c r="J271" t="s">
        <v>1379</v>
      </c>
      <c r="K271" t="s">
        <v>55</v>
      </c>
      <c r="L271" t="s">
        <v>1380</v>
      </c>
      <c r="M271" t="s">
        <v>57</v>
      </c>
      <c r="N271" t="str">
        <f>"047407"</f>
        <v>047407</v>
      </c>
      <c r="O271" t="s">
        <v>826</v>
      </c>
      <c r="P271" t="s">
        <v>76</v>
      </c>
      <c r="Q271">
        <v>21.6</v>
      </c>
      <c r="R271">
        <v>4.7999999999999972</v>
      </c>
      <c r="S271" t="s">
        <v>156</v>
      </c>
    </row>
    <row r="272" spans="1:19" x14ac:dyDescent="0.35">
      <c r="A272">
        <v>48439</v>
      </c>
      <c r="B272" t="str">
        <f>"048439"</f>
        <v>048439</v>
      </c>
      <c r="C272" t="s">
        <v>1381</v>
      </c>
      <c r="D272" t="s">
        <v>49</v>
      </c>
      <c r="E272" t="s">
        <v>50</v>
      </c>
      <c r="F272" t="s">
        <v>51</v>
      </c>
      <c r="G272" t="s">
        <v>312</v>
      </c>
      <c r="H272" t="s">
        <v>1382</v>
      </c>
      <c r="I272" t="s">
        <v>1383</v>
      </c>
      <c r="J272" t="s">
        <v>1384</v>
      </c>
      <c r="K272" t="s">
        <v>55</v>
      </c>
      <c r="L272" t="s">
        <v>1385</v>
      </c>
      <c r="M272" t="s">
        <v>57</v>
      </c>
      <c r="N272" t="str">
        <f>"123257"</f>
        <v>123257</v>
      </c>
      <c r="O272" t="s">
        <v>316</v>
      </c>
      <c r="P272" t="s">
        <v>76</v>
      </c>
      <c r="Q272">
        <v>50.4</v>
      </c>
      <c r="R272">
        <v>7.4000000000000057</v>
      </c>
      <c r="S272" t="s">
        <v>156</v>
      </c>
    </row>
    <row r="273" spans="1:19" x14ac:dyDescent="0.35">
      <c r="A273">
        <v>49783</v>
      </c>
      <c r="B273" t="str">
        <f>"049783"</f>
        <v>049783</v>
      </c>
      <c r="C273" t="s">
        <v>1386</v>
      </c>
      <c r="D273" t="s">
        <v>49</v>
      </c>
      <c r="E273" t="s">
        <v>50</v>
      </c>
      <c r="F273" t="s">
        <v>51</v>
      </c>
      <c r="G273" t="s">
        <v>572</v>
      </c>
      <c r="H273" t="s">
        <v>1387</v>
      </c>
      <c r="I273" t="s">
        <v>1388</v>
      </c>
      <c r="J273" t="s">
        <v>1389</v>
      </c>
      <c r="K273" t="s">
        <v>55</v>
      </c>
      <c r="L273" t="s">
        <v>1390</v>
      </c>
      <c r="M273" t="s">
        <v>57</v>
      </c>
      <c r="N273" t="str">
        <f>"014777"</f>
        <v>014777</v>
      </c>
      <c r="O273" t="s">
        <v>293</v>
      </c>
      <c r="P273" t="s">
        <v>76</v>
      </c>
      <c r="Q273">
        <v>4.5999999999999996</v>
      </c>
      <c r="R273">
        <v>2.0999999999999943</v>
      </c>
      <c r="S273" t="s">
        <v>180</v>
      </c>
    </row>
    <row r="274" spans="1:19" x14ac:dyDescent="0.35">
      <c r="A274">
        <v>200052</v>
      </c>
      <c r="B274" t="str">
        <f>"200052"</f>
        <v>200052</v>
      </c>
      <c r="C274" t="s">
        <v>1391</v>
      </c>
      <c r="D274" t="s">
        <v>49</v>
      </c>
      <c r="E274" t="s">
        <v>62</v>
      </c>
      <c r="F274" t="s">
        <v>51</v>
      </c>
      <c r="G274" t="s">
        <v>481</v>
      </c>
      <c r="H274" t="s">
        <v>1392</v>
      </c>
      <c r="I274" t="s">
        <v>1393</v>
      </c>
      <c r="J274" t="s">
        <v>876</v>
      </c>
      <c r="K274" t="s">
        <v>55</v>
      </c>
      <c r="L274" t="s">
        <v>819</v>
      </c>
      <c r="M274" t="s">
        <v>57</v>
      </c>
      <c r="N274" t="str">
        <f>"N/A"</f>
        <v>N/A</v>
      </c>
      <c r="O274" t="s">
        <v>49</v>
      </c>
      <c r="P274" t="s">
        <v>68</v>
      </c>
      <c r="Q274" t="s">
        <v>68</v>
      </c>
      <c r="R274" t="s">
        <v>68</v>
      </c>
      <c r="S274" t="s">
        <v>69</v>
      </c>
    </row>
    <row r="275" spans="1:19" x14ac:dyDescent="0.35">
      <c r="A275">
        <v>45187</v>
      </c>
      <c r="B275" t="str">
        <f>"045187"</f>
        <v>045187</v>
      </c>
      <c r="C275" t="s">
        <v>1394</v>
      </c>
      <c r="D275" t="s">
        <v>49</v>
      </c>
      <c r="E275" t="s">
        <v>50</v>
      </c>
      <c r="F275" t="s">
        <v>51</v>
      </c>
      <c r="G275" t="s">
        <v>878</v>
      </c>
      <c r="H275" t="s">
        <v>1395</v>
      </c>
      <c r="I275" t="s">
        <v>1396</v>
      </c>
      <c r="J275" t="s">
        <v>1397</v>
      </c>
      <c r="K275" t="s">
        <v>55</v>
      </c>
      <c r="L275" t="s">
        <v>1398</v>
      </c>
      <c r="M275" t="s">
        <v>57</v>
      </c>
      <c r="N275" t="str">
        <f>"050765"</f>
        <v>050765</v>
      </c>
      <c r="O275" t="s">
        <v>58</v>
      </c>
      <c r="P275" t="s">
        <v>84</v>
      </c>
      <c r="Q275">
        <v>43.1</v>
      </c>
      <c r="R275">
        <v>11.400000000000006</v>
      </c>
      <c r="S275" t="s">
        <v>156</v>
      </c>
    </row>
    <row r="276" spans="1:19" x14ac:dyDescent="0.35">
      <c r="A276">
        <v>52563</v>
      </c>
      <c r="B276" t="str">
        <f>"052563"</f>
        <v>052563</v>
      </c>
      <c r="C276" t="s">
        <v>1399</v>
      </c>
      <c r="D276" t="s">
        <v>49</v>
      </c>
      <c r="E276" t="s">
        <v>606</v>
      </c>
      <c r="F276" t="s">
        <v>51</v>
      </c>
      <c r="G276" t="s">
        <v>383</v>
      </c>
      <c r="H276" t="s">
        <v>1400</v>
      </c>
      <c r="I276" t="s">
        <v>1401</v>
      </c>
      <c r="J276" t="s">
        <v>1215</v>
      </c>
      <c r="K276" t="s">
        <v>55</v>
      </c>
      <c r="L276" t="s">
        <v>1216</v>
      </c>
      <c r="M276" t="s">
        <v>57</v>
      </c>
      <c r="N276" t="str">
        <f>"052506"</f>
        <v>052506</v>
      </c>
      <c r="O276" t="s">
        <v>610</v>
      </c>
      <c r="P276" t="s">
        <v>68</v>
      </c>
      <c r="Q276" t="s">
        <v>68</v>
      </c>
      <c r="R276" t="s">
        <v>68</v>
      </c>
      <c r="S276" t="s">
        <v>77</v>
      </c>
    </row>
    <row r="277" spans="1:19" x14ac:dyDescent="0.35">
      <c r="A277">
        <v>43851</v>
      </c>
      <c r="B277" t="str">
        <f>"043851"</f>
        <v>043851</v>
      </c>
      <c r="C277" t="s">
        <v>1402</v>
      </c>
      <c r="D277" t="s">
        <v>49</v>
      </c>
      <c r="E277" t="s">
        <v>50</v>
      </c>
      <c r="F277" t="s">
        <v>51</v>
      </c>
      <c r="G277" t="s">
        <v>212</v>
      </c>
      <c r="H277" t="s">
        <v>1403</v>
      </c>
      <c r="I277" t="s">
        <v>1404</v>
      </c>
      <c r="J277" t="s">
        <v>215</v>
      </c>
      <c r="K277" t="s">
        <v>55</v>
      </c>
      <c r="L277" t="s">
        <v>1405</v>
      </c>
      <c r="M277" t="s">
        <v>57</v>
      </c>
      <c r="N277" t="str">
        <f>"050765"</f>
        <v>050765</v>
      </c>
      <c r="O277" t="s">
        <v>58</v>
      </c>
      <c r="P277" t="s">
        <v>281</v>
      </c>
      <c r="Q277">
        <v>41.3</v>
      </c>
      <c r="R277">
        <v>28.5</v>
      </c>
      <c r="S277" t="s">
        <v>217</v>
      </c>
    </row>
    <row r="278" spans="1:19" x14ac:dyDescent="0.35">
      <c r="A278">
        <v>49932</v>
      </c>
      <c r="B278" t="str">
        <f>"049932"</f>
        <v>049932</v>
      </c>
      <c r="C278" t="s">
        <v>1406</v>
      </c>
      <c r="D278" t="s">
        <v>49</v>
      </c>
      <c r="E278" t="s">
        <v>50</v>
      </c>
      <c r="F278" t="s">
        <v>51</v>
      </c>
      <c r="G278" t="s">
        <v>117</v>
      </c>
      <c r="H278" t="s">
        <v>1407</v>
      </c>
      <c r="I278" t="s">
        <v>1408</v>
      </c>
      <c r="J278" t="s">
        <v>1409</v>
      </c>
      <c r="K278" t="s">
        <v>55</v>
      </c>
      <c r="L278" t="s">
        <v>1410</v>
      </c>
      <c r="M278" t="s">
        <v>57</v>
      </c>
      <c r="N278" t="str">
        <f>"049825"</f>
        <v>049825</v>
      </c>
      <c r="O278" t="s">
        <v>122</v>
      </c>
      <c r="P278" t="s">
        <v>59</v>
      </c>
      <c r="Q278">
        <v>43.5</v>
      </c>
      <c r="R278">
        <v>29.299999999999997</v>
      </c>
      <c r="S278" t="s">
        <v>77</v>
      </c>
    </row>
    <row r="279" spans="1:19" x14ac:dyDescent="0.35">
      <c r="A279">
        <v>50021</v>
      </c>
      <c r="B279" t="str">
        <f>"050021"</f>
        <v>050021</v>
      </c>
      <c r="C279" t="s">
        <v>1411</v>
      </c>
      <c r="D279" t="s">
        <v>49</v>
      </c>
      <c r="E279" t="s">
        <v>50</v>
      </c>
      <c r="F279" t="s">
        <v>51</v>
      </c>
      <c r="G279" t="s">
        <v>264</v>
      </c>
      <c r="H279" t="s">
        <v>1412</v>
      </c>
      <c r="I279" t="s">
        <v>1413</v>
      </c>
      <c r="J279" t="s">
        <v>800</v>
      </c>
      <c r="K279" t="s">
        <v>55</v>
      </c>
      <c r="L279" t="s">
        <v>801</v>
      </c>
      <c r="M279" t="s">
        <v>57</v>
      </c>
      <c r="N279" t="str">
        <f>"049965"</f>
        <v>049965</v>
      </c>
      <c r="O279" t="s">
        <v>269</v>
      </c>
      <c r="P279" t="s">
        <v>59</v>
      </c>
      <c r="Q279">
        <v>5.4</v>
      </c>
      <c r="R279">
        <v>15.900000000000006</v>
      </c>
      <c r="S279" t="s">
        <v>77</v>
      </c>
    </row>
    <row r="280" spans="1:19" x14ac:dyDescent="0.35">
      <c r="A280">
        <v>48256</v>
      </c>
      <c r="B280" t="str">
        <f>"048256"</f>
        <v>048256</v>
      </c>
      <c r="C280" t="s">
        <v>1414</v>
      </c>
      <c r="D280" t="s">
        <v>49</v>
      </c>
      <c r="E280" t="s">
        <v>50</v>
      </c>
      <c r="F280" t="s">
        <v>51</v>
      </c>
      <c r="G280" t="s">
        <v>657</v>
      </c>
      <c r="H280" t="s">
        <v>1415</v>
      </c>
      <c r="I280" t="s">
        <v>1416</v>
      </c>
      <c r="J280" t="s">
        <v>1417</v>
      </c>
      <c r="K280" t="s">
        <v>55</v>
      </c>
      <c r="L280" t="s">
        <v>1418</v>
      </c>
      <c r="M280" t="s">
        <v>57</v>
      </c>
      <c r="N280" t="str">
        <f>"137364"</f>
        <v>137364</v>
      </c>
      <c r="O280" t="s">
        <v>593</v>
      </c>
      <c r="P280" t="s">
        <v>84</v>
      </c>
      <c r="Q280">
        <v>35.1</v>
      </c>
      <c r="R280">
        <v>7.7000000000000028</v>
      </c>
      <c r="S280" t="s">
        <v>60</v>
      </c>
    </row>
    <row r="281" spans="1:19" x14ac:dyDescent="0.35">
      <c r="A281">
        <v>49635</v>
      </c>
      <c r="B281" t="str">
        <f>"049635"</f>
        <v>049635</v>
      </c>
      <c r="C281" t="s">
        <v>1419</v>
      </c>
      <c r="D281" t="s">
        <v>49</v>
      </c>
      <c r="E281" t="s">
        <v>50</v>
      </c>
      <c r="F281" t="s">
        <v>51</v>
      </c>
      <c r="G281" t="s">
        <v>219</v>
      </c>
      <c r="H281" t="s">
        <v>1420</v>
      </c>
      <c r="I281" t="s">
        <v>1421</v>
      </c>
      <c r="J281" t="s">
        <v>1422</v>
      </c>
      <c r="K281" t="s">
        <v>55</v>
      </c>
      <c r="L281" t="s">
        <v>1423</v>
      </c>
      <c r="M281" t="s">
        <v>57</v>
      </c>
      <c r="N281" t="str">
        <f>"125658"</f>
        <v>125658</v>
      </c>
      <c r="O281" t="s">
        <v>224</v>
      </c>
      <c r="P281" t="s">
        <v>76</v>
      </c>
      <c r="Q281">
        <v>78.8</v>
      </c>
      <c r="R281">
        <v>2.5</v>
      </c>
      <c r="S281" t="s">
        <v>130</v>
      </c>
    </row>
    <row r="282" spans="1:19" x14ac:dyDescent="0.35">
      <c r="A282">
        <v>43984</v>
      </c>
      <c r="B282" t="str">
        <f>"043984"</f>
        <v>043984</v>
      </c>
      <c r="C282" t="s">
        <v>1424</v>
      </c>
      <c r="D282" t="s">
        <v>49</v>
      </c>
      <c r="E282" t="s">
        <v>50</v>
      </c>
      <c r="F282" t="s">
        <v>51</v>
      </c>
      <c r="G282" t="s">
        <v>821</v>
      </c>
      <c r="H282" t="s">
        <v>1425</v>
      </c>
      <c r="I282" t="s">
        <v>1426</v>
      </c>
      <c r="J282" t="s">
        <v>1427</v>
      </c>
      <c r="K282" t="s">
        <v>55</v>
      </c>
      <c r="L282" t="s">
        <v>1428</v>
      </c>
      <c r="M282" t="s">
        <v>57</v>
      </c>
      <c r="N282" t="str">
        <f>"050765"</f>
        <v>050765</v>
      </c>
      <c r="O282" t="s">
        <v>58</v>
      </c>
      <c r="P282" t="s">
        <v>281</v>
      </c>
      <c r="Q282">
        <v>38.1</v>
      </c>
      <c r="R282">
        <v>27.099999999999994</v>
      </c>
      <c r="S282" t="s">
        <v>156</v>
      </c>
    </row>
    <row r="283" spans="1:19" x14ac:dyDescent="0.35">
      <c r="A283">
        <v>44255</v>
      </c>
      <c r="B283" t="str">
        <f>"044255"</f>
        <v>044255</v>
      </c>
      <c r="C283" t="s">
        <v>1429</v>
      </c>
      <c r="D283" t="s">
        <v>49</v>
      </c>
      <c r="E283" t="s">
        <v>50</v>
      </c>
      <c r="F283" t="s">
        <v>51</v>
      </c>
      <c r="G283" t="s">
        <v>657</v>
      </c>
      <c r="H283" t="s">
        <v>1430</v>
      </c>
      <c r="I283" t="s">
        <v>1431</v>
      </c>
      <c r="J283" t="s">
        <v>1432</v>
      </c>
      <c r="K283" t="s">
        <v>55</v>
      </c>
      <c r="L283" t="s">
        <v>1433</v>
      </c>
      <c r="M283" t="s">
        <v>57</v>
      </c>
      <c r="N283" t="str">
        <f>"050765"</f>
        <v>050765</v>
      </c>
      <c r="O283" t="s">
        <v>58</v>
      </c>
      <c r="P283" t="s">
        <v>84</v>
      </c>
      <c r="Q283">
        <v>42.2</v>
      </c>
      <c r="R283">
        <v>16.099999999999994</v>
      </c>
      <c r="S283" t="s">
        <v>60</v>
      </c>
    </row>
    <row r="284" spans="1:19" x14ac:dyDescent="0.35">
      <c r="A284">
        <v>48587</v>
      </c>
      <c r="B284" t="str">
        <f>"048587"</f>
        <v>048587</v>
      </c>
      <c r="C284" t="s">
        <v>1434</v>
      </c>
      <c r="D284" t="s">
        <v>49</v>
      </c>
      <c r="E284" t="s">
        <v>50</v>
      </c>
      <c r="F284" t="s">
        <v>51</v>
      </c>
      <c r="G284" t="s">
        <v>423</v>
      </c>
      <c r="H284" t="s">
        <v>1435</v>
      </c>
      <c r="I284" t="s">
        <v>1436</v>
      </c>
      <c r="J284" t="s">
        <v>1437</v>
      </c>
      <c r="K284" t="s">
        <v>55</v>
      </c>
      <c r="L284" t="s">
        <v>1438</v>
      </c>
      <c r="M284" t="s">
        <v>57</v>
      </c>
      <c r="N284" t="str">
        <f>"048546"</f>
        <v>048546</v>
      </c>
      <c r="O284" t="s">
        <v>1330</v>
      </c>
      <c r="P284" t="s">
        <v>76</v>
      </c>
      <c r="Q284">
        <v>5.7</v>
      </c>
      <c r="R284">
        <v>3.4000000000000057</v>
      </c>
      <c r="S284" t="s">
        <v>156</v>
      </c>
    </row>
    <row r="285" spans="1:19" x14ac:dyDescent="0.35">
      <c r="A285">
        <v>49031</v>
      </c>
      <c r="B285" t="str">
        <f>"049031"</f>
        <v>049031</v>
      </c>
      <c r="C285" t="s">
        <v>1439</v>
      </c>
      <c r="D285" t="s">
        <v>49</v>
      </c>
      <c r="E285" t="s">
        <v>50</v>
      </c>
      <c r="F285" t="s">
        <v>51</v>
      </c>
      <c r="G285" t="s">
        <v>434</v>
      </c>
      <c r="H285" t="s">
        <v>1440</v>
      </c>
      <c r="I285" t="s">
        <v>1441</v>
      </c>
      <c r="J285" t="s">
        <v>1442</v>
      </c>
      <c r="K285" t="s">
        <v>55</v>
      </c>
      <c r="L285" t="s">
        <v>1443</v>
      </c>
      <c r="M285" t="s">
        <v>57</v>
      </c>
      <c r="N285" t="str">
        <f>"134999"</f>
        <v>134999</v>
      </c>
      <c r="O285" t="s">
        <v>439</v>
      </c>
      <c r="P285" t="s">
        <v>76</v>
      </c>
      <c r="Q285">
        <v>38.5</v>
      </c>
      <c r="R285">
        <v>5.7999999999999972</v>
      </c>
      <c r="S285" t="s">
        <v>156</v>
      </c>
    </row>
    <row r="286" spans="1:19" x14ac:dyDescent="0.35">
      <c r="A286">
        <v>51284</v>
      </c>
      <c r="B286" t="str">
        <f>"051284"</f>
        <v>051284</v>
      </c>
      <c r="C286" t="s">
        <v>1444</v>
      </c>
      <c r="D286" t="s">
        <v>49</v>
      </c>
      <c r="E286" t="s">
        <v>163</v>
      </c>
      <c r="F286" t="s">
        <v>51</v>
      </c>
      <c r="G286" t="s">
        <v>543</v>
      </c>
      <c r="H286" t="s">
        <v>1445</v>
      </c>
      <c r="I286" t="s">
        <v>1446</v>
      </c>
      <c r="J286" t="s">
        <v>1447</v>
      </c>
      <c r="K286" t="s">
        <v>55</v>
      </c>
      <c r="L286" t="s">
        <v>1448</v>
      </c>
      <c r="M286" t="s">
        <v>57</v>
      </c>
      <c r="N286" t="str">
        <f>"050765"</f>
        <v>050765</v>
      </c>
      <c r="O286" t="s">
        <v>58</v>
      </c>
      <c r="P286" t="s">
        <v>68</v>
      </c>
      <c r="Q286" t="s">
        <v>68</v>
      </c>
      <c r="R286" t="s">
        <v>68</v>
      </c>
      <c r="S286" t="s">
        <v>180</v>
      </c>
    </row>
    <row r="287" spans="1:19" x14ac:dyDescent="0.35">
      <c r="A287">
        <v>47936</v>
      </c>
      <c r="B287" t="str">
        <f>"047936"</f>
        <v>047936</v>
      </c>
      <c r="C287" t="s">
        <v>1449</v>
      </c>
      <c r="D287" t="s">
        <v>49</v>
      </c>
      <c r="E287" t="s">
        <v>50</v>
      </c>
      <c r="F287" t="s">
        <v>51</v>
      </c>
      <c r="G287" t="s">
        <v>1335</v>
      </c>
      <c r="H287" t="s">
        <v>1450</v>
      </c>
      <c r="I287" t="s">
        <v>1451</v>
      </c>
      <c r="J287" t="s">
        <v>1452</v>
      </c>
      <c r="K287" t="s">
        <v>55</v>
      </c>
      <c r="L287" t="s">
        <v>1453</v>
      </c>
      <c r="M287" t="s">
        <v>57</v>
      </c>
      <c r="N287" t="str">
        <f>"047910"</f>
        <v>047910</v>
      </c>
      <c r="O287" t="s">
        <v>1454</v>
      </c>
      <c r="P287" t="s">
        <v>84</v>
      </c>
      <c r="Q287">
        <v>38.6</v>
      </c>
      <c r="R287">
        <v>6.2000000000000028</v>
      </c>
      <c r="S287" t="s">
        <v>130</v>
      </c>
    </row>
    <row r="288" spans="1:19" x14ac:dyDescent="0.35">
      <c r="A288">
        <v>49429</v>
      </c>
      <c r="B288" t="str">
        <f>"049429"</f>
        <v>049429</v>
      </c>
      <c r="C288" t="s">
        <v>1228</v>
      </c>
      <c r="D288" t="s">
        <v>49</v>
      </c>
      <c r="E288" t="s">
        <v>50</v>
      </c>
      <c r="F288" t="s">
        <v>51</v>
      </c>
      <c r="G288" t="s">
        <v>663</v>
      </c>
      <c r="H288" t="s">
        <v>1455</v>
      </c>
      <c r="I288" t="s">
        <v>1456</v>
      </c>
      <c r="J288" t="s">
        <v>855</v>
      </c>
      <c r="K288" t="s">
        <v>55</v>
      </c>
      <c r="L288" t="s">
        <v>1457</v>
      </c>
      <c r="M288" t="s">
        <v>57</v>
      </c>
      <c r="N288" t="str">
        <f>"123521"</f>
        <v>123521</v>
      </c>
      <c r="O288" t="s">
        <v>570</v>
      </c>
      <c r="P288" t="s">
        <v>76</v>
      </c>
      <c r="Q288">
        <v>35.9</v>
      </c>
      <c r="R288">
        <v>5.5999999999999943</v>
      </c>
      <c r="S288" t="s">
        <v>77</v>
      </c>
    </row>
    <row r="289" spans="1:19" x14ac:dyDescent="0.35">
      <c r="A289">
        <v>43968</v>
      </c>
      <c r="B289" t="str">
        <f>"043968"</f>
        <v>043968</v>
      </c>
      <c r="C289" t="s">
        <v>1458</v>
      </c>
      <c r="D289" t="s">
        <v>49</v>
      </c>
      <c r="E289" t="s">
        <v>50</v>
      </c>
      <c r="F289" t="s">
        <v>51</v>
      </c>
      <c r="G289" t="s">
        <v>642</v>
      </c>
      <c r="H289" t="s">
        <v>1459</v>
      </c>
      <c r="I289" t="s">
        <v>1460</v>
      </c>
      <c r="J289" t="s">
        <v>1461</v>
      </c>
      <c r="K289" t="s">
        <v>55</v>
      </c>
      <c r="L289" t="s">
        <v>1462</v>
      </c>
      <c r="M289" t="s">
        <v>57</v>
      </c>
      <c r="N289" t="str">
        <f>"050765"</f>
        <v>050765</v>
      </c>
      <c r="O289" t="s">
        <v>58</v>
      </c>
      <c r="P289" t="s">
        <v>281</v>
      </c>
      <c r="Q289">
        <v>84.3</v>
      </c>
      <c r="R289">
        <v>29.299999999999997</v>
      </c>
      <c r="S289" t="s">
        <v>180</v>
      </c>
    </row>
    <row r="290" spans="1:19" x14ac:dyDescent="0.35">
      <c r="A290">
        <v>44776</v>
      </c>
      <c r="B290" t="str">
        <f>"044776"</f>
        <v>044776</v>
      </c>
      <c r="C290" t="s">
        <v>1463</v>
      </c>
      <c r="D290" t="s">
        <v>49</v>
      </c>
      <c r="E290" t="s">
        <v>50</v>
      </c>
      <c r="F290" t="s">
        <v>51</v>
      </c>
      <c r="G290" t="s">
        <v>663</v>
      </c>
      <c r="H290" t="s">
        <v>1464</v>
      </c>
      <c r="I290" t="s">
        <v>1465</v>
      </c>
      <c r="J290" t="s">
        <v>572</v>
      </c>
      <c r="K290" t="s">
        <v>55</v>
      </c>
      <c r="L290" t="s">
        <v>835</v>
      </c>
      <c r="M290" t="s">
        <v>57</v>
      </c>
      <c r="N290" t="str">
        <f>"050765"</f>
        <v>050765</v>
      </c>
      <c r="O290" t="s">
        <v>58</v>
      </c>
      <c r="P290" t="s">
        <v>84</v>
      </c>
      <c r="Q290">
        <v>49.8</v>
      </c>
      <c r="R290">
        <v>5.4000000000000057</v>
      </c>
      <c r="S290" t="s">
        <v>77</v>
      </c>
    </row>
    <row r="291" spans="1:19" x14ac:dyDescent="0.35">
      <c r="A291">
        <v>51045</v>
      </c>
      <c r="B291" t="str">
        <f>"051045"</f>
        <v>051045</v>
      </c>
      <c r="C291" t="s">
        <v>1466</v>
      </c>
      <c r="D291" t="s">
        <v>49</v>
      </c>
      <c r="E291" t="s">
        <v>163</v>
      </c>
      <c r="F291" t="s">
        <v>51</v>
      </c>
      <c r="G291" t="s">
        <v>642</v>
      </c>
      <c r="H291" t="s">
        <v>1467</v>
      </c>
      <c r="I291" t="s">
        <v>1468</v>
      </c>
      <c r="J291" t="s">
        <v>1469</v>
      </c>
      <c r="K291" t="s">
        <v>55</v>
      </c>
      <c r="L291" t="s">
        <v>1470</v>
      </c>
      <c r="M291" t="s">
        <v>57</v>
      </c>
      <c r="N291" t="str">
        <f>"050765"</f>
        <v>050765</v>
      </c>
      <c r="O291" t="s">
        <v>58</v>
      </c>
      <c r="P291" t="s">
        <v>68</v>
      </c>
      <c r="Q291" t="s">
        <v>68</v>
      </c>
      <c r="R291" t="s">
        <v>68</v>
      </c>
      <c r="S291" t="s">
        <v>180</v>
      </c>
    </row>
    <row r="292" spans="1:19" x14ac:dyDescent="0.35">
      <c r="A292">
        <v>62042</v>
      </c>
      <c r="B292" t="str">
        <f>"062042"</f>
        <v>062042</v>
      </c>
      <c r="C292" t="s">
        <v>1471</v>
      </c>
      <c r="D292" t="s">
        <v>49</v>
      </c>
      <c r="E292" t="s">
        <v>163</v>
      </c>
      <c r="F292" t="s">
        <v>51</v>
      </c>
      <c r="G292" t="s">
        <v>855</v>
      </c>
      <c r="H292" t="s">
        <v>1472</v>
      </c>
      <c r="I292" t="s">
        <v>1473</v>
      </c>
      <c r="J292" t="s">
        <v>855</v>
      </c>
      <c r="K292" t="s">
        <v>55</v>
      </c>
      <c r="L292" t="s">
        <v>1457</v>
      </c>
      <c r="M292" t="s">
        <v>57</v>
      </c>
      <c r="N292" t="str">
        <f>"050765"</f>
        <v>050765</v>
      </c>
      <c r="O292" t="s">
        <v>58</v>
      </c>
      <c r="P292" t="s">
        <v>68</v>
      </c>
      <c r="Q292" t="s">
        <v>68</v>
      </c>
      <c r="R292" t="s">
        <v>68</v>
      </c>
      <c r="S292" t="s">
        <v>77</v>
      </c>
    </row>
    <row r="293" spans="1:19" x14ac:dyDescent="0.35">
      <c r="A293">
        <v>200003</v>
      </c>
      <c r="B293" t="str">
        <f>"200003"</f>
        <v>200003</v>
      </c>
      <c r="C293" t="s">
        <v>1474</v>
      </c>
      <c r="D293" t="s">
        <v>49</v>
      </c>
      <c r="E293" t="s">
        <v>62</v>
      </c>
      <c r="F293" t="s">
        <v>51</v>
      </c>
      <c r="G293" t="s">
        <v>855</v>
      </c>
      <c r="H293" t="s">
        <v>1472</v>
      </c>
      <c r="I293" t="s">
        <v>1473</v>
      </c>
      <c r="J293" t="s">
        <v>855</v>
      </c>
      <c r="K293" t="s">
        <v>55</v>
      </c>
      <c r="L293" t="s">
        <v>1457</v>
      </c>
      <c r="M293" t="s">
        <v>57</v>
      </c>
      <c r="N293" t="str">
        <f>"N/A"</f>
        <v>N/A</v>
      </c>
      <c r="O293" t="s">
        <v>49</v>
      </c>
      <c r="P293" t="s">
        <v>68</v>
      </c>
      <c r="Q293" t="s">
        <v>68</v>
      </c>
      <c r="R293" t="s">
        <v>68</v>
      </c>
      <c r="S293" t="s">
        <v>77</v>
      </c>
    </row>
    <row r="294" spans="1:19" x14ac:dyDescent="0.35">
      <c r="A294">
        <v>49916</v>
      </c>
      <c r="B294" t="str">
        <f>"049916"</f>
        <v>049916</v>
      </c>
      <c r="C294" t="s">
        <v>1475</v>
      </c>
      <c r="D294" t="s">
        <v>49</v>
      </c>
      <c r="E294" t="s">
        <v>50</v>
      </c>
      <c r="F294" t="s">
        <v>51</v>
      </c>
      <c r="G294" t="s">
        <v>117</v>
      </c>
      <c r="H294" t="s">
        <v>1476</v>
      </c>
      <c r="I294" t="s">
        <v>1477</v>
      </c>
      <c r="J294" t="s">
        <v>1478</v>
      </c>
      <c r="K294" t="s">
        <v>55</v>
      </c>
      <c r="L294" t="s">
        <v>1479</v>
      </c>
      <c r="M294" t="s">
        <v>57</v>
      </c>
      <c r="N294" t="str">
        <f>"049825"</f>
        <v>049825</v>
      </c>
      <c r="O294" t="s">
        <v>122</v>
      </c>
      <c r="P294" t="s">
        <v>76</v>
      </c>
      <c r="Q294">
        <v>44.4</v>
      </c>
      <c r="R294">
        <v>6.2999999999999972</v>
      </c>
      <c r="S294" t="s">
        <v>77</v>
      </c>
    </row>
    <row r="295" spans="1:19" x14ac:dyDescent="0.35">
      <c r="A295">
        <v>47613</v>
      </c>
      <c r="B295" t="str">
        <f>"047613"</f>
        <v>047613</v>
      </c>
      <c r="C295" t="s">
        <v>1480</v>
      </c>
      <c r="D295" t="s">
        <v>49</v>
      </c>
      <c r="E295" t="s">
        <v>50</v>
      </c>
      <c r="F295" t="s">
        <v>51</v>
      </c>
      <c r="G295" t="s">
        <v>719</v>
      </c>
      <c r="H295" t="s">
        <v>1481</v>
      </c>
      <c r="I295" t="s">
        <v>1482</v>
      </c>
      <c r="J295" t="s">
        <v>1483</v>
      </c>
      <c r="K295" t="s">
        <v>55</v>
      </c>
      <c r="L295" t="s">
        <v>1484</v>
      </c>
      <c r="M295" t="s">
        <v>57</v>
      </c>
      <c r="N295" t="str">
        <f>"046375"</f>
        <v>046375</v>
      </c>
      <c r="O295" t="s">
        <v>255</v>
      </c>
      <c r="P295" t="s">
        <v>76</v>
      </c>
      <c r="Q295">
        <v>57.6</v>
      </c>
      <c r="R295">
        <v>5.7000000000000028</v>
      </c>
      <c r="S295" t="s">
        <v>130</v>
      </c>
    </row>
    <row r="296" spans="1:19" x14ac:dyDescent="0.35">
      <c r="A296">
        <v>43729</v>
      </c>
      <c r="B296" t="str">
        <f>"043729"</f>
        <v>043729</v>
      </c>
      <c r="C296" t="s">
        <v>1485</v>
      </c>
      <c r="D296" t="s">
        <v>49</v>
      </c>
      <c r="E296" t="s">
        <v>50</v>
      </c>
      <c r="F296" t="s">
        <v>51</v>
      </c>
      <c r="G296" t="s">
        <v>423</v>
      </c>
      <c r="H296" t="s">
        <v>424</v>
      </c>
      <c r="I296" t="s">
        <v>425</v>
      </c>
      <c r="J296" t="s">
        <v>426</v>
      </c>
      <c r="K296" t="s">
        <v>55</v>
      </c>
      <c r="L296" t="s">
        <v>427</v>
      </c>
      <c r="M296" t="s">
        <v>57</v>
      </c>
      <c r="N296" t="str">
        <f>"050765"</f>
        <v>050765</v>
      </c>
      <c r="O296" t="s">
        <v>58</v>
      </c>
      <c r="P296" t="s">
        <v>84</v>
      </c>
      <c r="Q296">
        <v>47.1</v>
      </c>
      <c r="R296">
        <v>15</v>
      </c>
      <c r="S296" t="s">
        <v>156</v>
      </c>
    </row>
    <row r="297" spans="1:19" x14ac:dyDescent="0.35">
      <c r="A297">
        <v>49809</v>
      </c>
      <c r="B297" t="str">
        <f>"049809"</f>
        <v>049809</v>
      </c>
      <c r="C297" t="s">
        <v>1486</v>
      </c>
      <c r="D297" t="s">
        <v>49</v>
      </c>
      <c r="E297" t="s">
        <v>50</v>
      </c>
      <c r="F297" t="s">
        <v>51</v>
      </c>
      <c r="G297" t="s">
        <v>572</v>
      </c>
      <c r="H297" t="s">
        <v>1487</v>
      </c>
      <c r="I297" t="s">
        <v>1488</v>
      </c>
      <c r="J297" t="s">
        <v>1489</v>
      </c>
      <c r="K297" t="s">
        <v>55</v>
      </c>
      <c r="L297" t="s">
        <v>1490</v>
      </c>
      <c r="M297" t="s">
        <v>57</v>
      </c>
      <c r="N297" t="str">
        <f>"014777"</f>
        <v>014777</v>
      </c>
      <c r="O297" t="s">
        <v>293</v>
      </c>
      <c r="P297" t="s">
        <v>76</v>
      </c>
      <c r="Q297">
        <v>28</v>
      </c>
      <c r="R297">
        <v>3.5999999999999943</v>
      </c>
      <c r="S297" t="s">
        <v>180</v>
      </c>
    </row>
    <row r="298" spans="1:19" x14ac:dyDescent="0.35">
      <c r="A298">
        <v>50302</v>
      </c>
      <c r="B298" t="str">
        <f>"050302"</f>
        <v>050302</v>
      </c>
      <c r="C298" t="s">
        <v>1491</v>
      </c>
      <c r="D298" t="s">
        <v>49</v>
      </c>
      <c r="E298" t="s">
        <v>50</v>
      </c>
      <c r="F298" t="s">
        <v>51</v>
      </c>
      <c r="G298" t="s">
        <v>71</v>
      </c>
      <c r="H298" t="s">
        <v>1492</v>
      </c>
      <c r="I298" t="s">
        <v>1493</v>
      </c>
      <c r="J298" t="s">
        <v>1494</v>
      </c>
      <c r="K298" t="s">
        <v>55</v>
      </c>
      <c r="L298" t="s">
        <v>1495</v>
      </c>
      <c r="M298" t="s">
        <v>57</v>
      </c>
      <c r="N298" t="str">
        <f>"050260"</f>
        <v>050260</v>
      </c>
      <c r="O298" t="s">
        <v>1170</v>
      </c>
      <c r="P298" t="s">
        <v>84</v>
      </c>
      <c r="Q298">
        <v>32.200000000000003</v>
      </c>
      <c r="R298">
        <v>3.2000000000000028</v>
      </c>
      <c r="S298" t="s">
        <v>77</v>
      </c>
    </row>
    <row r="299" spans="1:19" x14ac:dyDescent="0.35">
      <c r="A299">
        <v>51359</v>
      </c>
      <c r="B299" t="str">
        <f>"051359"</f>
        <v>051359</v>
      </c>
      <c r="C299" t="s">
        <v>1496</v>
      </c>
      <c r="D299" t="s">
        <v>49</v>
      </c>
      <c r="E299" t="s">
        <v>163</v>
      </c>
      <c r="F299" t="s">
        <v>51</v>
      </c>
      <c r="G299" t="s">
        <v>226</v>
      </c>
      <c r="H299" t="s">
        <v>942</v>
      </c>
      <c r="I299" t="s">
        <v>943</v>
      </c>
      <c r="J299" t="s">
        <v>944</v>
      </c>
      <c r="K299" t="s">
        <v>55</v>
      </c>
      <c r="L299" t="s">
        <v>945</v>
      </c>
      <c r="M299" t="s">
        <v>57</v>
      </c>
      <c r="N299" t="str">
        <f>"050765"</f>
        <v>050765</v>
      </c>
      <c r="O299" t="s">
        <v>58</v>
      </c>
      <c r="P299" t="s">
        <v>68</v>
      </c>
      <c r="Q299" t="s">
        <v>68</v>
      </c>
      <c r="R299" t="s">
        <v>68</v>
      </c>
      <c r="S299" t="s">
        <v>156</v>
      </c>
    </row>
    <row r="300" spans="1:19" x14ac:dyDescent="0.35">
      <c r="A300">
        <v>45138</v>
      </c>
      <c r="B300" t="str">
        <f>"045138"</f>
        <v>045138</v>
      </c>
      <c r="C300" t="s">
        <v>1497</v>
      </c>
      <c r="D300" t="s">
        <v>49</v>
      </c>
      <c r="E300" t="s">
        <v>50</v>
      </c>
      <c r="F300" t="s">
        <v>51</v>
      </c>
      <c r="G300" t="s">
        <v>600</v>
      </c>
      <c r="H300" t="s">
        <v>1498</v>
      </c>
      <c r="I300" t="s">
        <v>1499</v>
      </c>
      <c r="J300" t="s">
        <v>1500</v>
      </c>
      <c r="K300" t="s">
        <v>55</v>
      </c>
      <c r="L300" t="s">
        <v>1501</v>
      </c>
      <c r="M300" t="s">
        <v>57</v>
      </c>
      <c r="N300" t="str">
        <f>"050765"</f>
        <v>050765</v>
      </c>
      <c r="O300" t="s">
        <v>58</v>
      </c>
      <c r="P300" t="s">
        <v>59</v>
      </c>
      <c r="Q300">
        <v>24.7</v>
      </c>
      <c r="R300">
        <v>34.099999999999994</v>
      </c>
      <c r="S300" t="s">
        <v>60</v>
      </c>
    </row>
    <row r="301" spans="1:19" x14ac:dyDescent="0.35">
      <c r="A301">
        <v>200042</v>
      </c>
      <c r="B301" t="str">
        <f>"200042"</f>
        <v>200042</v>
      </c>
      <c r="C301" t="s">
        <v>1502</v>
      </c>
      <c r="D301" t="s">
        <v>49</v>
      </c>
      <c r="E301" t="s">
        <v>62</v>
      </c>
      <c r="F301" t="s">
        <v>51</v>
      </c>
      <c r="G301" t="s">
        <v>642</v>
      </c>
      <c r="H301" t="s">
        <v>1467</v>
      </c>
      <c r="I301" t="s">
        <v>1468</v>
      </c>
      <c r="J301" t="s">
        <v>1469</v>
      </c>
      <c r="K301" t="s">
        <v>55</v>
      </c>
      <c r="L301" t="s">
        <v>1470</v>
      </c>
      <c r="M301" t="s">
        <v>57</v>
      </c>
      <c r="N301" t="str">
        <f>"N/A"</f>
        <v>N/A</v>
      </c>
      <c r="O301" t="s">
        <v>49</v>
      </c>
      <c r="P301" t="s">
        <v>68</v>
      </c>
      <c r="Q301" t="s">
        <v>68</v>
      </c>
      <c r="R301" t="s">
        <v>68</v>
      </c>
      <c r="S301" t="s">
        <v>180</v>
      </c>
    </row>
    <row r="302" spans="1:19" x14ac:dyDescent="0.35">
      <c r="A302">
        <v>45674</v>
      </c>
      <c r="B302" t="str">
        <f>"045674"</f>
        <v>045674</v>
      </c>
      <c r="C302" t="s">
        <v>1503</v>
      </c>
      <c r="D302" t="s">
        <v>49</v>
      </c>
      <c r="E302" t="s">
        <v>50</v>
      </c>
      <c r="F302" t="s">
        <v>51</v>
      </c>
      <c r="G302" t="s">
        <v>642</v>
      </c>
      <c r="H302" t="s">
        <v>1504</v>
      </c>
      <c r="I302" t="s">
        <v>1505</v>
      </c>
      <c r="J302" t="s">
        <v>1506</v>
      </c>
      <c r="K302" t="s">
        <v>55</v>
      </c>
      <c r="L302" t="s">
        <v>1507</v>
      </c>
      <c r="M302" t="s">
        <v>57</v>
      </c>
      <c r="N302" t="str">
        <f>"050765"</f>
        <v>050765</v>
      </c>
      <c r="O302" t="s">
        <v>58</v>
      </c>
      <c r="P302" t="s">
        <v>59</v>
      </c>
      <c r="Q302">
        <v>25.3</v>
      </c>
      <c r="R302">
        <v>29.700000000000003</v>
      </c>
      <c r="S302" t="s">
        <v>180</v>
      </c>
    </row>
    <row r="303" spans="1:19" x14ac:dyDescent="0.35">
      <c r="A303">
        <v>62109</v>
      </c>
      <c r="B303" t="str">
        <f>"062109"</f>
        <v>062109</v>
      </c>
      <c r="C303" t="s">
        <v>1508</v>
      </c>
      <c r="D303" t="s">
        <v>49</v>
      </c>
      <c r="E303" t="s">
        <v>163</v>
      </c>
      <c r="F303" t="s">
        <v>51</v>
      </c>
      <c r="G303" t="s">
        <v>406</v>
      </c>
      <c r="H303" t="s">
        <v>813</v>
      </c>
      <c r="I303" t="s">
        <v>814</v>
      </c>
      <c r="J303" t="s">
        <v>406</v>
      </c>
      <c r="K303" t="s">
        <v>55</v>
      </c>
      <c r="L303" t="s">
        <v>409</v>
      </c>
      <c r="M303" t="s">
        <v>57</v>
      </c>
      <c r="N303" t="str">
        <f>"050765"</f>
        <v>050765</v>
      </c>
      <c r="O303" t="s">
        <v>58</v>
      </c>
      <c r="P303" t="s">
        <v>68</v>
      </c>
      <c r="Q303" t="s">
        <v>68</v>
      </c>
      <c r="R303" t="s">
        <v>68</v>
      </c>
      <c r="S303" t="s">
        <v>77</v>
      </c>
    </row>
    <row r="304" spans="1:19" x14ac:dyDescent="0.35">
      <c r="A304">
        <v>47373</v>
      </c>
      <c r="B304" t="str">
        <f>"047373"</f>
        <v>047373</v>
      </c>
      <c r="C304" t="s">
        <v>1509</v>
      </c>
      <c r="D304" t="s">
        <v>49</v>
      </c>
      <c r="E304" t="s">
        <v>50</v>
      </c>
      <c r="F304" t="s">
        <v>51</v>
      </c>
      <c r="G304" t="s">
        <v>212</v>
      </c>
      <c r="H304" t="s">
        <v>1510</v>
      </c>
      <c r="I304" t="s">
        <v>1511</v>
      </c>
      <c r="J304" t="s">
        <v>215</v>
      </c>
      <c r="K304" t="s">
        <v>55</v>
      </c>
      <c r="L304" t="s">
        <v>1512</v>
      </c>
      <c r="M304" t="s">
        <v>57</v>
      </c>
      <c r="N304" t="str">
        <f>"047324"</f>
        <v>047324</v>
      </c>
      <c r="O304" t="s">
        <v>491</v>
      </c>
      <c r="P304" t="s">
        <v>59</v>
      </c>
      <c r="Q304">
        <v>28.6</v>
      </c>
      <c r="R304">
        <v>19.599999999999994</v>
      </c>
      <c r="S304" t="s">
        <v>217</v>
      </c>
    </row>
    <row r="305" spans="1:19" x14ac:dyDescent="0.35">
      <c r="A305">
        <v>200600</v>
      </c>
      <c r="B305" t="str">
        <f>"200600"</f>
        <v>200600</v>
      </c>
      <c r="C305" t="s">
        <v>1513</v>
      </c>
      <c r="D305" t="s">
        <v>49</v>
      </c>
      <c r="E305" t="s">
        <v>62</v>
      </c>
      <c r="F305" t="s">
        <v>51</v>
      </c>
      <c r="G305" t="s">
        <v>600</v>
      </c>
      <c r="H305" t="s">
        <v>1514</v>
      </c>
      <c r="I305" t="s">
        <v>1515</v>
      </c>
      <c r="J305" t="s">
        <v>1348</v>
      </c>
      <c r="K305" t="s">
        <v>55</v>
      </c>
      <c r="L305" t="s">
        <v>1516</v>
      </c>
      <c r="M305" t="s">
        <v>57</v>
      </c>
      <c r="N305" t="str">
        <f>"N/A"</f>
        <v>N/A</v>
      </c>
      <c r="O305" t="s">
        <v>49</v>
      </c>
      <c r="P305" t="s">
        <v>68</v>
      </c>
      <c r="Q305" t="s">
        <v>68</v>
      </c>
      <c r="R305" t="s">
        <v>68</v>
      </c>
      <c r="S305" t="s">
        <v>60</v>
      </c>
    </row>
    <row r="306" spans="1:19" x14ac:dyDescent="0.35">
      <c r="A306">
        <v>50658</v>
      </c>
      <c r="B306" t="str">
        <f>"050658"</f>
        <v>050658</v>
      </c>
      <c r="C306" t="s">
        <v>1517</v>
      </c>
      <c r="D306" t="s">
        <v>49</v>
      </c>
      <c r="E306" t="s">
        <v>50</v>
      </c>
      <c r="F306" t="s">
        <v>51</v>
      </c>
      <c r="G306" t="s">
        <v>1118</v>
      </c>
      <c r="H306" t="s">
        <v>1518</v>
      </c>
      <c r="I306" t="s">
        <v>1519</v>
      </c>
      <c r="J306" t="s">
        <v>1520</v>
      </c>
      <c r="K306" t="s">
        <v>55</v>
      </c>
      <c r="L306" t="s">
        <v>1521</v>
      </c>
      <c r="M306" t="s">
        <v>57</v>
      </c>
      <c r="N306" t="str">
        <f>"124297"</f>
        <v>124297</v>
      </c>
      <c r="O306" t="s">
        <v>349</v>
      </c>
      <c r="P306" t="s">
        <v>76</v>
      </c>
      <c r="Q306">
        <v>37.799999999999997</v>
      </c>
      <c r="R306">
        <v>13.799999999999997</v>
      </c>
      <c r="S306" t="s">
        <v>156</v>
      </c>
    </row>
    <row r="307" spans="1:19" x14ac:dyDescent="0.35">
      <c r="A307">
        <v>200102</v>
      </c>
      <c r="B307" t="str">
        <f>"200102"</f>
        <v>200102</v>
      </c>
      <c r="C307" t="s">
        <v>1522</v>
      </c>
      <c r="D307" t="s">
        <v>49</v>
      </c>
      <c r="E307" t="s">
        <v>62</v>
      </c>
      <c r="F307" t="s">
        <v>51</v>
      </c>
      <c r="G307" t="s">
        <v>1020</v>
      </c>
      <c r="H307" t="s">
        <v>1523</v>
      </c>
      <c r="I307" t="s">
        <v>1524</v>
      </c>
      <c r="J307" t="s">
        <v>1020</v>
      </c>
      <c r="K307" t="s">
        <v>55</v>
      </c>
      <c r="L307" t="s">
        <v>1023</v>
      </c>
      <c r="M307" t="s">
        <v>57</v>
      </c>
      <c r="N307" t="str">
        <f>"N/A"</f>
        <v>N/A</v>
      </c>
      <c r="O307" t="s">
        <v>49</v>
      </c>
      <c r="P307" t="s">
        <v>68</v>
      </c>
      <c r="Q307" t="s">
        <v>68</v>
      </c>
      <c r="R307" t="s">
        <v>68</v>
      </c>
      <c r="S307" t="s">
        <v>156</v>
      </c>
    </row>
    <row r="308" spans="1:19" x14ac:dyDescent="0.35">
      <c r="A308">
        <v>200095</v>
      </c>
      <c r="B308" t="str">
        <f>"200095"</f>
        <v>200095</v>
      </c>
      <c r="C308" t="s">
        <v>1525</v>
      </c>
      <c r="D308" t="s">
        <v>49</v>
      </c>
      <c r="E308" t="s">
        <v>62</v>
      </c>
      <c r="F308" t="s">
        <v>51</v>
      </c>
      <c r="G308" t="s">
        <v>264</v>
      </c>
      <c r="H308" t="s">
        <v>1526</v>
      </c>
      <c r="I308" t="s">
        <v>1527</v>
      </c>
      <c r="J308" t="s">
        <v>267</v>
      </c>
      <c r="K308" t="s">
        <v>55</v>
      </c>
      <c r="L308" t="s">
        <v>1528</v>
      </c>
      <c r="M308" t="s">
        <v>57</v>
      </c>
      <c r="N308" t="str">
        <f>"N/A"</f>
        <v>N/A</v>
      </c>
      <c r="O308" t="s">
        <v>49</v>
      </c>
      <c r="P308" t="s">
        <v>68</v>
      </c>
      <c r="Q308" t="s">
        <v>68</v>
      </c>
      <c r="R308" t="s">
        <v>68</v>
      </c>
      <c r="S308" t="s">
        <v>77</v>
      </c>
    </row>
    <row r="309" spans="1:19" x14ac:dyDescent="0.35">
      <c r="A309">
        <v>46888</v>
      </c>
      <c r="B309" t="str">
        <f>"046888"</f>
        <v>046888</v>
      </c>
      <c r="C309" t="s">
        <v>1529</v>
      </c>
      <c r="D309" t="s">
        <v>49</v>
      </c>
      <c r="E309" t="s">
        <v>50</v>
      </c>
      <c r="F309" t="s">
        <v>51</v>
      </c>
      <c r="G309" t="s">
        <v>92</v>
      </c>
      <c r="H309" t="s">
        <v>1530</v>
      </c>
      <c r="I309" t="s">
        <v>1531</v>
      </c>
      <c r="J309" t="s">
        <v>1532</v>
      </c>
      <c r="K309" t="s">
        <v>55</v>
      </c>
      <c r="L309" t="s">
        <v>1533</v>
      </c>
      <c r="M309" t="s">
        <v>57</v>
      </c>
      <c r="N309" t="str">
        <f>"046839"</f>
        <v>046839</v>
      </c>
      <c r="O309" t="s">
        <v>97</v>
      </c>
      <c r="P309" t="s">
        <v>84</v>
      </c>
      <c r="Q309">
        <v>28.2</v>
      </c>
      <c r="R309">
        <v>5.4000000000000057</v>
      </c>
      <c r="S309" t="s">
        <v>60</v>
      </c>
    </row>
    <row r="310" spans="1:19" x14ac:dyDescent="0.35">
      <c r="A310">
        <v>200055</v>
      </c>
      <c r="B310" t="str">
        <f>"200055"</f>
        <v>200055</v>
      </c>
      <c r="C310" t="s">
        <v>1534</v>
      </c>
      <c r="D310" t="s">
        <v>49</v>
      </c>
      <c r="E310" t="s">
        <v>62</v>
      </c>
      <c r="F310" t="s">
        <v>51</v>
      </c>
      <c r="G310" t="s">
        <v>110</v>
      </c>
      <c r="H310" t="s">
        <v>1535</v>
      </c>
      <c r="I310" t="s">
        <v>1536</v>
      </c>
      <c r="J310" t="s">
        <v>671</v>
      </c>
      <c r="K310" t="s">
        <v>55</v>
      </c>
      <c r="L310" t="s">
        <v>672</v>
      </c>
      <c r="M310" t="s">
        <v>57</v>
      </c>
      <c r="N310" t="str">
        <f>"N/A"</f>
        <v>N/A</v>
      </c>
      <c r="O310" t="s">
        <v>49</v>
      </c>
      <c r="P310" t="s">
        <v>68</v>
      </c>
      <c r="Q310" t="s">
        <v>68</v>
      </c>
      <c r="R310" t="s">
        <v>68</v>
      </c>
      <c r="S310" t="s">
        <v>60</v>
      </c>
    </row>
    <row r="311" spans="1:19" x14ac:dyDescent="0.35">
      <c r="A311">
        <v>50179</v>
      </c>
      <c r="B311" t="str">
        <f>"050179"</f>
        <v>050179</v>
      </c>
      <c r="C311" t="s">
        <v>1537</v>
      </c>
      <c r="D311" t="s">
        <v>49</v>
      </c>
      <c r="E311" t="s">
        <v>50</v>
      </c>
      <c r="F311" t="s">
        <v>51</v>
      </c>
      <c r="G311" t="s">
        <v>169</v>
      </c>
      <c r="H311" t="s">
        <v>1538</v>
      </c>
      <c r="I311" t="s">
        <v>1539</v>
      </c>
      <c r="J311" t="s">
        <v>1540</v>
      </c>
      <c r="K311" t="s">
        <v>55</v>
      </c>
      <c r="L311" t="s">
        <v>1541</v>
      </c>
      <c r="M311" t="s">
        <v>57</v>
      </c>
      <c r="N311" t="str">
        <f>"050088"</f>
        <v>050088</v>
      </c>
      <c r="O311" t="s">
        <v>416</v>
      </c>
      <c r="P311" t="s">
        <v>76</v>
      </c>
      <c r="Q311">
        <v>43.5</v>
      </c>
      <c r="R311">
        <v>5.4000000000000057</v>
      </c>
      <c r="S311" t="s">
        <v>77</v>
      </c>
    </row>
    <row r="312" spans="1:19" x14ac:dyDescent="0.35">
      <c r="A312">
        <v>44248</v>
      </c>
      <c r="B312" t="str">
        <f>"044248"</f>
        <v>044248</v>
      </c>
      <c r="C312" t="s">
        <v>1542</v>
      </c>
      <c r="D312" t="s">
        <v>49</v>
      </c>
      <c r="E312" t="s">
        <v>50</v>
      </c>
      <c r="F312" t="s">
        <v>51</v>
      </c>
      <c r="G312" t="s">
        <v>1543</v>
      </c>
      <c r="H312" t="s">
        <v>1544</v>
      </c>
      <c r="I312" t="s">
        <v>1545</v>
      </c>
      <c r="J312" t="s">
        <v>288</v>
      </c>
      <c r="K312" t="s">
        <v>55</v>
      </c>
      <c r="L312" t="s">
        <v>1546</v>
      </c>
      <c r="M312" t="s">
        <v>57</v>
      </c>
      <c r="N312" t="str">
        <f>"125674"</f>
        <v>125674</v>
      </c>
      <c r="O312" t="s">
        <v>1547</v>
      </c>
      <c r="P312" t="s">
        <v>76</v>
      </c>
      <c r="Q312">
        <v>100</v>
      </c>
      <c r="R312">
        <v>4.4000000000000057</v>
      </c>
      <c r="S312" t="s">
        <v>130</v>
      </c>
    </row>
    <row r="313" spans="1:19" x14ac:dyDescent="0.35">
      <c r="A313">
        <v>47902</v>
      </c>
      <c r="B313" t="str">
        <f>"047902"</f>
        <v>047902</v>
      </c>
      <c r="C313" t="s">
        <v>1548</v>
      </c>
      <c r="D313" t="s">
        <v>49</v>
      </c>
      <c r="E313" t="s">
        <v>50</v>
      </c>
      <c r="F313" t="s">
        <v>51</v>
      </c>
      <c r="G313" t="s">
        <v>481</v>
      </c>
      <c r="H313" t="s">
        <v>1549</v>
      </c>
      <c r="I313" t="s">
        <v>1550</v>
      </c>
      <c r="J313" t="s">
        <v>1551</v>
      </c>
      <c r="K313" t="s">
        <v>55</v>
      </c>
      <c r="L313" t="s">
        <v>1552</v>
      </c>
      <c r="M313" t="s">
        <v>57</v>
      </c>
      <c r="N313" t="str">
        <f>"047860"</f>
        <v>047860</v>
      </c>
      <c r="O313" t="s">
        <v>516</v>
      </c>
      <c r="P313" t="s">
        <v>59</v>
      </c>
      <c r="Q313">
        <v>18.7</v>
      </c>
      <c r="R313">
        <v>16.900000000000006</v>
      </c>
      <c r="S313" t="s">
        <v>69</v>
      </c>
    </row>
    <row r="314" spans="1:19" x14ac:dyDescent="0.35">
      <c r="A314">
        <v>48231</v>
      </c>
      <c r="B314" t="str">
        <f>"048231"</f>
        <v>048231</v>
      </c>
      <c r="C314" t="s">
        <v>1553</v>
      </c>
      <c r="D314" t="s">
        <v>49</v>
      </c>
      <c r="E314" t="s">
        <v>50</v>
      </c>
      <c r="F314" t="s">
        <v>51</v>
      </c>
      <c r="G314" t="s">
        <v>200</v>
      </c>
      <c r="H314" t="s">
        <v>1554</v>
      </c>
      <c r="I314" t="s">
        <v>1555</v>
      </c>
      <c r="J314" t="s">
        <v>304</v>
      </c>
      <c r="K314" t="s">
        <v>55</v>
      </c>
      <c r="L314" t="s">
        <v>305</v>
      </c>
      <c r="M314" t="s">
        <v>57</v>
      </c>
      <c r="N314" t="str">
        <f>"048199"</f>
        <v>048199</v>
      </c>
      <c r="O314" t="s">
        <v>339</v>
      </c>
      <c r="P314" t="s">
        <v>281</v>
      </c>
      <c r="Q314">
        <v>54.7</v>
      </c>
      <c r="R314">
        <v>39.799999999999997</v>
      </c>
      <c r="S314" t="s">
        <v>156</v>
      </c>
    </row>
    <row r="315" spans="1:19" x14ac:dyDescent="0.35">
      <c r="A315">
        <v>49361</v>
      </c>
      <c r="B315" t="str">
        <f>"049361"</f>
        <v>049361</v>
      </c>
      <c r="C315" t="s">
        <v>1556</v>
      </c>
      <c r="D315" t="s">
        <v>49</v>
      </c>
      <c r="E315" t="s">
        <v>50</v>
      </c>
      <c r="F315" t="s">
        <v>51</v>
      </c>
      <c r="G315" t="s">
        <v>150</v>
      </c>
      <c r="H315" t="s">
        <v>1557</v>
      </c>
      <c r="I315" t="s">
        <v>1558</v>
      </c>
      <c r="J315" t="s">
        <v>1559</v>
      </c>
      <c r="K315" t="s">
        <v>55</v>
      </c>
      <c r="L315" t="s">
        <v>1560</v>
      </c>
      <c r="M315" t="s">
        <v>57</v>
      </c>
      <c r="N315" t="str">
        <f>"049304"</f>
        <v>049304</v>
      </c>
      <c r="O315" t="s">
        <v>155</v>
      </c>
      <c r="P315" t="s">
        <v>76</v>
      </c>
      <c r="Q315">
        <v>7.5</v>
      </c>
      <c r="R315">
        <v>3.2999999999999972</v>
      </c>
      <c r="S315" t="s">
        <v>156</v>
      </c>
    </row>
    <row r="316" spans="1:19" x14ac:dyDescent="0.35">
      <c r="A316">
        <v>46862</v>
      </c>
      <c r="B316" t="str">
        <f>"046862"</f>
        <v>046862</v>
      </c>
      <c r="C316" t="s">
        <v>1561</v>
      </c>
      <c r="D316" t="s">
        <v>49</v>
      </c>
      <c r="E316" t="s">
        <v>50</v>
      </c>
      <c r="F316" t="s">
        <v>51</v>
      </c>
      <c r="G316" t="s">
        <v>92</v>
      </c>
      <c r="H316" t="s">
        <v>1562</v>
      </c>
      <c r="I316" t="s">
        <v>1563</v>
      </c>
      <c r="J316" t="s">
        <v>104</v>
      </c>
      <c r="K316" t="s">
        <v>55</v>
      </c>
      <c r="L316" t="s">
        <v>1564</v>
      </c>
      <c r="M316" t="s">
        <v>57</v>
      </c>
      <c r="N316" t="str">
        <f>"046839"</f>
        <v>046839</v>
      </c>
      <c r="O316" t="s">
        <v>97</v>
      </c>
      <c r="P316" t="s">
        <v>84</v>
      </c>
      <c r="Q316">
        <v>16</v>
      </c>
      <c r="R316">
        <v>10.799999999999997</v>
      </c>
      <c r="S316" t="s">
        <v>60</v>
      </c>
    </row>
    <row r="317" spans="1:19" x14ac:dyDescent="0.35">
      <c r="A317">
        <v>200104</v>
      </c>
      <c r="B317" t="str">
        <f>"200104"</f>
        <v>200104</v>
      </c>
      <c r="C317" t="s">
        <v>1565</v>
      </c>
      <c r="D317" t="s">
        <v>49</v>
      </c>
      <c r="E317" t="s">
        <v>62</v>
      </c>
      <c r="F317" t="s">
        <v>51</v>
      </c>
      <c r="G317" t="s">
        <v>124</v>
      </c>
      <c r="H317" t="s">
        <v>1266</v>
      </c>
      <c r="I317" t="s">
        <v>1267</v>
      </c>
      <c r="J317" t="s">
        <v>586</v>
      </c>
      <c r="K317" t="s">
        <v>55</v>
      </c>
      <c r="L317" t="s">
        <v>587</v>
      </c>
      <c r="M317" t="s">
        <v>57</v>
      </c>
      <c r="N317" t="str">
        <f>"N/A"</f>
        <v>N/A</v>
      </c>
      <c r="O317" t="s">
        <v>49</v>
      </c>
      <c r="P317" t="s">
        <v>68</v>
      </c>
      <c r="Q317" t="s">
        <v>68</v>
      </c>
      <c r="R317" t="s">
        <v>68</v>
      </c>
      <c r="S317" t="s">
        <v>130</v>
      </c>
    </row>
    <row r="318" spans="1:19" x14ac:dyDescent="0.35">
      <c r="A318">
        <v>49080</v>
      </c>
      <c r="B318" t="str">
        <f>"049080"</f>
        <v>049080</v>
      </c>
      <c r="C318" t="s">
        <v>1566</v>
      </c>
      <c r="D318" t="s">
        <v>49</v>
      </c>
      <c r="E318" t="s">
        <v>50</v>
      </c>
      <c r="F318" t="s">
        <v>51</v>
      </c>
      <c r="G318" t="s">
        <v>1567</v>
      </c>
      <c r="H318" t="s">
        <v>1568</v>
      </c>
      <c r="I318" t="s">
        <v>1569</v>
      </c>
      <c r="J318" t="s">
        <v>1570</v>
      </c>
      <c r="K318" t="s">
        <v>55</v>
      </c>
      <c r="L318" t="s">
        <v>1571</v>
      </c>
      <c r="M318" t="s">
        <v>57</v>
      </c>
      <c r="N318" t="str">
        <f>"049072"</f>
        <v>049072</v>
      </c>
      <c r="O318" t="s">
        <v>1572</v>
      </c>
      <c r="P318" t="s">
        <v>84</v>
      </c>
      <c r="Q318">
        <v>39</v>
      </c>
      <c r="R318">
        <v>6.2000000000000028</v>
      </c>
      <c r="S318" t="s">
        <v>60</v>
      </c>
    </row>
    <row r="319" spans="1:19" x14ac:dyDescent="0.35">
      <c r="A319">
        <v>49981</v>
      </c>
      <c r="B319" t="str">
        <f>"049981"</f>
        <v>049981</v>
      </c>
      <c r="C319" t="s">
        <v>1573</v>
      </c>
      <c r="D319" t="s">
        <v>49</v>
      </c>
      <c r="E319" t="s">
        <v>50</v>
      </c>
      <c r="F319" t="s">
        <v>51</v>
      </c>
      <c r="G319" t="s">
        <v>264</v>
      </c>
      <c r="H319" t="s">
        <v>1574</v>
      </c>
      <c r="I319" t="s">
        <v>1575</v>
      </c>
      <c r="J319" t="s">
        <v>1576</v>
      </c>
      <c r="K319" t="s">
        <v>55</v>
      </c>
      <c r="L319" t="s">
        <v>1577</v>
      </c>
      <c r="M319" t="s">
        <v>57</v>
      </c>
      <c r="N319" t="str">
        <f>"050765"</f>
        <v>050765</v>
      </c>
      <c r="O319" t="s">
        <v>58</v>
      </c>
      <c r="P319" t="s">
        <v>59</v>
      </c>
      <c r="Q319">
        <v>15</v>
      </c>
      <c r="R319">
        <v>29.299999999999997</v>
      </c>
      <c r="S319" t="s">
        <v>77</v>
      </c>
    </row>
    <row r="320" spans="1:19" x14ac:dyDescent="0.35">
      <c r="A320">
        <v>43919</v>
      </c>
      <c r="B320" t="str">
        <f>"043919"</f>
        <v>043919</v>
      </c>
      <c r="C320" t="s">
        <v>1578</v>
      </c>
      <c r="D320" t="s">
        <v>49</v>
      </c>
      <c r="E320" t="s">
        <v>50</v>
      </c>
      <c r="F320" t="s">
        <v>51</v>
      </c>
      <c r="G320" t="s">
        <v>536</v>
      </c>
      <c r="H320" t="s">
        <v>1110</v>
      </c>
      <c r="I320" t="s">
        <v>1111</v>
      </c>
      <c r="J320" t="s">
        <v>539</v>
      </c>
      <c r="K320" t="s">
        <v>55</v>
      </c>
      <c r="L320" t="s">
        <v>540</v>
      </c>
      <c r="M320" t="s">
        <v>57</v>
      </c>
      <c r="N320" t="str">
        <f>"050765"</f>
        <v>050765</v>
      </c>
      <c r="O320" t="s">
        <v>58</v>
      </c>
      <c r="P320" t="s">
        <v>84</v>
      </c>
      <c r="Q320">
        <v>97</v>
      </c>
      <c r="R320">
        <v>17.099999999999994</v>
      </c>
      <c r="S320" t="s">
        <v>77</v>
      </c>
    </row>
    <row r="321" spans="1:19" x14ac:dyDescent="0.35">
      <c r="A321">
        <v>44008</v>
      </c>
      <c r="B321" t="str">
        <f>"044008"</f>
        <v>044008</v>
      </c>
      <c r="C321" t="s">
        <v>1579</v>
      </c>
      <c r="D321" t="s">
        <v>49</v>
      </c>
      <c r="E321" t="s">
        <v>50</v>
      </c>
      <c r="F321" t="s">
        <v>51</v>
      </c>
      <c r="G321" t="s">
        <v>172</v>
      </c>
      <c r="H321" t="s">
        <v>1580</v>
      </c>
      <c r="I321" t="s">
        <v>1581</v>
      </c>
      <c r="J321" t="s">
        <v>600</v>
      </c>
      <c r="K321" t="s">
        <v>55</v>
      </c>
      <c r="L321" t="s">
        <v>939</v>
      </c>
      <c r="M321" t="s">
        <v>57</v>
      </c>
      <c r="N321" t="str">
        <f>"050765"</f>
        <v>050765</v>
      </c>
      <c r="O321" t="s">
        <v>58</v>
      </c>
      <c r="P321" t="s">
        <v>84</v>
      </c>
      <c r="Q321">
        <v>51.9</v>
      </c>
      <c r="R321">
        <v>14.400000000000006</v>
      </c>
      <c r="S321" t="s">
        <v>217</v>
      </c>
    </row>
    <row r="322" spans="1:19" x14ac:dyDescent="0.35">
      <c r="A322">
        <v>46391</v>
      </c>
      <c r="B322" t="str">
        <f>"046391"</f>
        <v>046391</v>
      </c>
      <c r="C322" t="s">
        <v>1582</v>
      </c>
      <c r="D322" t="s">
        <v>49</v>
      </c>
      <c r="E322" t="s">
        <v>50</v>
      </c>
      <c r="F322" t="s">
        <v>51</v>
      </c>
      <c r="G322" t="s">
        <v>250</v>
      </c>
      <c r="H322" t="s">
        <v>1583</v>
      </c>
      <c r="I322" t="s">
        <v>1584</v>
      </c>
      <c r="J322" t="s">
        <v>1585</v>
      </c>
      <c r="K322" t="s">
        <v>55</v>
      </c>
      <c r="L322" t="s">
        <v>1586</v>
      </c>
      <c r="M322" t="s">
        <v>57</v>
      </c>
      <c r="N322" t="str">
        <f>"046375"</f>
        <v>046375</v>
      </c>
      <c r="O322" t="s">
        <v>255</v>
      </c>
      <c r="P322" t="s">
        <v>76</v>
      </c>
      <c r="Q322">
        <v>20.8</v>
      </c>
      <c r="R322">
        <v>3.2999999999999972</v>
      </c>
      <c r="S322" t="s">
        <v>60</v>
      </c>
    </row>
    <row r="323" spans="1:19" x14ac:dyDescent="0.35">
      <c r="A323">
        <v>46979</v>
      </c>
      <c r="B323" t="str">
        <f>"046979"</f>
        <v>046979</v>
      </c>
      <c r="C323" t="s">
        <v>1587</v>
      </c>
      <c r="D323" t="s">
        <v>49</v>
      </c>
      <c r="E323" t="s">
        <v>50</v>
      </c>
      <c r="F323" t="s">
        <v>51</v>
      </c>
      <c r="G323" t="s">
        <v>600</v>
      </c>
      <c r="H323" t="s">
        <v>1588</v>
      </c>
      <c r="I323" t="s">
        <v>1589</v>
      </c>
      <c r="J323" t="s">
        <v>1081</v>
      </c>
      <c r="K323" t="s">
        <v>55</v>
      </c>
      <c r="L323" t="s">
        <v>1082</v>
      </c>
      <c r="M323" t="s">
        <v>57</v>
      </c>
      <c r="N323" t="str">
        <f>"046938"</f>
        <v>046938</v>
      </c>
      <c r="O323" t="s">
        <v>1029</v>
      </c>
      <c r="P323" t="s">
        <v>281</v>
      </c>
      <c r="Q323">
        <v>72.2</v>
      </c>
      <c r="R323">
        <v>72.2</v>
      </c>
      <c r="S323" t="s">
        <v>60</v>
      </c>
    </row>
    <row r="324" spans="1:19" x14ac:dyDescent="0.35">
      <c r="A324">
        <v>49056</v>
      </c>
      <c r="B324" t="str">
        <f>"049056"</f>
        <v>049056</v>
      </c>
      <c r="C324" t="s">
        <v>1590</v>
      </c>
      <c r="D324" t="s">
        <v>49</v>
      </c>
      <c r="E324" t="s">
        <v>50</v>
      </c>
      <c r="F324" t="s">
        <v>51</v>
      </c>
      <c r="G324" t="s">
        <v>1551</v>
      </c>
      <c r="H324" t="s">
        <v>1591</v>
      </c>
      <c r="I324" t="s">
        <v>1592</v>
      </c>
      <c r="J324" t="s">
        <v>1593</v>
      </c>
      <c r="K324" t="s">
        <v>55</v>
      </c>
      <c r="L324" t="s">
        <v>1594</v>
      </c>
      <c r="M324" t="s">
        <v>57</v>
      </c>
      <c r="N324" t="str">
        <f>"125674"</f>
        <v>125674</v>
      </c>
      <c r="O324" t="s">
        <v>1547</v>
      </c>
      <c r="P324" t="s">
        <v>76</v>
      </c>
      <c r="Q324">
        <v>25.6</v>
      </c>
      <c r="R324">
        <v>3.5999999999999943</v>
      </c>
      <c r="S324" t="s">
        <v>130</v>
      </c>
    </row>
    <row r="325" spans="1:19" x14ac:dyDescent="0.35">
      <c r="A325">
        <v>49213</v>
      </c>
      <c r="B325" t="str">
        <f>"049213"</f>
        <v>049213</v>
      </c>
      <c r="C325" t="s">
        <v>1595</v>
      </c>
      <c r="D325" t="s">
        <v>49</v>
      </c>
      <c r="E325" t="s">
        <v>50</v>
      </c>
      <c r="F325" t="s">
        <v>51</v>
      </c>
      <c r="G325" t="s">
        <v>295</v>
      </c>
      <c r="H325" t="s">
        <v>1596</v>
      </c>
      <c r="I325" t="s">
        <v>1597</v>
      </c>
      <c r="J325" t="s">
        <v>1598</v>
      </c>
      <c r="K325" t="s">
        <v>55</v>
      </c>
      <c r="L325" t="s">
        <v>1599</v>
      </c>
      <c r="M325" t="s">
        <v>57</v>
      </c>
      <c r="N325" t="str">
        <f>"049965"</f>
        <v>049965</v>
      </c>
      <c r="O325" t="s">
        <v>269</v>
      </c>
      <c r="P325" t="s">
        <v>84</v>
      </c>
      <c r="Q325">
        <v>25.3</v>
      </c>
      <c r="R325">
        <v>7.5999999999999943</v>
      </c>
      <c r="S325" t="s">
        <v>77</v>
      </c>
    </row>
    <row r="326" spans="1:19" x14ac:dyDescent="0.35">
      <c r="A326">
        <v>200093</v>
      </c>
      <c r="B326" t="str">
        <f>"200093"</f>
        <v>200093</v>
      </c>
      <c r="C326" t="s">
        <v>1600</v>
      </c>
      <c r="D326" t="s">
        <v>49</v>
      </c>
      <c r="E326" t="s">
        <v>62</v>
      </c>
      <c r="F326" t="s">
        <v>51</v>
      </c>
      <c r="G326" t="s">
        <v>117</v>
      </c>
      <c r="H326" t="s">
        <v>1407</v>
      </c>
      <c r="I326" t="s">
        <v>1408</v>
      </c>
      <c r="J326" t="s">
        <v>1409</v>
      </c>
      <c r="K326" t="s">
        <v>55</v>
      </c>
      <c r="L326" t="s">
        <v>1410</v>
      </c>
      <c r="M326" t="s">
        <v>57</v>
      </c>
      <c r="N326" t="str">
        <f>"N/A"</f>
        <v>N/A</v>
      </c>
      <c r="O326" t="s">
        <v>49</v>
      </c>
      <c r="P326" t="s">
        <v>68</v>
      </c>
      <c r="Q326" t="s">
        <v>68</v>
      </c>
      <c r="R326" t="s">
        <v>68</v>
      </c>
      <c r="S326" t="s">
        <v>77</v>
      </c>
    </row>
    <row r="327" spans="1:19" x14ac:dyDescent="0.35">
      <c r="A327">
        <v>49478</v>
      </c>
      <c r="B327" t="str">
        <f>"049478"</f>
        <v>049478</v>
      </c>
      <c r="C327" t="s">
        <v>1601</v>
      </c>
      <c r="D327" t="s">
        <v>49</v>
      </c>
      <c r="E327" t="s">
        <v>50</v>
      </c>
      <c r="F327" t="s">
        <v>51</v>
      </c>
      <c r="G327" t="s">
        <v>663</v>
      </c>
      <c r="H327" t="s">
        <v>1602</v>
      </c>
      <c r="I327" t="s">
        <v>1603</v>
      </c>
      <c r="J327" t="s">
        <v>1604</v>
      </c>
      <c r="K327" t="s">
        <v>55</v>
      </c>
      <c r="L327" t="s">
        <v>1605</v>
      </c>
      <c r="M327" t="s">
        <v>57</v>
      </c>
      <c r="N327" t="str">
        <f>"123257"</f>
        <v>123257</v>
      </c>
      <c r="O327" t="s">
        <v>316</v>
      </c>
      <c r="P327" t="s">
        <v>84</v>
      </c>
      <c r="Q327">
        <v>30.3</v>
      </c>
      <c r="R327">
        <v>15</v>
      </c>
      <c r="S327" t="s">
        <v>77</v>
      </c>
    </row>
    <row r="328" spans="1:19" x14ac:dyDescent="0.35">
      <c r="A328">
        <v>50625</v>
      </c>
      <c r="B328" t="str">
        <f>"050625"</f>
        <v>050625</v>
      </c>
      <c r="C328" t="s">
        <v>1606</v>
      </c>
      <c r="D328" t="s">
        <v>49</v>
      </c>
      <c r="E328" t="s">
        <v>50</v>
      </c>
      <c r="F328" t="s">
        <v>51</v>
      </c>
      <c r="G328" t="s">
        <v>1118</v>
      </c>
      <c r="H328" t="s">
        <v>1607</v>
      </c>
      <c r="I328" t="s">
        <v>1608</v>
      </c>
      <c r="J328" t="s">
        <v>1609</v>
      </c>
      <c r="K328" t="s">
        <v>55</v>
      </c>
      <c r="L328" t="s">
        <v>1610</v>
      </c>
      <c r="M328" t="s">
        <v>57</v>
      </c>
      <c r="N328" t="str">
        <f>"124297"</f>
        <v>124297</v>
      </c>
      <c r="O328" t="s">
        <v>349</v>
      </c>
      <c r="P328" t="s">
        <v>76</v>
      </c>
      <c r="Q328">
        <v>32.5</v>
      </c>
      <c r="R328">
        <v>7.0999999999999943</v>
      </c>
      <c r="S328" t="s">
        <v>156</v>
      </c>
    </row>
    <row r="329" spans="1:19" x14ac:dyDescent="0.35">
      <c r="A329">
        <v>51672</v>
      </c>
      <c r="B329" t="str">
        <f>"051672"</f>
        <v>051672</v>
      </c>
      <c r="C329" t="s">
        <v>1611</v>
      </c>
      <c r="D329" t="s">
        <v>49</v>
      </c>
      <c r="E329" t="s">
        <v>163</v>
      </c>
      <c r="F329" t="s">
        <v>51</v>
      </c>
      <c r="G329" t="s">
        <v>1020</v>
      </c>
      <c r="H329" t="s">
        <v>1523</v>
      </c>
      <c r="I329" t="s">
        <v>1524</v>
      </c>
      <c r="J329" t="s">
        <v>1020</v>
      </c>
      <c r="K329" t="s">
        <v>55</v>
      </c>
      <c r="L329" t="s">
        <v>1023</v>
      </c>
      <c r="M329" t="s">
        <v>57</v>
      </c>
      <c r="N329" t="str">
        <f>"050765"</f>
        <v>050765</v>
      </c>
      <c r="O329" t="s">
        <v>58</v>
      </c>
      <c r="P329" t="s">
        <v>68</v>
      </c>
      <c r="Q329" t="s">
        <v>68</v>
      </c>
      <c r="R329" t="s">
        <v>68</v>
      </c>
      <c r="S329" t="s">
        <v>156</v>
      </c>
    </row>
    <row r="330" spans="1:19" x14ac:dyDescent="0.35">
      <c r="A330">
        <v>200108</v>
      </c>
      <c r="B330" t="str">
        <f>"200108"</f>
        <v>200108</v>
      </c>
      <c r="C330" t="s">
        <v>1612</v>
      </c>
      <c r="D330" t="s">
        <v>49</v>
      </c>
      <c r="E330" t="s">
        <v>62</v>
      </c>
      <c r="F330" t="s">
        <v>51</v>
      </c>
      <c r="G330" t="s">
        <v>1613</v>
      </c>
      <c r="H330" t="s">
        <v>1614</v>
      </c>
      <c r="I330" t="s">
        <v>1615</v>
      </c>
      <c r="J330" t="s">
        <v>1613</v>
      </c>
      <c r="K330" t="s">
        <v>55</v>
      </c>
      <c r="L330" t="s">
        <v>1616</v>
      </c>
      <c r="M330" t="s">
        <v>57</v>
      </c>
      <c r="N330" t="str">
        <f>"N/A"</f>
        <v>N/A</v>
      </c>
      <c r="O330" t="s">
        <v>49</v>
      </c>
      <c r="P330" t="s">
        <v>68</v>
      </c>
      <c r="Q330" t="s">
        <v>68</v>
      </c>
      <c r="R330" t="s">
        <v>68</v>
      </c>
      <c r="S330" t="s">
        <v>130</v>
      </c>
    </row>
    <row r="331" spans="1:19" x14ac:dyDescent="0.35">
      <c r="A331">
        <v>43653</v>
      </c>
      <c r="B331" t="str">
        <f>"043653"</f>
        <v>043653</v>
      </c>
      <c r="C331" t="s">
        <v>1617</v>
      </c>
      <c r="D331" t="s">
        <v>49</v>
      </c>
      <c r="E331" t="s">
        <v>50</v>
      </c>
      <c r="F331" t="s">
        <v>51</v>
      </c>
      <c r="G331" t="s">
        <v>63</v>
      </c>
      <c r="H331" t="s">
        <v>1618</v>
      </c>
      <c r="I331" t="s">
        <v>1619</v>
      </c>
      <c r="J331" t="s">
        <v>1620</v>
      </c>
      <c r="K331" t="s">
        <v>55</v>
      </c>
      <c r="L331" t="s">
        <v>1621</v>
      </c>
      <c r="M331" t="s">
        <v>57</v>
      </c>
      <c r="N331" t="str">
        <f>"050765"</f>
        <v>050765</v>
      </c>
      <c r="O331" t="s">
        <v>58</v>
      </c>
      <c r="P331" t="s">
        <v>281</v>
      </c>
      <c r="Q331">
        <v>57.9</v>
      </c>
      <c r="R331">
        <v>49.7</v>
      </c>
      <c r="S331" t="s">
        <v>69</v>
      </c>
    </row>
    <row r="332" spans="1:19" x14ac:dyDescent="0.35">
      <c r="A332">
        <v>43679</v>
      </c>
      <c r="B332" t="str">
        <f>"043679"</f>
        <v>043679</v>
      </c>
      <c r="C332" t="s">
        <v>1622</v>
      </c>
      <c r="D332" t="s">
        <v>49</v>
      </c>
      <c r="E332" t="s">
        <v>50</v>
      </c>
      <c r="F332" t="s">
        <v>51</v>
      </c>
      <c r="G332" t="s">
        <v>1118</v>
      </c>
      <c r="H332" t="s">
        <v>1623</v>
      </c>
      <c r="I332" t="s">
        <v>1624</v>
      </c>
      <c r="J332" t="s">
        <v>1625</v>
      </c>
      <c r="K332" t="s">
        <v>55</v>
      </c>
      <c r="L332" t="s">
        <v>1626</v>
      </c>
      <c r="M332" t="s">
        <v>57</v>
      </c>
      <c r="N332" t="str">
        <f>"050765"</f>
        <v>050765</v>
      </c>
      <c r="O332" t="s">
        <v>58</v>
      </c>
      <c r="P332" t="s">
        <v>84</v>
      </c>
      <c r="Q332">
        <v>30.8</v>
      </c>
      <c r="R332">
        <v>15.200000000000003</v>
      </c>
      <c r="S332" t="s">
        <v>156</v>
      </c>
    </row>
    <row r="333" spans="1:19" x14ac:dyDescent="0.35">
      <c r="A333">
        <v>44412</v>
      </c>
      <c r="B333" t="str">
        <f>"044412"</f>
        <v>044412</v>
      </c>
      <c r="C333" t="s">
        <v>1627</v>
      </c>
      <c r="D333" t="s">
        <v>49</v>
      </c>
      <c r="E333" t="s">
        <v>50</v>
      </c>
      <c r="F333" t="s">
        <v>51</v>
      </c>
      <c r="G333" t="s">
        <v>212</v>
      </c>
      <c r="H333" t="s">
        <v>1628</v>
      </c>
      <c r="I333" t="s">
        <v>1629</v>
      </c>
      <c r="J333" t="s">
        <v>215</v>
      </c>
      <c r="K333" t="s">
        <v>55</v>
      </c>
      <c r="L333" t="s">
        <v>914</v>
      </c>
      <c r="M333" t="s">
        <v>57</v>
      </c>
      <c r="N333" t="str">
        <f>"050765"</f>
        <v>050765</v>
      </c>
      <c r="O333" t="s">
        <v>58</v>
      </c>
      <c r="P333" t="s">
        <v>281</v>
      </c>
      <c r="Q333">
        <v>98.5</v>
      </c>
      <c r="R333">
        <v>88.8</v>
      </c>
      <c r="S333" t="s">
        <v>217</v>
      </c>
    </row>
    <row r="334" spans="1:19" x14ac:dyDescent="0.35">
      <c r="A334">
        <v>51201</v>
      </c>
      <c r="B334" t="str">
        <f>"051201"</f>
        <v>051201</v>
      </c>
      <c r="C334" t="s">
        <v>1630</v>
      </c>
      <c r="D334" t="s">
        <v>49</v>
      </c>
      <c r="E334" t="s">
        <v>163</v>
      </c>
      <c r="F334" t="s">
        <v>51</v>
      </c>
      <c r="G334" t="s">
        <v>110</v>
      </c>
      <c r="H334" t="s">
        <v>1535</v>
      </c>
      <c r="I334" t="s">
        <v>1536</v>
      </c>
      <c r="J334" t="s">
        <v>671</v>
      </c>
      <c r="K334" t="s">
        <v>55</v>
      </c>
      <c r="L334" t="s">
        <v>672</v>
      </c>
      <c r="M334" t="s">
        <v>57</v>
      </c>
      <c r="N334" t="str">
        <f>"050765"</f>
        <v>050765</v>
      </c>
      <c r="O334" t="s">
        <v>58</v>
      </c>
      <c r="P334" t="s">
        <v>68</v>
      </c>
      <c r="Q334" t="s">
        <v>68</v>
      </c>
      <c r="R334" t="s">
        <v>68</v>
      </c>
      <c r="S334" t="s">
        <v>60</v>
      </c>
    </row>
    <row r="335" spans="1:19" x14ac:dyDescent="0.35">
      <c r="A335">
        <v>200083</v>
      </c>
      <c r="B335" t="str">
        <f>"200083"</f>
        <v>200083</v>
      </c>
      <c r="C335" t="s">
        <v>1631</v>
      </c>
      <c r="D335" t="s">
        <v>49</v>
      </c>
      <c r="E335" t="s">
        <v>62</v>
      </c>
      <c r="F335" t="s">
        <v>51</v>
      </c>
      <c r="G335" t="s">
        <v>663</v>
      </c>
      <c r="H335" t="s">
        <v>833</v>
      </c>
      <c r="I335" t="s">
        <v>834</v>
      </c>
      <c r="J335" t="s">
        <v>572</v>
      </c>
      <c r="K335" t="s">
        <v>55</v>
      </c>
      <c r="L335" t="s">
        <v>835</v>
      </c>
      <c r="M335" t="s">
        <v>57</v>
      </c>
      <c r="N335" t="str">
        <f>"N/A"</f>
        <v>N/A</v>
      </c>
      <c r="O335" t="s">
        <v>49</v>
      </c>
      <c r="P335" t="s">
        <v>68</v>
      </c>
      <c r="Q335" t="s">
        <v>68</v>
      </c>
      <c r="R335" t="s">
        <v>68</v>
      </c>
      <c r="S335" t="s">
        <v>77</v>
      </c>
    </row>
    <row r="336" spans="1:19" x14ac:dyDescent="0.35">
      <c r="A336">
        <v>200020</v>
      </c>
      <c r="B336" t="str">
        <f>"200020"</f>
        <v>200020</v>
      </c>
      <c r="C336" t="s">
        <v>1632</v>
      </c>
      <c r="D336" t="s">
        <v>49</v>
      </c>
      <c r="E336" t="s">
        <v>62</v>
      </c>
      <c r="F336" t="s">
        <v>51</v>
      </c>
      <c r="G336" t="s">
        <v>63</v>
      </c>
      <c r="H336" t="s">
        <v>1633</v>
      </c>
      <c r="I336" t="s">
        <v>1634</v>
      </c>
      <c r="J336" t="s">
        <v>1635</v>
      </c>
      <c r="K336" t="s">
        <v>55</v>
      </c>
      <c r="L336" t="s">
        <v>1636</v>
      </c>
      <c r="M336" t="s">
        <v>57</v>
      </c>
      <c r="N336" t="str">
        <f>"N/A"</f>
        <v>N/A</v>
      </c>
      <c r="O336" t="s">
        <v>49</v>
      </c>
      <c r="P336" t="s">
        <v>68</v>
      </c>
      <c r="Q336" t="s">
        <v>68</v>
      </c>
      <c r="R336" t="s">
        <v>68</v>
      </c>
      <c r="S336" t="s">
        <v>69</v>
      </c>
    </row>
    <row r="337" spans="1:19" x14ac:dyDescent="0.35">
      <c r="A337">
        <v>44149</v>
      </c>
      <c r="B337" t="str">
        <f>"044149"</f>
        <v>044149</v>
      </c>
      <c r="C337" t="s">
        <v>1637</v>
      </c>
      <c r="D337" t="s">
        <v>49</v>
      </c>
      <c r="E337" t="s">
        <v>50</v>
      </c>
      <c r="F337" t="s">
        <v>51</v>
      </c>
      <c r="G337" t="s">
        <v>1335</v>
      </c>
      <c r="H337" t="s">
        <v>1638</v>
      </c>
      <c r="I337" t="s">
        <v>1639</v>
      </c>
      <c r="J337" t="s">
        <v>1640</v>
      </c>
      <c r="K337" t="s">
        <v>55</v>
      </c>
      <c r="L337" t="s">
        <v>1641</v>
      </c>
      <c r="M337" t="s">
        <v>57</v>
      </c>
      <c r="N337" t="str">
        <f>"050765"</f>
        <v>050765</v>
      </c>
      <c r="O337" t="s">
        <v>58</v>
      </c>
      <c r="P337" t="s">
        <v>84</v>
      </c>
      <c r="Q337">
        <v>99.4</v>
      </c>
      <c r="R337">
        <v>14.5</v>
      </c>
      <c r="S337" t="s">
        <v>130</v>
      </c>
    </row>
    <row r="338" spans="1:19" x14ac:dyDescent="0.35">
      <c r="A338">
        <v>45831</v>
      </c>
      <c r="B338" t="str">
        <f>"045831"</f>
        <v>045831</v>
      </c>
      <c r="C338" t="s">
        <v>1642</v>
      </c>
      <c r="D338" t="s">
        <v>49</v>
      </c>
      <c r="E338" t="s">
        <v>50</v>
      </c>
      <c r="F338" t="s">
        <v>51</v>
      </c>
      <c r="G338" t="s">
        <v>855</v>
      </c>
      <c r="H338" t="s">
        <v>1643</v>
      </c>
      <c r="I338" t="s">
        <v>1644</v>
      </c>
      <c r="J338" t="s">
        <v>855</v>
      </c>
      <c r="K338" t="s">
        <v>55</v>
      </c>
      <c r="L338" t="s">
        <v>1457</v>
      </c>
      <c r="M338" t="s">
        <v>57</v>
      </c>
      <c r="N338" t="str">
        <f>"050526"</f>
        <v>050526</v>
      </c>
      <c r="O338" t="s">
        <v>192</v>
      </c>
      <c r="P338" t="s">
        <v>76</v>
      </c>
      <c r="Q338">
        <v>33.9</v>
      </c>
      <c r="R338">
        <v>2.7000000000000028</v>
      </c>
      <c r="S338" t="s">
        <v>77</v>
      </c>
    </row>
    <row r="339" spans="1:19" x14ac:dyDescent="0.35">
      <c r="A339">
        <v>200001</v>
      </c>
      <c r="B339" t="str">
        <f>"200001"</f>
        <v>200001</v>
      </c>
      <c r="C339" t="s">
        <v>1645</v>
      </c>
      <c r="D339" t="s">
        <v>49</v>
      </c>
      <c r="E339" t="s">
        <v>62</v>
      </c>
      <c r="F339" t="s">
        <v>51</v>
      </c>
      <c r="G339" t="s">
        <v>1193</v>
      </c>
      <c r="H339" t="s">
        <v>1646</v>
      </c>
      <c r="I339" t="s">
        <v>1647</v>
      </c>
      <c r="J339" t="s">
        <v>1196</v>
      </c>
      <c r="K339" t="s">
        <v>55</v>
      </c>
      <c r="L339" t="s">
        <v>1648</v>
      </c>
      <c r="M339" t="s">
        <v>57</v>
      </c>
      <c r="N339" t="str">
        <f>"N/A"</f>
        <v>N/A</v>
      </c>
      <c r="O339" t="s">
        <v>49</v>
      </c>
      <c r="P339" t="s">
        <v>68</v>
      </c>
      <c r="Q339" t="s">
        <v>68</v>
      </c>
      <c r="R339" t="s">
        <v>68</v>
      </c>
      <c r="S339" t="s">
        <v>156</v>
      </c>
    </row>
    <row r="340" spans="1:19" x14ac:dyDescent="0.35">
      <c r="A340">
        <v>44123</v>
      </c>
      <c r="B340" t="str">
        <f>"044123"</f>
        <v>044123</v>
      </c>
      <c r="C340" t="s">
        <v>1649</v>
      </c>
      <c r="D340" t="s">
        <v>49</v>
      </c>
      <c r="E340" t="s">
        <v>50</v>
      </c>
      <c r="F340" t="s">
        <v>51</v>
      </c>
      <c r="G340" t="s">
        <v>719</v>
      </c>
      <c r="H340" t="s">
        <v>1650</v>
      </c>
      <c r="I340" t="s">
        <v>1651</v>
      </c>
      <c r="J340" t="s">
        <v>1652</v>
      </c>
      <c r="K340" t="s">
        <v>55</v>
      </c>
      <c r="L340" t="s">
        <v>1653</v>
      </c>
      <c r="M340" t="s">
        <v>57</v>
      </c>
      <c r="N340" t="str">
        <f>"050765"</f>
        <v>050765</v>
      </c>
      <c r="O340" t="s">
        <v>58</v>
      </c>
      <c r="P340" t="s">
        <v>84</v>
      </c>
      <c r="Q340">
        <v>50.9</v>
      </c>
      <c r="R340">
        <v>10.599999999999994</v>
      </c>
      <c r="S340" t="s">
        <v>130</v>
      </c>
    </row>
    <row r="341" spans="1:19" x14ac:dyDescent="0.35">
      <c r="A341">
        <v>48553</v>
      </c>
      <c r="B341" t="str">
        <f>"048553"</f>
        <v>048553</v>
      </c>
      <c r="C341" t="s">
        <v>1654</v>
      </c>
      <c r="D341" t="s">
        <v>49</v>
      </c>
      <c r="E341" t="s">
        <v>50</v>
      </c>
      <c r="F341" t="s">
        <v>51</v>
      </c>
      <c r="G341" t="s">
        <v>423</v>
      </c>
      <c r="H341" t="s">
        <v>1655</v>
      </c>
      <c r="I341" t="s">
        <v>1656</v>
      </c>
      <c r="J341" t="s">
        <v>1657</v>
      </c>
      <c r="K341" t="s">
        <v>55</v>
      </c>
      <c r="L341" t="s">
        <v>1658</v>
      </c>
      <c r="M341" t="s">
        <v>57</v>
      </c>
      <c r="N341" t="str">
        <f>"048546"</f>
        <v>048546</v>
      </c>
      <c r="O341" t="s">
        <v>1330</v>
      </c>
      <c r="P341" t="s">
        <v>76</v>
      </c>
      <c r="Q341">
        <v>3.3</v>
      </c>
      <c r="R341">
        <v>2.2999999999999972</v>
      </c>
      <c r="S341" t="s">
        <v>156</v>
      </c>
    </row>
    <row r="342" spans="1:19" x14ac:dyDescent="0.35">
      <c r="A342">
        <v>200035</v>
      </c>
      <c r="B342" t="str">
        <f>"200035"</f>
        <v>200035</v>
      </c>
      <c r="C342" t="s">
        <v>1659</v>
      </c>
      <c r="D342" t="s">
        <v>49</v>
      </c>
      <c r="E342" t="s">
        <v>62</v>
      </c>
      <c r="F342" t="s">
        <v>51</v>
      </c>
      <c r="G342" t="s">
        <v>600</v>
      </c>
      <c r="H342" t="s">
        <v>1660</v>
      </c>
      <c r="I342" t="s">
        <v>1661</v>
      </c>
      <c r="J342" t="s">
        <v>1348</v>
      </c>
      <c r="K342" t="s">
        <v>55</v>
      </c>
      <c r="L342" t="s">
        <v>1516</v>
      </c>
      <c r="M342" t="s">
        <v>57</v>
      </c>
      <c r="N342" t="str">
        <f>"N/A"</f>
        <v>N/A</v>
      </c>
      <c r="O342" t="s">
        <v>49</v>
      </c>
      <c r="P342" t="s">
        <v>68</v>
      </c>
      <c r="Q342" t="s">
        <v>68</v>
      </c>
      <c r="R342" t="s">
        <v>68</v>
      </c>
      <c r="S342" t="s">
        <v>60</v>
      </c>
    </row>
    <row r="343" spans="1:19" x14ac:dyDescent="0.35">
      <c r="A343">
        <v>200036</v>
      </c>
      <c r="B343" t="str">
        <f>"200036"</f>
        <v>200036</v>
      </c>
      <c r="C343" t="s">
        <v>1662</v>
      </c>
      <c r="D343" t="s">
        <v>49</v>
      </c>
      <c r="E343" t="s">
        <v>62</v>
      </c>
      <c r="F343" t="s">
        <v>51</v>
      </c>
      <c r="G343" t="s">
        <v>600</v>
      </c>
      <c r="H343" t="s">
        <v>1663</v>
      </c>
      <c r="I343" t="s">
        <v>1664</v>
      </c>
      <c r="J343" t="s">
        <v>1081</v>
      </c>
      <c r="K343" t="s">
        <v>55</v>
      </c>
      <c r="L343" t="s">
        <v>1082</v>
      </c>
      <c r="M343" t="s">
        <v>57</v>
      </c>
      <c r="N343" t="str">
        <f>"N/A"</f>
        <v>N/A</v>
      </c>
      <c r="O343" t="s">
        <v>49</v>
      </c>
      <c r="P343" t="s">
        <v>68</v>
      </c>
      <c r="Q343" t="s">
        <v>68</v>
      </c>
      <c r="R343" t="s">
        <v>68</v>
      </c>
      <c r="S343" t="s">
        <v>60</v>
      </c>
    </row>
    <row r="344" spans="1:19" x14ac:dyDescent="0.35">
      <c r="A344">
        <v>48397</v>
      </c>
      <c r="B344" t="str">
        <f>"048397"</f>
        <v>048397</v>
      </c>
      <c r="C344" t="s">
        <v>467</v>
      </c>
      <c r="D344" t="s">
        <v>49</v>
      </c>
      <c r="E344" t="s">
        <v>50</v>
      </c>
      <c r="F344" t="s">
        <v>51</v>
      </c>
      <c r="G344" t="s">
        <v>383</v>
      </c>
      <c r="H344" t="s">
        <v>1665</v>
      </c>
      <c r="I344" t="s">
        <v>1666</v>
      </c>
      <c r="J344" t="s">
        <v>1667</v>
      </c>
      <c r="K344" t="s">
        <v>55</v>
      </c>
      <c r="L344" t="s">
        <v>1668</v>
      </c>
      <c r="M344" t="s">
        <v>57</v>
      </c>
      <c r="N344" t="str">
        <f>"048280"</f>
        <v>048280</v>
      </c>
      <c r="O344" t="s">
        <v>388</v>
      </c>
      <c r="P344" t="s">
        <v>76</v>
      </c>
      <c r="Q344">
        <v>22.5</v>
      </c>
      <c r="R344">
        <v>4.5</v>
      </c>
      <c r="S344" t="s">
        <v>77</v>
      </c>
    </row>
    <row r="345" spans="1:19" x14ac:dyDescent="0.35">
      <c r="A345">
        <v>49528</v>
      </c>
      <c r="B345" t="str">
        <f>"049528"</f>
        <v>049528</v>
      </c>
      <c r="C345" t="s">
        <v>1217</v>
      </c>
      <c r="D345" t="s">
        <v>49</v>
      </c>
      <c r="E345" t="s">
        <v>50</v>
      </c>
      <c r="F345" t="s">
        <v>51</v>
      </c>
      <c r="G345" t="s">
        <v>318</v>
      </c>
      <c r="H345" t="s">
        <v>1669</v>
      </c>
      <c r="I345" t="s">
        <v>1670</v>
      </c>
      <c r="J345" t="s">
        <v>321</v>
      </c>
      <c r="K345" t="s">
        <v>55</v>
      </c>
      <c r="L345" t="s">
        <v>322</v>
      </c>
      <c r="M345" t="s">
        <v>57</v>
      </c>
      <c r="N345" t="str">
        <f>"138222"</f>
        <v>138222</v>
      </c>
      <c r="O345" t="s">
        <v>323</v>
      </c>
      <c r="P345" t="s">
        <v>76</v>
      </c>
      <c r="Q345">
        <v>53.9</v>
      </c>
      <c r="R345">
        <v>4.7999999999999972</v>
      </c>
      <c r="S345" t="s">
        <v>130</v>
      </c>
    </row>
    <row r="346" spans="1:19" x14ac:dyDescent="0.35">
      <c r="A346">
        <v>129</v>
      </c>
      <c r="B346" t="str">
        <f>"000129"</f>
        <v>000129</v>
      </c>
      <c r="C346" t="s">
        <v>1284</v>
      </c>
      <c r="D346" t="s">
        <v>49</v>
      </c>
      <c r="E346" t="s">
        <v>606</v>
      </c>
      <c r="F346" t="s">
        <v>51</v>
      </c>
      <c r="G346" t="s">
        <v>117</v>
      </c>
      <c r="H346" t="s">
        <v>1671</v>
      </c>
      <c r="I346" t="s">
        <v>1672</v>
      </c>
      <c r="J346" t="s">
        <v>1673</v>
      </c>
      <c r="K346" t="s">
        <v>55</v>
      </c>
      <c r="L346" t="s">
        <v>1674</v>
      </c>
      <c r="M346" t="s">
        <v>57</v>
      </c>
      <c r="N346" t="str">
        <f>"N/A"</f>
        <v>N/A</v>
      </c>
      <c r="O346" t="s">
        <v>49</v>
      </c>
      <c r="P346" t="s">
        <v>68</v>
      </c>
      <c r="Q346" t="s">
        <v>68</v>
      </c>
      <c r="R346" t="s">
        <v>68</v>
      </c>
      <c r="S346" t="s">
        <v>77</v>
      </c>
    </row>
    <row r="347" spans="1:19" x14ac:dyDescent="0.35">
      <c r="A347">
        <v>200116</v>
      </c>
      <c r="B347" t="str">
        <f>"200116"</f>
        <v>200116</v>
      </c>
      <c r="C347" t="s">
        <v>1675</v>
      </c>
      <c r="D347" t="s">
        <v>49</v>
      </c>
      <c r="E347" t="s">
        <v>62</v>
      </c>
      <c r="F347" t="s">
        <v>51</v>
      </c>
      <c r="G347" t="s">
        <v>821</v>
      </c>
      <c r="H347" t="s">
        <v>1676</v>
      </c>
      <c r="I347" t="s">
        <v>1677</v>
      </c>
      <c r="J347" t="s">
        <v>1427</v>
      </c>
      <c r="K347" t="s">
        <v>55</v>
      </c>
      <c r="L347" t="s">
        <v>1428</v>
      </c>
      <c r="M347" t="s">
        <v>57</v>
      </c>
      <c r="N347" t="str">
        <f>"N/A"</f>
        <v>N/A</v>
      </c>
      <c r="O347" t="s">
        <v>49</v>
      </c>
      <c r="P347" t="s">
        <v>68</v>
      </c>
      <c r="Q347" t="s">
        <v>68</v>
      </c>
      <c r="R347" t="s">
        <v>68</v>
      </c>
      <c r="S347" t="s">
        <v>156</v>
      </c>
    </row>
    <row r="348" spans="1:19" x14ac:dyDescent="0.35">
      <c r="A348">
        <v>47308</v>
      </c>
      <c r="B348" t="str">
        <f>"047308"</f>
        <v>047308</v>
      </c>
      <c r="C348" t="s">
        <v>1678</v>
      </c>
      <c r="D348" t="s">
        <v>49</v>
      </c>
      <c r="E348" t="s">
        <v>50</v>
      </c>
      <c r="F348" t="s">
        <v>51</v>
      </c>
      <c r="G348" t="s">
        <v>1679</v>
      </c>
      <c r="H348" t="s">
        <v>1680</v>
      </c>
      <c r="I348" t="s">
        <v>1681</v>
      </c>
      <c r="J348" t="s">
        <v>1157</v>
      </c>
      <c r="K348" t="s">
        <v>55</v>
      </c>
      <c r="L348" t="s">
        <v>1158</v>
      </c>
      <c r="M348" t="s">
        <v>57</v>
      </c>
      <c r="N348" t="str">
        <f>"123281"</f>
        <v>123281</v>
      </c>
      <c r="O348" t="s">
        <v>129</v>
      </c>
      <c r="P348" t="s">
        <v>76</v>
      </c>
      <c r="Q348">
        <v>85</v>
      </c>
      <c r="R348">
        <v>4.7000000000000028</v>
      </c>
      <c r="S348" t="s">
        <v>130</v>
      </c>
    </row>
    <row r="349" spans="1:19" x14ac:dyDescent="0.35">
      <c r="A349">
        <v>49312</v>
      </c>
      <c r="B349" t="str">
        <f>"049312"</f>
        <v>049312</v>
      </c>
      <c r="C349" t="s">
        <v>1682</v>
      </c>
      <c r="D349" t="s">
        <v>49</v>
      </c>
      <c r="E349" t="s">
        <v>50</v>
      </c>
      <c r="F349" t="s">
        <v>51</v>
      </c>
      <c r="G349" t="s">
        <v>150</v>
      </c>
      <c r="H349" t="s">
        <v>1683</v>
      </c>
      <c r="I349" t="s">
        <v>1684</v>
      </c>
      <c r="J349" t="s">
        <v>1685</v>
      </c>
      <c r="K349" t="s">
        <v>55</v>
      </c>
      <c r="L349" t="s">
        <v>1686</v>
      </c>
      <c r="M349" t="s">
        <v>57</v>
      </c>
      <c r="N349" t="str">
        <f>"049304"</f>
        <v>049304</v>
      </c>
      <c r="O349" t="s">
        <v>155</v>
      </c>
      <c r="P349" t="s">
        <v>76</v>
      </c>
      <c r="Q349">
        <v>24.8</v>
      </c>
      <c r="R349">
        <v>10.900000000000006</v>
      </c>
      <c r="S349" t="s">
        <v>156</v>
      </c>
    </row>
    <row r="350" spans="1:19" x14ac:dyDescent="0.35">
      <c r="A350">
        <v>50005</v>
      </c>
      <c r="B350" t="str">
        <f>"050005"</f>
        <v>050005</v>
      </c>
      <c r="C350" t="s">
        <v>1687</v>
      </c>
      <c r="D350" t="s">
        <v>49</v>
      </c>
      <c r="E350" t="s">
        <v>50</v>
      </c>
      <c r="F350" t="s">
        <v>51</v>
      </c>
      <c r="G350" t="s">
        <v>264</v>
      </c>
      <c r="H350" t="s">
        <v>1688</v>
      </c>
      <c r="I350" t="s">
        <v>1689</v>
      </c>
      <c r="J350" t="s">
        <v>267</v>
      </c>
      <c r="K350" t="s">
        <v>55</v>
      </c>
      <c r="L350" t="s">
        <v>1318</v>
      </c>
      <c r="M350" t="s">
        <v>57</v>
      </c>
      <c r="N350" t="str">
        <f>"049965"</f>
        <v>049965</v>
      </c>
      <c r="O350" t="s">
        <v>269</v>
      </c>
      <c r="P350" t="s">
        <v>84</v>
      </c>
      <c r="Q350">
        <v>27.6</v>
      </c>
      <c r="R350">
        <v>4.9000000000000057</v>
      </c>
      <c r="S350" t="s">
        <v>77</v>
      </c>
    </row>
    <row r="351" spans="1:19" x14ac:dyDescent="0.35">
      <c r="A351">
        <v>44313</v>
      </c>
      <c r="B351" t="str">
        <f>"044313"</f>
        <v>044313</v>
      </c>
      <c r="C351" t="s">
        <v>1690</v>
      </c>
      <c r="D351" t="s">
        <v>49</v>
      </c>
      <c r="E351" t="s">
        <v>50</v>
      </c>
      <c r="F351" t="s">
        <v>51</v>
      </c>
      <c r="G351" t="s">
        <v>212</v>
      </c>
      <c r="H351" t="s">
        <v>1691</v>
      </c>
      <c r="I351" t="s">
        <v>1692</v>
      </c>
      <c r="J351" t="s">
        <v>215</v>
      </c>
      <c r="K351" t="s">
        <v>55</v>
      </c>
      <c r="L351" t="s">
        <v>1693</v>
      </c>
      <c r="M351" t="s">
        <v>57</v>
      </c>
      <c r="N351" t="str">
        <f>"050765"</f>
        <v>050765</v>
      </c>
      <c r="O351" t="s">
        <v>58</v>
      </c>
      <c r="P351" t="s">
        <v>59</v>
      </c>
      <c r="Q351">
        <v>6.8</v>
      </c>
      <c r="R351">
        <v>11.5</v>
      </c>
      <c r="S351" t="s">
        <v>217</v>
      </c>
    </row>
    <row r="352" spans="1:19" x14ac:dyDescent="0.35">
      <c r="A352">
        <v>45146</v>
      </c>
      <c r="B352" t="str">
        <f>"045146"</f>
        <v>045146</v>
      </c>
      <c r="C352" t="s">
        <v>1694</v>
      </c>
      <c r="D352" t="s">
        <v>49</v>
      </c>
      <c r="E352" t="s">
        <v>50</v>
      </c>
      <c r="F352" t="s">
        <v>51</v>
      </c>
      <c r="G352" t="s">
        <v>212</v>
      </c>
      <c r="H352" t="s">
        <v>1695</v>
      </c>
      <c r="I352" t="s">
        <v>1696</v>
      </c>
      <c r="J352" t="s">
        <v>1697</v>
      </c>
      <c r="K352" t="s">
        <v>55</v>
      </c>
      <c r="L352" t="s">
        <v>954</v>
      </c>
      <c r="M352" t="s">
        <v>57</v>
      </c>
      <c r="N352" t="str">
        <f>"050765"</f>
        <v>050765</v>
      </c>
      <c r="O352" t="s">
        <v>58</v>
      </c>
      <c r="P352" t="s">
        <v>59</v>
      </c>
      <c r="Q352">
        <v>8.6</v>
      </c>
      <c r="R352">
        <v>24.400000000000006</v>
      </c>
      <c r="S352" t="s">
        <v>217</v>
      </c>
    </row>
    <row r="353" spans="1:19" x14ac:dyDescent="0.35">
      <c r="A353">
        <v>48884</v>
      </c>
      <c r="B353" t="str">
        <f>"048884"</f>
        <v>048884</v>
      </c>
      <c r="C353" t="s">
        <v>1698</v>
      </c>
      <c r="D353" t="s">
        <v>49</v>
      </c>
      <c r="E353" t="s">
        <v>50</v>
      </c>
      <c r="F353" t="s">
        <v>51</v>
      </c>
      <c r="G353" t="s">
        <v>674</v>
      </c>
      <c r="H353" t="s">
        <v>1699</v>
      </c>
      <c r="I353" t="s">
        <v>1700</v>
      </c>
      <c r="J353" t="s">
        <v>927</v>
      </c>
      <c r="K353" t="s">
        <v>55</v>
      </c>
      <c r="L353" t="s">
        <v>928</v>
      </c>
      <c r="M353" t="s">
        <v>57</v>
      </c>
      <c r="N353" t="str">
        <f>"125252"</f>
        <v>125252</v>
      </c>
      <c r="O353" t="s">
        <v>90</v>
      </c>
      <c r="P353" t="s">
        <v>84</v>
      </c>
      <c r="Q353">
        <v>44.5</v>
      </c>
      <c r="R353">
        <v>11.5</v>
      </c>
      <c r="S353" t="s">
        <v>130</v>
      </c>
    </row>
    <row r="354" spans="1:19" x14ac:dyDescent="0.35">
      <c r="A354">
        <v>50740</v>
      </c>
      <c r="B354" t="str">
        <f>"050740"</f>
        <v>050740</v>
      </c>
      <c r="C354" t="s">
        <v>1701</v>
      </c>
      <c r="D354" t="s">
        <v>49</v>
      </c>
      <c r="E354" t="s">
        <v>50</v>
      </c>
      <c r="F354" t="s">
        <v>51</v>
      </c>
      <c r="G354" t="s">
        <v>1702</v>
      </c>
      <c r="H354" t="s">
        <v>1703</v>
      </c>
      <c r="I354" t="s">
        <v>1704</v>
      </c>
      <c r="J354" t="s">
        <v>1705</v>
      </c>
      <c r="K354" t="s">
        <v>55</v>
      </c>
      <c r="L354" t="s">
        <v>1706</v>
      </c>
      <c r="M354" t="s">
        <v>57</v>
      </c>
      <c r="N354" t="str">
        <f>"123257"</f>
        <v>123257</v>
      </c>
      <c r="O354" t="s">
        <v>316</v>
      </c>
      <c r="P354" t="s">
        <v>76</v>
      </c>
      <c r="Q354">
        <v>22.4</v>
      </c>
      <c r="R354">
        <v>4.9000000000000057</v>
      </c>
      <c r="S354" t="s">
        <v>156</v>
      </c>
    </row>
    <row r="355" spans="1:19" x14ac:dyDescent="0.35">
      <c r="A355">
        <v>45005</v>
      </c>
      <c r="B355" t="str">
        <f>"045005"</f>
        <v>045005</v>
      </c>
      <c r="C355" t="s">
        <v>1707</v>
      </c>
      <c r="D355" t="s">
        <v>49</v>
      </c>
      <c r="E355" t="s">
        <v>50</v>
      </c>
      <c r="F355" t="s">
        <v>51</v>
      </c>
      <c r="G355" t="s">
        <v>63</v>
      </c>
      <c r="H355" t="s">
        <v>1708</v>
      </c>
      <c r="I355" t="s">
        <v>1709</v>
      </c>
      <c r="J355" t="s">
        <v>1710</v>
      </c>
      <c r="K355" t="s">
        <v>55</v>
      </c>
      <c r="L355" t="s">
        <v>1711</v>
      </c>
      <c r="M355" t="s">
        <v>57</v>
      </c>
      <c r="N355" t="str">
        <f>"050765"</f>
        <v>050765</v>
      </c>
      <c r="O355" t="s">
        <v>58</v>
      </c>
      <c r="P355" t="s">
        <v>281</v>
      </c>
      <c r="Q355">
        <v>99.4</v>
      </c>
      <c r="R355">
        <v>100</v>
      </c>
      <c r="S355" t="s">
        <v>69</v>
      </c>
    </row>
    <row r="356" spans="1:19" x14ac:dyDescent="0.35">
      <c r="A356">
        <v>47597</v>
      </c>
      <c r="B356" t="str">
        <f>"047597"</f>
        <v>047597</v>
      </c>
      <c r="C356" t="s">
        <v>1712</v>
      </c>
      <c r="D356" t="s">
        <v>49</v>
      </c>
      <c r="E356" t="s">
        <v>50</v>
      </c>
      <c r="F356" t="s">
        <v>51</v>
      </c>
      <c r="G356" t="s">
        <v>271</v>
      </c>
      <c r="H356" t="s">
        <v>1713</v>
      </c>
      <c r="I356" t="s">
        <v>1714</v>
      </c>
      <c r="J356" t="s">
        <v>1715</v>
      </c>
      <c r="K356" t="s">
        <v>55</v>
      </c>
      <c r="L356" t="s">
        <v>1716</v>
      </c>
      <c r="M356" t="s">
        <v>57</v>
      </c>
      <c r="N356" t="str">
        <f>"124297"</f>
        <v>124297</v>
      </c>
      <c r="O356" t="s">
        <v>349</v>
      </c>
      <c r="P356" t="s">
        <v>76</v>
      </c>
      <c r="Q356">
        <v>29.5</v>
      </c>
      <c r="R356">
        <v>15.099999999999994</v>
      </c>
      <c r="S356" t="s">
        <v>156</v>
      </c>
    </row>
    <row r="357" spans="1:19" x14ac:dyDescent="0.35">
      <c r="A357">
        <v>47738</v>
      </c>
      <c r="B357" t="str">
        <f>"047738"</f>
        <v>047738</v>
      </c>
      <c r="C357" t="s">
        <v>1717</v>
      </c>
      <c r="D357" t="s">
        <v>49</v>
      </c>
      <c r="E357" t="s">
        <v>50</v>
      </c>
      <c r="F357" t="s">
        <v>51</v>
      </c>
      <c r="G357" t="s">
        <v>79</v>
      </c>
      <c r="H357" t="s">
        <v>1718</v>
      </c>
      <c r="I357" t="s">
        <v>1719</v>
      </c>
      <c r="J357" t="s">
        <v>1720</v>
      </c>
      <c r="K357" t="s">
        <v>55</v>
      </c>
      <c r="L357" t="s">
        <v>1721</v>
      </c>
      <c r="M357" t="s">
        <v>57</v>
      </c>
      <c r="N357" t="str">
        <f>"125690"</f>
        <v>125690</v>
      </c>
      <c r="O357" t="s">
        <v>262</v>
      </c>
      <c r="P357" t="s">
        <v>76</v>
      </c>
      <c r="Q357">
        <v>48</v>
      </c>
      <c r="R357">
        <v>8.0999999999999943</v>
      </c>
      <c r="S357" t="s">
        <v>69</v>
      </c>
    </row>
    <row r="358" spans="1:19" x14ac:dyDescent="0.35">
      <c r="A358">
        <v>44651</v>
      </c>
      <c r="B358" t="str">
        <f>"044651"</f>
        <v>044651</v>
      </c>
      <c r="C358" t="s">
        <v>1722</v>
      </c>
      <c r="D358" t="s">
        <v>49</v>
      </c>
      <c r="E358" t="s">
        <v>50</v>
      </c>
      <c r="F358" t="s">
        <v>51</v>
      </c>
      <c r="G358" t="s">
        <v>257</v>
      </c>
      <c r="H358" t="s">
        <v>1723</v>
      </c>
      <c r="I358" t="s">
        <v>1724</v>
      </c>
      <c r="J358" t="s">
        <v>1725</v>
      </c>
      <c r="K358" t="s">
        <v>55</v>
      </c>
      <c r="L358" t="s">
        <v>1726</v>
      </c>
      <c r="M358" t="s">
        <v>57</v>
      </c>
      <c r="N358" t="str">
        <f>"050765"</f>
        <v>050765</v>
      </c>
      <c r="O358" t="s">
        <v>58</v>
      </c>
      <c r="P358" t="s">
        <v>84</v>
      </c>
      <c r="Q358">
        <v>48.9</v>
      </c>
      <c r="R358">
        <v>21.299999999999997</v>
      </c>
      <c r="S358" t="s">
        <v>156</v>
      </c>
    </row>
    <row r="359" spans="1:19" x14ac:dyDescent="0.35">
      <c r="A359">
        <v>48272</v>
      </c>
      <c r="B359" t="str">
        <f>"048272"</f>
        <v>048272</v>
      </c>
      <c r="C359" t="s">
        <v>1727</v>
      </c>
      <c r="D359" t="s">
        <v>49</v>
      </c>
      <c r="E359" t="s">
        <v>50</v>
      </c>
      <c r="F359" t="s">
        <v>51</v>
      </c>
      <c r="G359" t="s">
        <v>657</v>
      </c>
      <c r="H359" t="s">
        <v>1728</v>
      </c>
      <c r="I359" t="s">
        <v>1729</v>
      </c>
      <c r="J359" t="s">
        <v>1432</v>
      </c>
      <c r="K359" t="s">
        <v>55</v>
      </c>
      <c r="L359" t="s">
        <v>1433</v>
      </c>
      <c r="M359" t="s">
        <v>57</v>
      </c>
      <c r="N359" t="str">
        <f>"137364"</f>
        <v>137364</v>
      </c>
      <c r="O359" t="s">
        <v>593</v>
      </c>
      <c r="P359" t="s">
        <v>76</v>
      </c>
      <c r="Q359">
        <v>36.5</v>
      </c>
      <c r="R359">
        <v>10</v>
      </c>
      <c r="S359" t="s">
        <v>60</v>
      </c>
    </row>
    <row r="360" spans="1:19" x14ac:dyDescent="0.35">
      <c r="A360">
        <v>48819</v>
      </c>
      <c r="B360" t="str">
        <f>"048819"</f>
        <v>048819</v>
      </c>
      <c r="C360" t="s">
        <v>1730</v>
      </c>
      <c r="D360" t="s">
        <v>49</v>
      </c>
      <c r="E360" t="s">
        <v>50</v>
      </c>
      <c r="F360" t="s">
        <v>51</v>
      </c>
      <c r="G360" t="s">
        <v>1359</v>
      </c>
      <c r="H360" t="s">
        <v>1731</v>
      </c>
      <c r="I360" t="s">
        <v>1732</v>
      </c>
      <c r="J360" t="s">
        <v>1733</v>
      </c>
      <c r="K360" t="s">
        <v>55</v>
      </c>
      <c r="L360" t="s">
        <v>1734</v>
      </c>
      <c r="M360" t="s">
        <v>57</v>
      </c>
      <c r="N360" t="str">
        <f>"123521"</f>
        <v>123521</v>
      </c>
      <c r="O360" t="s">
        <v>570</v>
      </c>
      <c r="P360" t="s">
        <v>76</v>
      </c>
      <c r="Q360">
        <v>32.700000000000003</v>
      </c>
      <c r="R360">
        <v>3.7999999999999972</v>
      </c>
      <c r="S360" t="s">
        <v>60</v>
      </c>
    </row>
    <row r="361" spans="1:19" x14ac:dyDescent="0.35">
      <c r="A361">
        <v>50195</v>
      </c>
      <c r="B361" t="str">
        <f>"050195"</f>
        <v>050195</v>
      </c>
      <c r="C361" t="s">
        <v>1735</v>
      </c>
      <c r="D361" t="s">
        <v>49</v>
      </c>
      <c r="E361" t="s">
        <v>50</v>
      </c>
      <c r="F361" t="s">
        <v>51</v>
      </c>
      <c r="G361" t="s">
        <v>169</v>
      </c>
      <c r="H361" t="s">
        <v>1736</v>
      </c>
      <c r="I361" t="s">
        <v>1737</v>
      </c>
      <c r="J361" t="s">
        <v>1215</v>
      </c>
      <c r="K361" t="s">
        <v>55</v>
      </c>
      <c r="L361" t="s">
        <v>1738</v>
      </c>
      <c r="M361" t="s">
        <v>57</v>
      </c>
      <c r="N361" t="str">
        <f>"050088"</f>
        <v>050088</v>
      </c>
      <c r="O361" t="s">
        <v>416</v>
      </c>
      <c r="P361" t="s">
        <v>84</v>
      </c>
      <c r="Q361">
        <v>67.900000000000006</v>
      </c>
      <c r="R361">
        <v>53.8</v>
      </c>
      <c r="S361" t="s">
        <v>77</v>
      </c>
    </row>
    <row r="362" spans="1:19" x14ac:dyDescent="0.35">
      <c r="A362">
        <v>51334</v>
      </c>
      <c r="B362" t="str">
        <f>"051334"</f>
        <v>051334</v>
      </c>
      <c r="C362" t="s">
        <v>1739</v>
      </c>
      <c r="D362" t="s">
        <v>49</v>
      </c>
      <c r="E362" t="s">
        <v>163</v>
      </c>
      <c r="F362" t="s">
        <v>51</v>
      </c>
      <c r="G362" t="s">
        <v>288</v>
      </c>
      <c r="H362" t="s">
        <v>767</v>
      </c>
      <c r="I362" t="s">
        <v>768</v>
      </c>
      <c r="J362" t="s">
        <v>769</v>
      </c>
      <c r="K362" t="s">
        <v>55</v>
      </c>
      <c r="L362" t="s">
        <v>770</v>
      </c>
      <c r="M362" t="s">
        <v>57</v>
      </c>
      <c r="N362" t="str">
        <f>"050765"</f>
        <v>050765</v>
      </c>
      <c r="O362" t="s">
        <v>58</v>
      </c>
      <c r="P362" t="s">
        <v>68</v>
      </c>
      <c r="Q362" t="s">
        <v>68</v>
      </c>
      <c r="R362" t="s">
        <v>68</v>
      </c>
      <c r="S362" t="s">
        <v>180</v>
      </c>
    </row>
    <row r="363" spans="1:19" x14ac:dyDescent="0.35">
      <c r="A363">
        <v>200040</v>
      </c>
      <c r="B363" t="str">
        <f>"200040"</f>
        <v>200040</v>
      </c>
      <c r="C363" t="s">
        <v>1740</v>
      </c>
      <c r="D363" t="s">
        <v>49</v>
      </c>
      <c r="E363" t="s">
        <v>62</v>
      </c>
      <c r="F363" t="s">
        <v>51</v>
      </c>
      <c r="G363" t="s">
        <v>861</v>
      </c>
      <c r="H363" t="s">
        <v>1741</v>
      </c>
      <c r="I363" t="s">
        <v>1742</v>
      </c>
      <c r="J363" t="s">
        <v>1743</v>
      </c>
      <c r="K363" t="s">
        <v>55</v>
      </c>
      <c r="L363" t="s">
        <v>1744</v>
      </c>
      <c r="M363" t="s">
        <v>57</v>
      </c>
      <c r="N363" t="str">
        <f>"N/A"</f>
        <v>N/A</v>
      </c>
      <c r="O363" t="s">
        <v>49</v>
      </c>
      <c r="P363" t="s">
        <v>68</v>
      </c>
      <c r="Q363" t="s">
        <v>68</v>
      </c>
      <c r="R363" t="s">
        <v>68</v>
      </c>
      <c r="S363" t="s">
        <v>130</v>
      </c>
    </row>
    <row r="364" spans="1:19" x14ac:dyDescent="0.35">
      <c r="A364">
        <v>46151</v>
      </c>
      <c r="B364" t="str">
        <f>"046151"</f>
        <v>046151</v>
      </c>
      <c r="C364" t="s">
        <v>1745</v>
      </c>
      <c r="D364" t="s">
        <v>49</v>
      </c>
      <c r="E364" t="s">
        <v>50</v>
      </c>
      <c r="F364" t="s">
        <v>51</v>
      </c>
      <c r="G364" t="s">
        <v>244</v>
      </c>
      <c r="H364" t="s">
        <v>1746</v>
      </c>
      <c r="I364" t="s">
        <v>1747</v>
      </c>
      <c r="J364" t="s">
        <v>1748</v>
      </c>
      <c r="K364" t="s">
        <v>55</v>
      </c>
      <c r="L364" t="s">
        <v>1749</v>
      </c>
      <c r="M364" t="s">
        <v>57</v>
      </c>
      <c r="N364" t="str">
        <f>"050765"</f>
        <v>050765</v>
      </c>
      <c r="O364" t="s">
        <v>58</v>
      </c>
      <c r="P364" t="s">
        <v>59</v>
      </c>
      <c r="Q364">
        <v>32.6</v>
      </c>
      <c r="R364">
        <v>10.5</v>
      </c>
      <c r="S364" t="s">
        <v>217</v>
      </c>
    </row>
    <row r="365" spans="1:19" x14ac:dyDescent="0.35">
      <c r="A365">
        <v>63511</v>
      </c>
      <c r="B365" t="str">
        <f>"063511"</f>
        <v>063511</v>
      </c>
      <c r="C365" t="s">
        <v>1750</v>
      </c>
      <c r="D365" t="s">
        <v>49</v>
      </c>
      <c r="E365" t="s">
        <v>163</v>
      </c>
      <c r="F365" t="s">
        <v>51</v>
      </c>
      <c r="G365" t="s">
        <v>657</v>
      </c>
      <c r="H365" t="s">
        <v>1751</v>
      </c>
      <c r="I365" t="s">
        <v>1752</v>
      </c>
      <c r="J365" t="s">
        <v>1753</v>
      </c>
      <c r="K365" t="s">
        <v>55</v>
      </c>
      <c r="L365" t="s">
        <v>1754</v>
      </c>
      <c r="M365" t="s">
        <v>57</v>
      </c>
      <c r="N365" t="str">
        <f>"050765"</f>
        <v>050765</v>
      </c>
      <c r="O365" t="s">
        <v>58</v>
      </c>
      <c r="P365" t="s">
        <v>68</v>
      </c>
      <c r="Q365" t="s">
        <v>68</v>
      </c>
      <c r="R365" t="s">
        <v>68</v>
      </c>
      <c r="S365" t="s">
        <v>60</v>
      </c>
    </row>
    <row r="366" spans="1:19" x14ac:dyDescent="0.35">
      <c r="A366">
        <v>65680</v>
      </c>
      <c r="B366" t="str">
        <f>"065680"</f>
        <v>065680</v>
      </c>
      <c r="C366" t="s">
        <v>1755</v>
      </c>
      <c r="D366" t="s">
        <v>49</v>
      </c>
      <c r="E366" t="s">
        <v>50</v>
      </c>
      <c r="F366" t="s">
        <v>51</v>
      </c>
      <c r="G366" t="s">
        <v>861</v>
      </c>
      <c r="H366" t="s">
        <v>1756</v>
      </c>
      <c r="I366" t="s">
        <v>1757</v>
      </c>
      <c r="J366" t="s">
        <v>1758</v>
      </c>
      <c r="K366" t="s">
        <v>55</v>
      </c>
      <c r="L366" t="s">
        <v>1759</v>
      </c>
      <c r="M366" t="s">
        <v>57</v>
      </c>
      <c r="N366" t="str">
        <f>"125682"</f>
        <v>125682</v>
      </c>
      <c r="O366" t="s">
        <v>1760</v>
      </c>
      <c r="P366" t="s">
        <v>76</v>
      </c>
      <c r="Q366">
        <v>100</v>
      </c>
      <c r="R366">
        <v>5.2000000000000028</v>
      </c>
      <c r="S366" t="s">
        <v>130</v>
      </c>
    </row>
    <row r="367" spans="1:19" x14ac:dyDescent="0.35">
      <c r="A367">
        <v>200078</v>
      </c>
      <c r="B367" t="str">
        <f>"200078"</f>
        <v>200078</v>
      </c>
      <c r="C367" t="s">
        <v>1761</v>
      </c>
      <c r="D367" t="s">
        <v>49</v>
      </c>
      <c r="E367" t="s">
        <v>62</v>
      </c>
      <c r="F367" t="s">
        <v>51</v>
      </c>
      <c r="G367" t="s">
        <v>295</v>
      </c>
      <c r="H367" t="s">
        <v>1762</v>
      </c>
      <c r="I367" t="s">
        <v>1763</v>
      </c>
      <c r="J367" t="s">
        <v>1764</v>
      </c>
      <c r="K367" t="s">
        <v>55</v>
      </c>
      <c r="L367" t="s">
        <v>1765</v>
      </c>
      <c r="M367" t="s">
        <v>57</v>
      </c>
      <c r="N367" t="str">
        <f>"N/A"</f>
        <v>N/A</v>
      </c>
      <c r="O367" t="s">
        <v>49</v>
      </c>
      <c r="P367" t="s">
        <v>68</v>
      </c>
      <c r="Q367" t="s">
        <v>68</v>
      </c>
      <c r="R367" t="s">
        <v>68</v>
      </c>
      <c r="S367" t="s">
        <v>77</v>
      </c>
    </row>
    <row r="368" spans="1:19" x14ac:dyDescent="0.35">
      <c r="A368">
        <v>48777</v>
      </c>
      <c r="B368" t="str">
        <f>"048777"</f>
        <v>048777</v>
      </c>
      <c r="C368" t="s">
        <v>1766</v>
      </c>
      <c r="D368" t="s">
        <v>49</v>
      </c>
      <c r="E368" t="s">
        <v>50</v>
      </c>
      <c r="F368" t="s">
        <v>51</v>
      </c>
      <c r="G368" t="s">
        <v>1099</v>
      </c>
      <c r="H368" t="s">
        <v>1100</v>
      </c>
      <c r="I368" t="s">
        <v>1101</v>
      </c>
      <c r="J368" t="s">
        <v>1102</v>
      </c>
      <c r="K368" t="s">
        <v>55</v>
      </c>
      <c r="L368" t="s">
        <v>1103</v>
      </c>
      <c r="M368" t="s">
        <v>57</v>
      </c>
      <c r="N368" t="str">
        <f>"125252"</f>
        <v>125252</v>
      </c>
      <c r="O368" t="s">
        <v>90</v>
      </c>
      <c r="P368" t="s">
        <v>76</v>
      </c>
      <c r="Q368">
        <v>64.8</v>
      </c>
      <c r="R368">
        <v>11.200000000000003</v>
      </c>
      <c r="S368" t="s">
        <v>130</v>
      </c>
    </row>
    <row r="369" spans="1:19" x14ac:dyDescent="0.35">
      <c r="A369">
        <v>45575</v>
      </c>
      <c r="B369" t="str">
        <f>"045575"</f>
        <v>045575</v>
      </c>
      <c r="C369" t="s">
        <v>1767</v>
      </c>
      <c r="D369" t="s">
        <v>49</v>
      </c>
      <c r="E369" t="s">
        <v>50</v>
      </c>
      <c r="F369" t="s">
        <v>51</v>
      </c>
      <c r="G369" t="s">
        <v>434</v>
      </c>
      <c r="H369" t="s">
        <v>1768</v>
      </c>
      <c r="I369" t="s">
        <v>1769</v>
      </c>
      <c r="J369" t="s">
        <v>434</v>
      </c>
      <c r="K369" t="s">
        <v>55</v>
      </c>
      <c r="L369" t="s">
        <v>1770</v>
      </c>
      <c r="M369" t="s">
        <v>57</v>
      </c>
      <c r="N369" t="str">
        <f>"050765"</f>
        <v>050765</v>
      </c>
      <c r="O369" t="s">
        <v>58</v>
      </c>
      <c r="P369" t="s">
        <v>76</v>
      </c>
      <c r="Q369">
        <v>57.4</v>
      </c>
      <c r="R369">
        <v>14.099999999999994</v>
      </c>
      <c r="S369" t="s">
        <v>156</v>
      </c>
    </row>
    <row r="370" spans="1:19" x14ac:dyDescent="0.35">
      <c r="A370">
        <v>46458</v>
      </c>
      <c r="B370" t="str">
        <f>"046458"</f>
        <v>046458</v>
      </c>
      <c r="C370" t="s">
        <v>1771</v>
      </c>
      <c r="D370" t="s">
        <v>49</v>
      </c>
      <c r="E370" t="s">
        <v>50</v>
      </c>
      <c r="F370" t="s">
        <v>51</v>
      </c>
      <c r="G370" t="s">
        <v>536</v>
      </c>
      <c r="H370" t="s">
        <v>1772</v>
      </c>
      <c r="I370" t="s">
        <v>1773</v>
      </c>
      <c r="J370" t="s">
        <v>1774</v>
      </c>
      <c r="K370" t="s">
        <v>55</v>
      </c>
      <c r="L370" t="s">
        <v>1775</v>
      </c>
      <c r="M370" t="s">
        <v>57</v>
      </c>
      <c r="N370" t="str">
        <f>"046417"</f>
        <v>046417</v>
      </c>
      <c r="O370" t="s">
        <v>541</v>
      </c>
      <c r="P370" t="s">
        <v>76</v>
      </c>
      <c r="Q370">
        <v>30.5</v>
      </c>
      <c r="R370">
        <v>3.5</v>
      </c>
      <c r="S370" t="s">
        <v>77</v>
      </c>
    </row>
    <row r="371" spans="1:19" x14ac:dyDescent="0.35">
      <c r="A371">
        <v>49957</v>
      </c>
      <c r="B371" t="str">
        <f>"049957"</f>
        <v>049957</v>
      </c>
      <c r="C371" t="s">
        <v>1776</v>
      </c>
      <c r="D371" t="s">
        <v>49</v>
      </c>
      <c r="E371" t="s">
        <v>50</v>
      </c>
      <c r="F371" t="s">
        <v>51</v>
      </c>
      <c r="G371" t="s">
        <v>117</v>
      </c>
      <c r="H371" t="s">
        <v>1777</v>
      </c>
      <c r="I371" t="s">
        <v>1778</v>
      </c>
      <c r="J371" t="s">
        <v>977</v>
      </c>
      <c r="K371" t="s">
        <v>55</v>
      </c>
      <c r="L371" t="s">
        <v>1779</v>
      </c>
      <c r="M371" t="s">
        <v>57</v>
      </c>
      <c r="N371" t="str">
        <f>"049825"</f>
        <v>049825</v>
      </c>
      <c r="O371" t="s">
        <v>122</v>
      </c>
      <c r="P371" t="s">
        <v>76</v>
      </c>
      <c r="Q371">
        <v>23.4</v>
      </c>
      <c r="R371">
        <v>5.0999999999999943</v>
      </c>
      <c r="S371" t="s">
        <v>77</v>
      </c>
    </row>
    <row r="372" spans="1:19" x14ac:dyDescent="0.35">
      <c r="A372">
        <v>44073</v>
      </c>
      <c r="B372" t="str">
        <f>"044073"</f>
        <v>044073</v>
      </c>
      <c r="C372" t="s">
        <v>1780</v>
      </c>
      <c r="D372" t="s">
        <v>49</v>
      </c>
      <c r="E372" t="s">
        <v>50</v>
      </c>
      <c r="F372" t="s">
        <v>51</v>
      </c>
      <c r="G372" t="s">
        <v>600</v>
      </c>
      <c r="H372" t="s">
        <v>1781</v>
      </c>
      <c r="I372" t="s">
        <v>1782</v>
      </c>
      <c r="J372" t="s">
        <v>1348</v>
      </c>
      <c r="K372" t="s">
        <v>55</v>
      </c>
      <c r="L372" t="s">
        <v>1783</v>
      </c>
      <c r="M372" t="s">
        <v>57</v>
      </c>
      <c r="N372" t="str">
        <f>"050765"</f>
        <v>050765</v>
      </c>
      <c r="O372" t="s">
        <v>58</v>
      </c>
      <c r="P372" t="s">
        <v>59</v>
      </c>
      <c r="Q372">
        <v>5.0999999999999996</v>
      </c>
      <c r="R372">
        <v>10.099999999999994</v>
      </c>
      <c r="S372" t="s">
        <v>60</v>
      </c>
    </row>
    <row r="373" spans="1:19" x14ac:dyDescent="0.35">
      <c r="A373">
        <v>48322</v>
      </c>
      <c r="B373" t="str">
        <f>"048322"</f>
        <v>048322</v>
      </c>
      <c r="C373" t="s">
        <v>1784</v>
      </c>
      <c r="D373" t="s">
        <v>49</v>
      </c>
      <c r="E373" t="s">
        <v>50</v>
      </c>
      <c r="F373" t="s">
        <v>51</v>
      </c>
      <c r="G373" t="s">
        <v>383</v>
      </c>
      <c r="H373" t="s">
        <v>1785</v>
      </c>
      <c r="I373" t="s">
        <v>1786</v>
      </c>
      <c r="J373" t="s">
        <v>1787</v>
      </c>
      <c r="K373" t="s">
        <v>55</v>
      </c>
      <c r="L373" t="s">
        <v>1788</v>
      </c>
      <c r="M373" t="s">
        <v>57</v>
      </c>
      <c r="N373" t="str">
        <f>"048280"</f>
        <v>048280</v>
      </c>
      <c r="O373" t="s">
        <v>388</v>
      </c>
      <c r="P373" t="s">
        <v>84</v>
      </c>
      <c r="Q373">
        <v>43.7</v>
      </c>
      <c r="R373">
        <v>6</v>
      </c>
      <c r="S373" t="s">
        <v>77</v>
      </c>
    </row>
    <row r="374" spans="1:19" x14ac:dyDescent="0.35">
      <c r="A374">
        <v>50518</v>
      </c>
      <c r="B374" t="str">
        <f>"050518"</f>
        <v>050518</v>
      </c>
      <c r="C374" t="s">
        <v>1789</v>
      </c>
      <c r="D374" t="s">
        <v>49</v>
      </c>
      <c r="E374" t="s">
        <v>50</v>
      </c>
      <c r="F374" t="s">
        <v>51</v>
      </c>
      <c r="G374" t="s">
        <v>124</v>
      </c>
      <c r="H374" t="s">
        <v>1790</v>
      </c>
      <c r="I374" t="s">
        <v>1791</v>
      </c>
      <c r="J374" t="s">
        <v>1792</v>
      </c>
      <c r="K374" t="s">
        <v>55</v>
      </c>
      <c r="L374" t="s">
        <v>1793</v>
      </c>
      <c r="M374" t="s">
        <v>57</v>
      </c>
      <c r="N374" t="str">
        <f>"123281"</f>
        <v>123281</v>
      </c>
      <c r="O374" t="s">
        <v>129</v>
      </c>
      <c r="P374" t="s">
        <v>76</v>
      </c>
      <c r="Q374">
        <v>29.2</v>
      </c>
      <c r="R374">
        <v>2.7999999999999972</v>
      </c>
      <c r="S374" t="s">
        <v>130</v>
      </c>
    </row>
    <row r="375" spans="1:19" x14ac:dyDescent="0.35">
      <c r="A375">
        <v>50799</v>
      </c>
      <c r="B375" t="str">
        <f>"050799"</f>
        <v>050799</v>
      </c>
      <c r="C375" t="s">
        <v>1794</v>
      </c>
      <c r="D375" t="s">
        <v>49</v>
      </c>
      <c r="E375" t="s">
        <v>163</v>
      </c>
      <c r="F375" t="s">
        <v>51</v>
      </c>
      <c r="G375" t="s">
        <v>19</v>
      </c>
      <c r="H375" t="s">
        <v>1795</v>
      </c>
      <c r="I375" t="s">
        <v>1796</v>
      </c>
      <c r="J375" t="s">
        <v>1797</v>
      </c>
      <c r="K375" t="s">
        <v>55</v>
      </c>
      <c r="L375" t="s">
        <v>1798</v>
      </c>
      <c r="M375" t="s">
        <v>57</v>
      </c>
      <c r="N375" t="str">
        <f>"050765"</f>
        <v>050765</v>
      </c>
      <c r="O375" t="s">
        <v>58</v>
      </c>
      <c r="P375" t="s">
        <v>68</v>
      </c>
      <c r="Q375" t="s">
        <v>68</v>
      </c>
      <c r="R375" t="s">
        <v>68</v>
      </c>
      <c r="S375" t="s">
        <v>217</v>
      </c>
    </row>
    <row r="376" spans="1:19" x14ac:dyDescent="0.35">
      <c r="A376">
        <v>44560</v>
      </c>
      <c r="B376" t="str">
        <f>"044560"</f>
        <v>044560</v>
      </c>
      <c r="C376" t="s">
        <v>1799</v>
      </c>
      <c r="D376" t="s">
        <v>49</v>
      </c>
      <c r="E376" t="s">
        <v>50</v>
      </c>
      <c r="F376" t="s">
        <v>51</v>
      </c>
      <c r="G376" t="s">
        <v>79</v>
      </c>
      <c r="H376" t="s">
        <v>1800</v>
      </c>
      <c r="I376" t="s">
        <v>1801</v>
      </c>
      <c r="J376" t="s">
        <v>1802</v>
      </c>
      <c r="K376" t="s">
        <v>55</v>
      </c>
      <c r="L376" t="s">
        <v>1803</v>
      </c>
      <c r="M376" t="s">
        <v>57</v>
      </c>
      <c r="N376" t="str">
        <f>"050765"</f>
        <v>050765</v>
      </c>
      <c r="O376" t="s">
        <v>58</v>
      </c>
      <c r="P376" t="s">
        <v>84</v>
      </c>
      <c r="Q376">
        <v>45.5</v>
      </c>
      <c r="R376">
        <v>20.400000000000006</v>
      </c>
      <c r="S376" t="s">
        <v>69</v>
      </c>
    </row>
    <row r="377" spans="1:19" x14ac:dyDescent="0.35">
      <c r="A377">
        <v>49908</v>
      </c>
      <c r="B377" t="str">
        <f>"049908"</f>
        <v>049908</v>
      </c>
      <c r="C377" t="s">
        <v>1419</v>
      </c>
      <c r="D377" t="s">
        <v>49</v>
      </c>
      <c r="E377" t="s">
        <v>50</v>
      </c>
      <c r="F377" t="s">
        <v>51</v>
      </c>
      <c r="G377" t="s">
        <v>117</v>
      </c>
      <c r="H377" t="s">
        <v>1804</v>
      </c>
      <c r="I377" t="s">
        <v>1805</v>
      </c>
      <c r="J377" t="s">
        <v>1806</v>
      </c>
      <c r="K377" t="s">
        <v>55</v>
      </c>
      <c r="L377" t="s">
        <v>1807</v>
      </c>
      <c r="M377" t="s">
        <v>57</v>
      </c>
      <c r="N377" t="str">
        <f>"049825"</f>
        <v>049825</v>
      </c>
      <c r="O377" t="s">
        <v>122</v>
      </c>
      <c r="P377" t="s">
        <v>84</v>
      </c>
      <c r="Q377">
        <v>25.9</v>
      </c>
      <c r="R377">
        <v>6.5999999999999943</v>
      </c>
      <c r="S377" t="s">
        <v>77</v>
      </c>
    </row>
    <row r="378" spans="1:19" x14ac:dyDescent="0.35">
      <c r="A378">
        <v>45567</v>
      </c>
      <c r="B378" t="str">
        <f>"045567"</f>
        <v>045567</v>
      </c>
      <c r="C378" t="s">
        <v>1808</v>
      </c>
      <c r="D378" t="s">
        <v>49</v>
      </c>
      <c r="E378" t="s">
        <v>50</v>
      </c>
      <c r="F378" t="s">
        <v>51</v>
      </c>
      <c r="G378" t="s">
        <v>169</v>
      </c>
      <c r="H378" t="s">
        <v>1809</v>
      </c>
      <c r="I378" t="s">
        <v>1810</v>
      </c>
      <c r="J378" t="s">
        <v>1811</v>
      </c>
      <c r="K378" t="s">
        <v>55</v>
      </c>
      <c r="L378" t="s">
        <v>1812</v>
      </c>
      <c r="M378" t="s">
        <v>57</v>
      </c>
      <c r="N378" t="str">
        <f>"050765"</f>
        <v>050765</v>
      </c>
      <c r="O378" t="s">
        <v>58</v>
      </c>
      <c r="P378" t="s">
        <v>76</v>
      </c>
      <c r="Q378">
        <v>54.1</v>
      </c>
      <c r="R378">
        <v>8.0999999999999943</v>
      </c>
      <c r="S378" t="s">
        <v>77</v>
      </c>
    </row>
    <row r="379" spans="1:19" x14ac:dyDescent="0.35">
      <c r="A379">
        <v>45823</v>
      </c>
      <c r="B379" t="str">
        <f>"045823"</f>
        <v>045823</v>
      </c>
      <c r="C379" t="s">
        <v>1813</v>
      </c>
      <c r="D379" t="s">
        <v>49</v>
      </c>
      <c r="E379" t="s">
        <v>50</v>
      </c>
      <c r="F379" t="s">
        <v>51</v>
      </c>
      <c r="G379" t="s">
        <v>855</v>
      </c>
      <c r="H379" t="s">
        <v>1814</v>
      </c>
      <c r="I379" t="s">
        <v>1815</v>
      </c>
      <c r="J379" t="s">
        <v>1816</v>
      </c>
      <c r="K379" t="s">
        <v>55</v>
      </c>
      <c r="L379" t="s">
        <v>1817</v>
      </c>
      <c r="M379" t="s">
        <v>57</v>
      </c>
      <c r="N379" t="str">
        <f>"050526"</f>
        <v>050526</v>
      </c>
      <c r="O379" t="s">
        <v>192</v>
      </c>
      <c r="P379" t="s">
        <v>76</v>
      </c>
      <c r="Q379">
        <v>31.8</v>
      </c>
      <c r="R379">
        <v>3.7999999999999972</v>
      </c>
      <c r="S379" t="s">
        <v>77</v>
      </c>
    </row>
    <row r="380" spans="1:19" x14ac:dyDescent="0.35">
      <c r="A380">
        <v>47878</v>
      </c>
      <c r="B380" t="str">
        <f>"047878"</f>
        <v>047878</v>
      </c>
      <c r="C380" t="s">
        <v>1818</v>
      </c>
      <c r="D380" t="s">
        <v>49</v>
      </c>
      <c r="E380" t="s">
        <v>50</v>
      </c>
      <c r="F380" t="s">
        <v>51</v>
      </c>
      <c r="G380" t="s">
        <v>481</v>
      </c>
      <c r="H380" t="s">
        <v>1819</v>
      </c>
      <c r="I380" t="s">
        <v>1820</v>
      </c>
      <c r="J380" t="s">
        <v>1821</v>
      </c>
      <c r="K380" t="s">
        <v>55</v>
      </c>
      <c r="L380" t="s">
        <v>1822</v>
      </c>
      <c r="M380" t="s">
        <v>57</v>
      </c>
      <c r="N380" t="str">
        <f>"046532"</f>
        <v>046532</v>
      </c>
      <c r="O380" t="s">
        <v>509</v>
      </c>
      <c r="P380" t="s">
        <v>59</v>
      </c>
      <c r="Q380">
        <v>8</v>
      </c>
      <c r="R380">
        <v>6</v>
      </c>
      <c r="S380" t="s">
        <v>69</v>
      </c>
    </row>
    <row r="381" spans="1:19" x14ac:dyDescent="0.35">
      <c r="A381">
        <v>50773</v>
      </c>
      <c r="B381" t="str">
        <f>"050773"</f>
        <v>050773</v>
      </c>
      <c r="C381" t="s">
        <v>1823</v>
      </c>
      <c r="D381" t="s">
        <v>49</v>
      </c>
      <c r="E381" t="s">
        <v>163</v>
      </c>
      <c r="F381" t="s">
        <v>51</v>
      </c>
      <c r="G381" t="s">
        <v>1193</v>
      </c>
      <c r="H381" t="s">
        <v>1646</v>
      </c>
      <c r="I381" t="s">
        <v>1647</v>
      </c>
      <c r="J381" t="s">
        <v>1196</v>
      </c>
      <c r="K381" t="s">
        <v>55</v>
      </c>
      <c r="L381" t="s">
        <v>1648</v>
      </c>
      <c r="M381" t="s">
        <v>57</v>
      </c>
      <c r="N381" t="str">
        <f>"050765"</f>
        <v>050765</v>
      </c>
      <c r="O381" t="s">
        <v>58</v>
      </c>
      <c r="P381" t="s">
        <v>68</v>
      </c>
      <c r="Q381" t="s">
        <v>68</v>
      </c>
      <c r="R381" t="s">
        <v>68</v>
      </c>
      <c r="S381" t="s">
        <v>156</v>
      </c>
    </row>
    <row r="382" spans="1:19" x14ac:dyDescent="0.35">
      <c r="A382">
        <v>43695</v>
      </c>
      <c r="B382" t="str">
        <f>"043695"</f>
        <v>043695</v>
      </c>
      <c r="C382" t="s">
        <v>1824</v>
      </c>
      <c r="D382" t="s">
        <v>49</v>
      </c>
      <c r="E382" t="s">
        <v>50</v>
      </c>
      <c r="F382" t="s">
        <v>51</v>
      </c>
      <c r="G382" t="s">
        <v>1679</v>
      </c>
      <c r="H382" t="s">
        <v>1825</v>
      </c>
      <c r="I382" t="s">
        <v>1826</v>
      </c>
      <c r="J382" t="s">
        <v>1157</v>
      </c>
      <c r="K382" t="s">
        <v>55</v>
      </c>
      <c r="L382" t="s">
        <v>1158</v>
      </c>
      <c r="M382" t="s">
        <v>57</v>
      </c>
      <c r="N382" t="str">
        <f>"050765"</f>
        <v>050765</v>
      </c>
      <c r="O382" t="s">
        <v>58</v>
      </c>
      <c r="P382" t="s">
        <v>84</v>
      </c>
      <c r="Q382">
        <v>74.900000000000006</v>
      </c>
      <c r="R382">
        <v>8.2000000000000028</v>
      </c>
      <c r="S382" t="s">
        <v>130</v>
      </c>
    </row>
    <row r="383" spans="1:19" x14ac:dyDescent="0.35">
      <c r="A383">
        <v>44222</v>
      </c>
      <c r="B383" t="str">
        <f>"044222"</f>
        <v>044222</v>
      </c>
      <c r="C383" t="s">
        <v>1827</v>
      </c>
      <c r="D383" t="s">
        <v>49</v>
      </c>
      <c r="E383" t="s">
        <v>50</v>
      </c>
      <c r="F383" t="s">
        <v>51</v>
      </c>
      <c r="G383" t="s">
        <v>1193</v>
      </c>
      <c r="H383" t="s">
        <v>1828</v>
      </c>
      <c r="I383" t="s">
        <v>1829</v>
      </c>
      <c r="J383" t="s">
        <v>1196</v>
      </c>
      <c r="K383" t="s">
        <v>55</v>
      </c>
      <c r="L383" t="s">
        <v>1830</v>
      </c>
      <c r="M383" t="s">
        <v>57</v>
      </c>
      <c r="N383" t="str">
        <f>"050765"</f>
        <v>050765</v>
      </c>
      <c r="O383" t="s">
        <v>58</v>
      </c>
      <c r="P383" t="s">
        <v>281</v>
      </c>
      <c r="Q383">
        <v>100</v>
      </c>
      <c r="R383">
        <v>63.8</v>
      </c>
      <c r="S383" t="s">
        <v>156</v>
      </c>
    </row>
    <row r="384" spans="1:19" x14ac:dyDescent="0.35">
      <c r="A384">
        <v>44842</v>
      </c>
      <c r="B384" t="str">
        <f>"044842"</f>
        <v>044842</v>
      </c>
      <c r="C384" t="s">
        <v>1831</v>
      </c>
      <c r="D384" t="s">
        <v>49</v>
      </c>
      <c r="E384" t="s">
        <v>50</v>
      </c>
      <c r="F384" t="s">
        <v>51</v>
      </c>
      <c r="G384" t="s">
        <v>63</v>
      </c>
      <c r="H384" t="s">
        <v>1832</v>
      </c>
      <c r="I384" t="s">
        <v>1833</v>
      </c>
      <c r="J384" t="s">
        <v>1834</v>
      </c>
      <c r="K384" t="s">
        <v>55</v>
      </c>
      <c r="L384" t="s">
        <v>1835</v>
      </c>
      <c r="M384" t="s">
        <v>57</v>
      </c>
      <c r="N384" t="str">
        <f>"050765"</f>
        <v>050765</v>
      </c>
      <c r="O384" t="s">
        <v>58</v>
      </c>
      <c r="P384" t="s">
        <v>59</v>
      </c>
      <c r="Q384">
        <v>17.3</v>
      </c>
      <c r="R384">
        <v>22.700000000000003</v>
      </c>
      <c r="S384" t="s">
        <v>69</v>
      </c>
    </row>
    <row r="385" spans="1:19" x14ac:dyDescent="0.35">
      <c r="A385">
        <v>45021</v>
      </c>
      <c r="B385" t="str">
        <f>"045021"</f>
        <v>045021</v>
      </c>
      <c r="C385" t="s">
        <v>1836</v>
      </c>
      <c r="D385" t="s">
        <v>49</v>
      </c>
      <c r="E385" t="s">
        <v>50</v>
      </c>
      <c r="F385" t="s">
        <v>51</v>
      </c>
      <c r="G385" t="s">
        <v>351</v>
      </c>
      <c r="H385" t="s">
        <v>1837</v>
      </c>
      <c r="I385" t="s">
        <v>1838</v>
      </c>
      <c r="J385" t="s">
        <v>1839</v>
      </c>
      <c r="K385" t="s">
        <v>55</v>
      </c>
      <c r="L385" t="s">
        <v>1840</v>
      </c>
      <c r="M385" t="s">
        <v>57</v>
      </c>
      <c r="N385" t="str">
        <f>"050765"</f>
        <v>050765</v>
      </c>
      <c r="O385" t="s">
        <v>58</v>
      </c>
      <c r="P385" t="s">
        <v>76</v>
      </c>
      <c r="Q385">
        <v>99.5</v>
      </c>
      <c r="R385">
        <v>3.4000000000000057</v>
      </c>
      <c r="S385" t="s">
        <v>130</v>
      </c>
    </row>
    <row r="386" spans="1:19" x14ac:dyDescent="0.35">
      <c r="A386">
        <v>135335</v>
      </c>
      <c r="B386" t="str">
        <f>"135335"</f>
        <v>135335</v>
      </c>
      <c r="C386" t="s">
        <v>1841</v>
      </c>
      <c r="D386" t="s">
        <v>49</v>
      </c>
      <c r="E386" t="s">
        <v>606</v>
      </c>
      <c r="F386" t="s">
        <v>51</v>
      </c>
      <c r="G386" t="s">
        <v>63</v>
      </c>
      <c r="H386" t="s">
        <v>1842</v>
      </c>
      <c r="I386" t="s">
        <v>1843</v>
      </c>
      <c r="J386" t="s">
        <v>1844</v>
      </c>
      <c r="K386" t="s">
        <v>55</v>
      </c>
      <c r="L386" t="s">
        <v>1636</v>
      </c>
      <c r="M386" t="s">
        <v>57</v>
      </c>
      <c r="N386" t="str">
        <f>"135335"</f>
        <v>135335</v>
      </c>
      <c r="O386" t="s">
        <v>1841</v>
      </c>
      <c r="P386" t="s">
        <v>68</v>
      </c>
      <c r="Q386" t="s">
        <v>68</v>
      </c>
      <c r="R386" t="s">
        <v>68</v>
      </c>
      <c r="S386" t="s">
        <v>69</v>
      </c>
    </row>
    <row r="387" spans="1:19" x14ac:dyDescent="0.35">
      <c r="A387">
        <v>49668</v>
      </c>
      <c r="B387" t="str">
        <f>"049668"</f>
        <v>049668</v>
      </c>
      <c r="C387" t="s">
        <v>1845</v>
      </c>
      <c r="D387" t="s">
        <v>49</v>
      </c>
      <c r="E387" t="s">
        <v>50</v>
      </c>
      <c r="F387" t="s">
        <v>51</v>
      </c>
      <c r="G387" t="s">
        <v>219</v>
      </c>
      <c r="H387" t="s">
        <v>1846</v>
      </c>
      <c r="I387" t="s">
        <v>1847</v>
      </c>
      <c r="J387" t="s">
        <v>1848</v>
      </c>
      <c r="K387" t="s">
        <v>55</v>
      </c>
      <c r="L387" t="s">
        <v>1849</v>
      </c>
      <c r="M387" t="s">
        <v>57</v>
      </c>
      <c r="N387" t="str">
        <f>"125658"</f>
        <v>125658</v>
      </c>
      <c r="O387" t="s">
        <v>224</v>
      </c>
      <c r="P387" t="s">
        <v>84</v>
      </c>
      <c r="Q387">
        <v>34.5</v>
      </c>
      <c r="R387">
        <v>6.9000000000000057</v>
      </c>
      <c r="S387" t="s">
        <v>130</v>
      </c>
    </row>
    <row r="388" spans="1:19" x14ac:dyDescent="0.35">
      <c r="A388">
        <v>50443</v>
      </c>
      <c r="B388" t="str">
        <f>"050443"</f>
        <v>050443</v>
      </c>
      <c r="C388" t="s">
        <v>1850</v>
      </c>
      <c r="D388" t="s">
        <v>49</v>
      </c>
      <c r="E388" t="s">
        <v>50</v>
      </c>
      <c r="F388" t="s">
        <v>51</v>
      </c>
      <c r="G388" t="s">
        <v>172</v>
      </c>
      <c r="H388" t="s">
        <v>1851</v>
      </c>
      <c r="I388" t="s">
        <v>1852</v>
      </c>
      <c r="J388" t="s">
        <v>1853</v>
      </c>
      <c r="K388" t="s">
        <v>55</v>
      </c>
      <c r="L388" t="s">
        <v>1854</v>
      </c>
      <c r="M388" t="s">
        <v>57</v>
      </c>
      <c r="N388" t="str">
        <f>"050401"</f>
        <v>050401</v>
      </c>
      <c r="O388" t="s">
        <v>582</v>
      </c>
      <c r="P388" t="s">
        <v>59</v>
      </c>
      <c r="Q388">
        <v>17.8</v>
      </c>
      <c r="R388">
        <v>14.700000000000003</v>
      </c>
      <c r="S388" t="s">
        <v>217</v>
      </c>
    </row>
    <row r="389" spans="1:19" x14ac:dyDescent="0.35">
      <c r="A389">
        <v>43737</v>
      </c>
      <c r="B389" t="str">
        <f>"043737"</f>
        <v>043737</v>
      </c>
      <c r="C389" t="s">
        <v>1855</v>
      </c>
      <c r="D389" t="s">
        <v>49</v>
      </c>
      <c r="E389" t="s">
        <v>50</v>
      </c>
      <c r="F389" t="s">
        <v>51</v>
      </c>
      <c r="G389" t="s">
        <v>543</v>
      </c>
      <c r="H389" t="s">
        <v>1856</v>
      </c>
      <c r="I389" t="s">
        <v>1857</v>
      </c>
      <c r="J389" t="s">
        <v>1858</v>
      </c>
      <c r="K389" t="s">
        <v>55</v>
      </c>
      <c r="L389" t="s">
        <v>1859</v>
      </c>
      <c r="M389" t="s">
        <v>57</v>
      </c>
      <c r="N389" t="str">
        <f>"050765"</f>
        <v>050765</v>
      </c>
      <c r="O389" t="s">
        <v>58</v>
      </c>
      <c r="P389" t="s">
        <v>59</v>
      </c>
      <c r="Q389">
        <v>17.399999999999999</v>
      </c>
      <c r="R389">
        <v>27.099999999999994</v>
      </c>
      <c r="S389" t="s">
        <v>180</v>
      </c>
    </row>
    <row r="390" spans="1:19" x14ac:dyDescent="0.35">
      <c r="A390">
        <v>46607</v>
      </c>
      <c r="B390" t="str">
        <f>"046607"</f>
        <v>046607</v>
      </c>
      <c r="C390" t="s">
        <v>1860</v>
      </c>
      <c r="D390" t="s">
        <v>49</v>
      </c>
      <c r="E390" t="s">
        <v>50</v>
      </c>
      <c r="F390" t="s">
        <v>51</v>
      </c>
      <c r="G390" t="s">
        <v>63</v>
      </c>
      <c r="H390" t="s">
        <v>1861</v>
      </c>
      <c r="I390" t="s">
        <v>1862</v>
      </c>
      <c r="J390" t="s">
        <v>1863</v>
      </c>
      <c r="K390" t="s">
        <v>55</v>
      </c>
      <c r="L390" t="s">
        <v>1864</v>
      </c>
      <c r="M390" t="s">
        <v>57</v>
      </c>
      <c r="N390" t="str">
        <f>"050765"</f>
        <v>050765</v>
      </c>
      <c r="O390" t="s">
        <v>58</v>
      </c>
      <c r="P390" t="s">
        <v>59</v>
      </c>
      <c r="Q390">
        <v>12</v>
      </c>
      <c r="R390">
        <v>48.6</v>
      </c>
      <c r="S390" t="s">
        <v>69</v>
      </c>
    </row>
    <row r="391" spans="1:19" x14ac:dyDescent="0.35">
      <c r="A391">
        <v>49650</v>
      </c>
      <c r="B391" t="str">
        <f>"049650"</f>
        <v>049650</v>
      </c>
      <c r="C391" t="s">
        <v>1865</v>
      </c>
      <c r="D391" t="s">
        <v>49</v>
      </c>
      <c r="E391" t="s">
        <v>50</v>
      </c>
      <c r="F391" t="s">
        <v>51</v>
      </c>
      <c r="G391" t="s">
        <v>219</v>
      </c>
      <c r="H391" t="s">
        <v>1866</v>
      </c>
      <c r="I391" t="s">
        <v>1867</v>
      </c>
      <c r="J391" t="s">
        <v>1868</v>
      </c>
      <c r="K391" t="s">
        <v>55</v>
      </c>
      <c r="L391" t="s">
        <v>1869</v>
      </c>
      <c r="M391" t="s">
        <v>57</v>
      </c>
      <c r="N391" t="str">
        <f>"125658"</f>
        <v>125658</v>
      </c>
      <c r="O391" t="s">
        <v>224</v>
      </c>
      <c r="P391" t="s">
        <v>76</v>
      </c>
      <c r="Q391">
        <v>97.7</v>
      </c>
      <c r="R391">
        <v>7.4000000000000057</v>
      </c>
      <c r="S391" t="s">
        <v>130</v>
      </c>
    </row>
    <row r="392" spans="1:19" x14ac:dyDescent="0.35">
      <c r="A392">
        <v>50427</v>
      </c>
      <c r="B392" t="str">
        <f>"050427"</f>
        <v>050427</v>
      </c>
      <c r="C392" t="s">
        <v>1870</v>
      </c>
      <c r="D392" t="s">
        <v>49</v>
      </c>
      <c r="E392" t="s">
        <v>50</v>
      </c>
      <c r="F392" t="s">
        <v>51</v>
      </c>
      <c r="G392" t="s">
        <v>172</v>
      </c>
      <c r="H392" t="s">
        <v>1871</v>
      </c>
      <c r="I392" t="s">
        <v>1872</v>
      </c>
      <c r="J392" t="s">
        <v>1873</v>
      </c>
      <c r="K392" t="s">
        <v>55</v>
      </c>
      <c r="L392" t="s">
        <v>1874</v>
      </c>
      <c r="M392" t="s">
        <v>57</v>
      </c>
      <c r="N392" t="str">
        <f>"050765"</f>
        <v>050765</v>
      </c>
      <c r="O392" t="s">
        <v>58</v>
      </c>
      <c r="P392" t="s">
        <v>59</v>
      </c>
      <c r="Q392">
        <v>8.6999999999999993</v>
      </c>
      <c r="R392">
        <v>11.799999999999997</v>
      </c>
      <c r="S392" t="s">
        <v>217</v>
      </c>
    </row>
    <row r="393" spans="1:19" x14ac:dyDescent="0.35">
      <c r="A393">
        <v>200033</v>
      </c>
      <c r="B393" t="str">
        <f>"200033"</f>
        <v>200033</v>
      </c>
      <c r="C393" t="s">
        <v>1875</v>
      </c>
      <c r="D393" t="s">
        <v>49</v>
      </c>
      <c r="E393" t="s">
        <v>62</v>
      </c>
      <c r="F393" t="s">
        <v>51</v>
      </c>
      <c r="G393" t="s">
        <v>759</v>
      </c>
      <c r="H393" t="s">
        <v>1876</v>
      </c>
      <c r="I393" t="s">
        <v>1877</v>
      </c>
      <c r="J393" t="s">
        <v>400</v>
      </c>
      <c r="K393" t="s">
        <v>55</v>
      </c>
      <c r="L393" t="s">
        <v>762</v>
      </c>
      <c r="M393" t="s">
        <v>57</v>
      </c>
      <c r="N393" t="str">
        <f>"N/A"</f>
        <v>N/A</v>
      </c>
      <c r="O393" t="s">
        <v>49</v>
      </c>
      <c r="P393" t="s">
        <v>68</v>
      </c>
      <c r="Q393" t="s">
        <v>68</v>
      </c>
      <c r="R393" t="s">
        <v>68</v>
      </c>
      <c r="S393" t="s">
        <v>69</v>
      </c>
    </row>
    <row r="394" spans="1:19" x14ac:dyDescent="0.35">
      <c r="A394">
        <v>200050</v>
      </c>
      <c r="B394" t="str">
        <f>"200050"</f>
        <v>200050</v>
      </c>
      <c r="C394" t="s">
        <v>1878</v>
      </c>
      <c r="D394" t="s">
        <v>49</v>
      </c>
      <c r="E394" t="s">
        <v>62</v>
      </c>
      <c r="F394" t="s">
        <v>51</v>
      </c>
      <c r="G394" t="s">
        <v>135</v>
      </c>
      <c r="H394" t="s">
        <v>1879</v>
      </c>
      <c r="I394" t="s">
        <v>1880</v>
      </c>
      <c r="J394" t="s">
        <v>1881</v>
      </c>
      <c r="K394" t="s">
        <v>55</v>
      </c>
      <c r="L394" t="s">
        <v>1882</v>
      </c>
      <c r="M394" t="s">
        <v>57</v>
      </c>
      <c r="N394" t="str">
        <f>"N/A"</f>
        <v>N/A</v>
      </c>
      <c r="O394" t="s">
        <v>49</v>
      </c>
      <c r="P394" t="s">
        <v>68</v>
      </c>
      <c r="Q394" t="s">
        <v>68</v>
      </c>
      <c r="R394" t="s">
        <v>68</v>
      </c>
      <c r="S394" t="s">
        <v>130</v>
      </c>
    </row>
    <row r="395" spans="1:19" x14ac:dyDescent="0.35">
      <c r="A395">
        <v>44701</v>
      </c>
      <c r="B395" t="str">
        <f>"044701"</f>
        <v>044701</v>
      </c>
      <c r="C395" t="s">
        <v>1883</v>
      </c>
      <c r="D395" t="s">
        <v>49</v>
      </c>
      <c r="E395" t="s">
        <v>50</v>
      </c>
      <c r="F395" t="s">
        <v>51</v>
      </c>
      <c r="G395" t="s">
        <v>63</v>
      </c>
      <c r="H395" t="s">
        <v>1884</v>
      </c>
      <c r="I395" t="s">
        <v>1885</v>
      </c>
      <c r="J395" t="s">
        <v>871</v>
      </c>
      <c r="K395" t="s">
        <v>55</v>
      </c>
      <c r="L395" t="s">
        <v>872</v>
      </c>
      <c r="M395" t="s">
        <v>57</v>
      </c>
      <c r="N395" t="str">
        <f>"050765"</f>
        <v>050765</v>
      </c>
      <c r="O395" t="s">
        <v>58</v>
      </c>
      <c r="P395" t="s">
        <v>59</v>
      </c>
      <c r="Q395">
        <v>9.3000000000000007</v>
      </c>
      <c r="R395">
        <v>12.099999999999994</v>
      </c>
      <c r="S395" t="s">
        <v>69</v>
      </c>
    </row>
    <row r="396" spans="1:19" x14ac:dyDescent="0.35">
      <c r="A396">
        <v>45070</v>
      </c>
      <c r="B396" t="str">
        <f>"045070"</f>
        <v>045070</v>
      </c>
      <c r="C396" t="s">
        <v>1886</v>
      </c>
      <c r="D396" t="s">
        <v>49</v>
      </c>
      <c r="E396" t="s">
        <v>50</v>
      </c>
      <c r="F396" t="s">
        <v>51</v>
      </c>
      <c r="G396" t="s">
        <v>600</v>
      </c>
      <c r="H396" t="s">
        <v>1887</v>
      </c>
      <c r="I396" t="s">
        <v>1888</v>
      </c>
      <c r="J396" t="s">
        <v>1889</v>
      </c>
      <c r="K396" t="s">
        <v>55</v>
      </c>
      <c r="L396" t="s">
        <v>1890</v>
      </c>
      <c r="M396" t="s">
        <v>57</v>
      </c>
      <c r="N396" t="str">
        <f>"045070"</f>
        <v>045070</v>
      </c>
      <c r="O396" t="s">
        <v>1886</v>
      </c>
      <c r="P396" t="s">
        <v>281</v>
      </c>
      <c r="Q396">
        <v>100</v>
      </c>
      <c r="R396">
        <v>81.400000000000006</v>
      </c>
      <c r="S396" t="s">
        <v>60</v>
      </c>
    </row>
    <row r="397" spans="1:19" x14ac:dyDescent="0.35">
      <c r="A397">
        <v>200094</v>
      </c>
      <c r="B397" t="str">
        <f>"200094"</f>
        <v>200094</v>
      </c>
      <c r="C397" t="s">
        <v>1891</v>
      </c>
      <c r="D397" t="s">
        <v>49</v>
      </c>
      <c r="E397" t="s">
        <v>62</v>
      </c>
      <c r="F397" t="s">
        <v>51</v>
      </c>
      <c r="G397" t="s">
        <v>117</v>
      </c>
      <c r="H397" t="s">
        <v>1892</v>
      </c>
      <c r="I397" t="s">
        <v>1893</v>
      </c>
      <c r="J397" t="s">
        <v>977</v>
      </c>
      <c r="K397" t="s">
        <v>55</v>
      </c>
      <c r="L397" t="s">
        <v>978</v>
      </c>
      <c r="M397" t="s">
        <v>57</v>
      </c>
      <c r="N397" t="str">
        <f>"N/A"</f>
        <v>N/A</v>
      </c>
      <c r="O397" t="s">
        <v>49</v>
      </c>
      <c r="P397" t="s">
        <v>68</v>
      </c>
      <c r="Q397" t="s">
        <v>68</v>
      </c>
      <c r="R397" t="s">
        <v>68</v>
      </c>
      <c r="S397" t="s">
        <v>77</v>
      </c>
    </row>
    <row r="398" spans="1:19" x14ac:dyDescent="0.35">
      <c r="A398">
        <v>200086</v>
      </c>
      <c r="B398" t="str">
        <f>"200086"</f>
        <v>200086</v>
      </c>
      <c r="C398" t="s">
        <v>1894</v>
      </c>
      <c r="D398" t="s">
        <v>49</v>
      </c>
      <c r="E398" t="s">
        <v>62</v>
      </c>
      <c r="F398" t="s">
        <v>51</v>
      </c>
      <c r="G398" t="s">
        <v>219</v>
      </c>
      <c r="H398" t="s">
        <v>1895</v>
      </c>
      <c r="I398" t="s">
        <v>1896</v>
      </c>
      <c r="J398" t="s">
        <v>1897</v>
      </c>
      <c r="K398" t="s">
        <v>55</v>
      </c>
      <c r="L398" t="s">
        <v>1898</v>
      </c>
      <c r="M398" t="s">
        <v>57</v>
      </c>
      <c r="N398" t="str">
        <f>"N/A"</f>
        <v>N/A</v>
      </c>
      <c r="O398" t="s">
        <v>49</v>
      </c>
      <c r="P398" t="s">
        <v>68</v>
      </c>
      <c r="Q398" t="s">
        <v>68</v>
      </c>
      <c r="R398" t="s">
        <v>68</v>
      </c>
      <c r="S398" t="s">
        <v>130</v>
      </c>
    </row>
    <row r="399" spans="1:19" x14ac:dyDescent="0.35">
      <c r="A399">
        <v>45583</v>
      </c>
      <c r="B399" t="str">
        <f>"045583"</f>
        <v>045583</v>
      </c>
      <c r="C399" t="s">
        <v>1899</v>
      </c>
      <c r="D399" t="s">
        <v>49</v>
      </c>
      <c r="E399" t="s">
        <v>50</v>
      </c>
      <c r="F399" t="s">
        <v>51</v>
      </c>
      <c r="G399" t="s">
        <v>226</v>
      </c>
      <c r="H399" t="s">
        <v>1900</v>
      </c>
      <c r="I399" t="s">
        <v>1901</v>
      </c>
      <c r="J399" t="s">
        <v>944</v>
      </c>
      <c r="K399" t="s">
        <v>55</v>
      </c>
      <c r="L399" t="s">
        <v>945</v>
      </c>
      <c r="M399" t="s">
        <v>57</v>
      </c>
      <c r="N399" t="str">
        <f>"050765"</f>
        <v>050765</v>
      </c>
      <c r="O399" t="s">
        <v>58</v>
      </c>
      <c r="P399" t="s">
        <v>59</v>
      </c>
      <c r="Q399">
        <v>9.3000000000000007</v>
      </c>
      <c r="R399">
        <v>21.599999999999994</v>
      </c>
      <c r="S399" t="s">
        <v>156</v>
      </c>
    </row>
    <row r="400" spans="1:19" x14ac:dyDescent="0.35">
      <c r="A400">
        <v>46243</v>
      </c>
      <c r="B400" t="str">
        <f>"046243"</f>
        <v>046243</v>
      </c>
      <c r="C400" t="s">
        <v>1902</v>
      </c>
      <c r="D400" t="s">
        <v>49</v>
      </c>
      <c r="E400" t="s">
        <v>50</v>
      </c>
      <c r="F400" t="s">
        <v>51</v>
      </c>
      <c r="G400" t="s">
        <v>777</v>
      </c>
      <c r="H400" t="s">
        <v>1903</v>
      </c>
      <c r="I400" t="s">
        <v>1904</v>
      </c>
      <c r="J400" t="s">
        <v>1905</v>
      </c>
      <c r="K400" t="s">
        <v>55</v>
      </c>
      <c r="L400" t="s">
        <v>1906</v>
      </c>
      <c r="M400" t="s">
        <v>57</v>
      </c>
      <c r="N400" t="str">
        <f>"046227"</f>
        <v>046227</v>
      </c>
      <c r="O400" t="s">
        <v>782</v>
      </c>
      <c r="P400" t="s">
        <v>84</v>
      </c>
      <c r="Q400">
        <v>38.200000000000003</v>
      </c>
      <c r="R400">
        <v>22.299999999999997</v>
      </c>
      <c r="S400" t="s">
        <v>180</v>
      </c>
    </row>
    <row r="401" spans="1:19" x14ac:dyDescent="0.35">
      <c r="A401">
        <v>49684</v>
      </c>
      <c r="B401" t="str">
        <f>"049684"</f>
        <v>049684</v>
      </c>
      <c r="C401" t="s">
        <v>1907</v>
      </c>
      <c r="D401" t="s">
        <v>49</v>
      </c>
      <c r="E401" t="s">
        <v>50</v>
      </c>
      <c r="F401" t="s">
        <v>51</v>
      </c>
      <c r="G401" t="s">
        <v>1296</v>
      </c>
      <c r="H401" t="s">
        <v>1908</v>
      </c>
      <c r="I401" t="s">
        <v>1909</v>
      </c>
      <c r="J401" t="s">
        <v>1910</v>
      </c>
      <c r="K401" t="s">
        <v>55</v>
      </c>
      <c r="L401" t="s">
        <v>1911</v>
      </c>
      <c r="M401" t="s">
        <v>57</v>
      </c>
      <c r="N401" t="str">
        <f>"123257"</f>
        <v>123257</v>
      </c>
      <c r="O401" t="s">
        <v>316</v>
      </c>
      <c r="P401" t="s">
        <v>76</v>
      </c>
      <c r="Q401">
        <v>23.9</v>
      </c>
      <c r="R401">
        <v>5.5999999999999943</v>
      </c>
      <c r="S401" t="s">
        <v>156</v>
      </c>
    </row>
    <row r="402" spans="1:19" x14ac:dyDescent="0.35">
      <c r="A402">
        <v>43794</v>
      </c>
      <c r="B402" t="str">
        <f>"043794"</f>
        <v>043794</v>
      </c>
      <c r="C402" t="s">
        <v>1912</v>
      </c>
      <c r="D402" t="s">
        <v>49</v>
      </c>
      <c r="E402" t="s">
        <v>50</v>
      </c>
      <c r="F402" t="s">
        <v>51</v>
      </c>
      <c r="G402" t="s">
        <v>63</v>
      </c>
      <c r="H402" t="s">
        <v>1633</v>
      </c>
      <c r="I402" t="s">
        <v>1634</v>
      </c>
      <c r="J402" t="s">
        <v>1635</v>
      </c>
      <c r="K402" t="s">
        <v>55</v>
      </c>
      <c r="L402" t="s">
        <v>1636</v>
      </c>
      <c r="M402" t="s">
        <v>57</v>
      </c>
      <c r="N402" t="str">
        <f>"050765"</f>
        <v>050765</v>
      </c>
      <c r="O402" t="s">
        <v>58</v>
      </c>
      <c r="P402" t="s">
        <v>59</v>
      </c>
      <c r="Q402">
        <v>100</v>
      </c>
      <c r="R402">
        <v>82.7</v>
      </c>
      <c r="S402" t="s">
        <v>69</v>
      </c>
    </row>
    <row r="403" spans="1:19" x14ac:dyDescent="0.35">
      <c r="A403">
        <v>47969</v>
      </c>
      <c r="B403" t="str">
        <f>"047969"</f>
        <v>047969</v>
      </c>
      <c r="C403" t="s">
        <v>1913</v>
      </c>
      <c r="D403" t="s">
        <v>49</v>
      </c>
      <c r="E403" t="s">
        <v>50</v>
      </c>
      <c r="F403" t="s">
        <v>51</v>
      </c>
      <c r="G403" t="s">
        <v>1335</v>
      </c>
      <c r="H403" t="s">
        <v>1914</v>
      </c>
      <c r="I403" t="s">
        <v>1915</v>
      </c>
      <c r="J403" t="s">
        <v>1916</v>
      </c>
      <c r="K403" t="s">
        <v>55</v>
      </c>
      <c r="L403" t="s">
        <v>1917</v>
      </c>
      <c r="M403" t="s">
        <v>57</v>
      </c>
      <c r="N403" t="str">
        <f>"047910"</f>
        <v>047910</v>
      </c>
      <c r="O403" t="s">
        <v>1454</v>
      </c>
      <c r="P403" t="s">
        <v>76</v>
      </c>
      <c r="Q403">
        <v>91.3</v>
      </c>
      <c r="R403">
        <v>3</v>
      </c>
      <c r="S403" t="s">
        <v>130</v>
      </c>
    </row>
    <row r="404" spans="1:19" x14ac:dyDescent="0.35">
      <c r="A404">
        <v>48413</v>
      </c>
      <c r="B404" t="str">
        <f>"048413"</f>
        <v>048413</v>
      </c>
      <c r="C404" t="s">
        <v>1918</v>
      </c>
      <c r="D404" t="s">
        <v>49</v>
      </c>
      <c r="E404" t="s">
        <v>50</v>
      </c>
      <c r="F404" t="s">
        <v>51</v>
      </c>
      <c r="G404" t="s">
        <v>312</v>
      </c>
      <c r="H404" t="s">
        <v>1919</v>
      </c>
      <c r="I404" t="s">
        <v>1920</v>
      </c>
      <c r="J404" t="s">
        <v>312</v>
      </c>
      <c r="K404" t="s">
        <v>55</v>
      </c>
      <c r="L404" t="s">
        <v>315</v>
      </c>
      <c r="M404" t="s">
        <v>57</v>
      </c>
      <c r="N404" t="str">
        <f>"123257"</f>
        <v>123257</v>
      </c>
      <c r="O404" t="s">
        <v>316</v>
      </c>
      <c r="P404" t="s">
        <v>76</v>
      </c>
      <c r="Q404">
        <v>52.9</v>
      </c>
      <c r="R404">
        <v>7.5</v>
      </c>
      <c r="S404" t="s">
        <v>156</v>
      </c>
    </row>
    <row r="405" spans="1:19" x14ac:dyDescent="0.35">
      <c r="A405">
        <v>50039</v>
      </c>
      <c r="B405" t="str">
        <f>"050039"</f>
        <v>050039</v>
      </c>
      <c r="C405" t="s">
        <v>1921</v>
      </c>
      <c r="D405" t="s">
        <v>49</v>
      </c>
      <c r="E405" t="s">
        <v>50</v>
      </c>
      <c r="F405" t="s">
        <v>51</v>
      </c>
      <c r="G405" t="s">
        <v>264</v>
      </c>
      <c r="H405" t="s">
        <v>1922</v>
      </c>
      <c r="I405" t="s">
        <v>1923</v>
      </c>
      <c r="J405" t="s">
        <v>298</v>
      </c>
      <c r="K405" t="s">
        <v>55</v>
      </c>
      <c r="L405" t="s">
        <v>299</v>
      </c>
      <c r="M405" t="s">
        <v>57</v>
      </c>
      <c r="N405" t="str">
        <f>"049965"</f>
        <v>049965</v>
      </c>
      <c r="O405" t="s">
        <v>269</v>
      </c>
      <c r="P405" t="s">
        <v>84</v>
      </c>
      <c r="Q405">
        <v>26.5</v>
      </c>
      <c r="R405">
        <v>2.5</v>
      </c>
      <c r="S405" t="s">
        <v>77</v>
      </c>
    </row>
    <row r="406" spans="1:19" x14ac:dyDescent="0.35">
      <c r="A406">
        <v>62067</v>
      </c>
      <c r="B406" t="str">
        <f>"062067"</f>
        <v>062067</v>
      </c>
      <c r="C406" t="s">
        <v>1924</v>
      </c>
      <c r="D406" t="s">
        <v>49</v>
      </c>
      <c r="E406" t="s">
        <v>163</v>
      </c>
      <c r="F406" t="s">
        <v>51</v>
      </c>
      <c r="G406" t="s">
        <v>861</v>
      </c>
      <c r="H406" t="s">
        <v>1925</v>
      </c>
      <c r="I406" t="s">
        <v>1926</v>
      </c>
      <c r="J406" t="s">
        <v>1743</v>
      </c>
      <c r="K406" t="s">
        <v>55</v>
      </c>
      <c r="L406" t="s">
        <v>1744</v>
      </c>
      <c r="M406" t="s">
        <v>57</v>
      </c>
      <c r="N406" t="str">
        <f>"050765"</f>
        <v>050765</v>
      </c>
      <c r="O406" t="s">
        <v>58</v>
      </c>
      <c r="P406" t="s">
        <v>68</v>
      </c>
      <c r="Q406" t="s">
        <v>68</v>
      </c>
      <c r="R406" t="s">
        <v>68</v>
      </c>
      <c r="S406" t="s">
        <v>130</v>
      </c>
    </row>
    <row r="407" spans="1:19" x14ac:dyDescent="0.35">
      <c r="A407">
        <v>45229</v>
      </c>
      <c r="B407" t="str">
        <f>"045229"</f>
        <v>045229</v>
      </c>
      <c r="C407" t="s">
        <v>1927</v>
      </c>
      <c r="D407" t="s">
        <v>49</v>
      </c>
      <c r="E407" t="s">
        <v>50</v>
      </c>
      <c r="F407" t="s">
        <v>51</v>
      </c>
      <c r="G407" t="s">
        <v>325</v>
      </c>
      <c r="H407" t="s">
        <v>1928</v>
      </c>
      <c r="I407" t="s">
        <v>1929</v>
      </c>
      <c r="J407" t="s">
        <v>1930</v>
      </c>
      <c r="K407" t="s">
        <v>55</v>
      </c>
      <c r="L407" t="s">
        <v>1931</v>
      </c>
      <c r="M407" t="s">
        <v>57</v>
      </c>
      <c r="N407" t="str">
        <f>"050765"</f>
        <v>050765</v>
      </c>
      <c r="O407" t="s">
        <v>58</v>
      </c>
      <c r="P407" t="s">
        <v>76</v>
      </c>
      <c r="Q407">
        <v>47.9</v>
      </c>
      <c r="R407">
        <v>2.5999999999999943</v>
      </c>
      <c r="S407" t="s">
        <v>180</v>
      </c>
    </row>
    <row r="408" spans="1:19" x14ac:dyDescent="0.35">
      <c r="A408">
        <v>45781</v>
      </c>
      <c r="B408" t="str">
        <f>"045781"</f>
        <v>045781</v>
      </c>
      <c r="C408" t="s">
        <v>1548</v>
      </c>
      <c r="D408" t="s">
        <v>49</v>
      </c>
      <c r="E408" t="s">
        <v>50</v>
      </c>
      <c r="F408" t="s">
        <v>51</v>
      </c>
      <c r="G408" t="s">
        <v>1193</v>
      </c>
      <c r="H408" t="s">
        <v>1932</v>
      </c>
      <c r="I408" t="s">
        <v>1933</v>
      </c>
      <c r="J408" t="s">
        <v>1196</v>
      </c>
      <c r="K408" t="s">
        <v>55</v>
      </c>
      <c r="L408" t="s">
        <v>1648</v>
      </c>
      <c r="M408" t="s">
        <v>57</v>
      </c>
      <c r="N408" t="str">
        <f>"045740"</f>
        <v>045740</v>
      </c>
      <c r="O408" t="s">
        <v>1198</v>
      </c>
      <c r="P408" t="s">
        <v>84</v>
      </c>
      <c r="Q408">
        <v>68.400000000000006</v>
      </c>
      <c r="R408">
        <v>42.4</v>
      </c>
      <c r="S408" t="s">
        <v>156</v>
      </c>
    </row>
    <row r="409" spans="1:19" x14ac:dyDescent="0.35">
      <c r="A409">
        <v>46128</v>
      </c>
      <c r="B409" t="str">
        <f>"046128"</f>
        <v>046128</v>
      </c>
      <c r="C409" t="s">
        <v>1934</v>
      </c>
      <c r="D409" t="s">
        <v>49</v>
      </c>
      <c r="E409" t="s">
        <v>50</v>
      </c>
      <c r="F409" t="s">
        <v>51</v>
      </c>
      <c r="G409" t="s">
        <v>244</v>
      </c>
      <c r="H409" t="s">
        <v>1935</v>
      </c>
      <c r="I409" t="s">
        <v>1936</v>
      </c>
      <c r="J409" t="s">
        <v>1179</v>
      </c>
      <c r="K409" t="s">
        <v>55</v>
      </c>
      <c r="L409" t="s">
        <v>1180</v>
      </c>
      <c r="M409" t="s">
        <v>57</v>
      </c>
      <c r="N409" t="str">
        <f>"046086"</f>
        <v>046086</v>
      </c>
      <c r="O409" t="s">
        <v>375</v>
      </c>
      <c r="P409" t="s">
        <v>76</v>
      </c>
      <c r="Q409">
        <v>35.6</v>
      </c>
      <c r="R409">
        <v>6.9000000000000057</v>
      </c>
      <c r="S409" t="s">
        <v>217</v>
      </c>
    </row>
    <row r="410" spans="1:19" x14ac:dyDescent="0.35">
      <c r="A410">
        <v>46870</v>
      </c>
      <c r="B410" t="str">
        <f>"046870"</f>
        <v>046870</v>
      </c>
      <c r="C410" t="s">
        <v>1937</v>
      </c>
      <c r="D410" t="s">
        <v>49</v>
      </c>
      <c r="E410" t="s">
        <v>50</v>
      </c>
      <c r="F410" t="s">
        <v>51</v>
      </c>
      <c r="G410" t="s">
        <v>92</v>
      </c>
      <c r="H410" t="s">
        <v>1938</v>
      </c>
      <c r="I410" t="s">
        <v>1939</v>
      </c>
      <c r="J410" t="s">
        <v>1940</v>
      </c>
      <c r="K410" t="s">
        <v>55</v>
      </c>
      <c r="L410" t="s">
        <v>1941</v>
      </c>
      <c r="M410" t="s">
        <v>57</v>
      </c>
      <c r="N410" t="str">
        <f>"046839"</f>
        <v>046839</v>
      </c>
      <c r="O410" t="s">
        <v>97</v>
      </c>
      <c r="P410" t="s">
        <v>76</v>
      </c>
      <c r="Q410">
        <v>34.799999999999997</v>
      </c>
      <c r="R410">
        <v>4.4000000000000057</v>
      </c>
      <c r="S410" t="s">
        <v>60</v>
      </c>
    </row>
    <row r="411" spans="1:19" x14ac:dyDescent="0.35">
      <c r="A411">
        <v>44115</v>
      </c>
      <c r="B411" t="str">
        <f>"044115"</f>
        <v>044115</v>
      </c>
      <c r="C411" t="s">
        <v>1942</v>
      </c>
      <c r="D411" t="s">
        <v>49</v>
      </c>
      <c r="E411" t="s">
        <v>50</v>
      </c>
      <c r="F411" t="s">
        <v>51</v>
      </c>
      <c r="G411" t="s">
        <v>110</v>
      </c>
      <c r="H411" t="s">
        <v>1943</v>
      </c>
      <c r="I411" t="s">
        <v>1944</v>
      </c>
      <c r="J411" t="s">
        <v>1945</v>
      </c>
      <c r="K411" t="s">
        <v>55</v>
      </c>
      <c r="L411" t="s">
        <v>1946</v>
      </c>
      <c r="M411" t="s">
        <v>57</v>
      </c>
      <c r="N411" t="str">
        <f>"050765"</f>
        <v>050765</v>
      </c>
      <c r="O411" t="s">
        <v>58</v>
      </c>
      <c r="P411" t="s">
        <v>84</v>
      </c>
      <c r="Q411">
        <v>40.4</v>
      </c>
      <c r="R411">
        <v>15.700000000000003</v>
      </c>
      <c r="S411" t="s">
        <v>60</v>
      </c>
    </row>
    <row r="412" spans="1:19" x14ac:dyDescent="0.35">
      <c r="A412">
        <v>45476</v>
      </c>
      <c r="B412" t="str">
        <f>"045476"</f>
        <v>045476</v>
      </c>
      <c r="C412" t="s">
        <v>1947</v>
      </c>
      <c r="D412" t="s">
        <v>49</v>
      </c>
      <c r="E412" t="s">
        <v>50</v>
      </c>
      <c r="F412" t="s">
        <v>51</v>
      </c>
      <c r="G412" t="s">
        <v>1948</v>
      </c>
      <c r="H412" t="s">
        <v>1949</v>
      </c>
      <c r="I412" t="s">
        <v>1950</v>
      </c>
      <c r="J412" t="s">
        <v>1951</v>
      </c>
      <c r="K412" t="s">
        <v>55</v>
      </c>
      <c r="L412" t="s">
        <v>1952</v>
      </c>
      <c r="M412" t="s">
        <v>57</v>
      </c>
      <c r="N412" t="str">
        <f>"050765"</f>
        <v>050765</v>
      </c>
      <c r="O412" t="s">
        <v>58</v>
      </c>
      <c r="P412" t="s">
        <v>59</v>
      </c>
      <c r="Q412">
        <v>19.399999999999999</v>
      </c>
      <c r="R412">
        <v>17.799999999999997</v>
      </c>
      <c r="S412" t="s">
        <v>60</v>
      </c>
    </row>
    <row r="413" spans="1:19" x14ac:dyDescent="0.35">
      <c r="A413">
        <v>47027</v>
      </c>
      <c r="B413" t="str">
        <f>"047027"</f>
        <v>047027</v>
      </c>
      <c r="C413" t="s">
        <v>1953</v>
      </c>
      <c r="D413" t="s">
        <v>49</v>
      </c>
      <c r="E413" t="s">
        <v>50</v>
      </c>
      <c r="F413" t="s">
        <v>51</v>
      </c>
      <c r="G413" t="s">
        <v>600</v>
      </c>
      <c r="H413" t="s">
        <v>1954</v>
      </c>
      <c r="I413" t="s">
        <v>1955</v>
      </c>
      <c r="J413" t="s">
        <v>1956</v>
      </c>
      <c r="K413" t="s">
        <v>55</v>
      </c>
      <c r="L413" t="s">
        <v>1957</v>
      </c>
      <c r="M413" t="s">
        <v>57</v>
      </c>
      <c r="N413" t="str">
        <f>"050765"</f>
        <v>050765</v>
      </c>
      <c r="O413" t="s">
        <v>58</v>
      </c>
      <c r="P413" t="s">
        <v>59</v>
      </c>
      <c r="Q413">
        <v>16.7</v>
      </c>
      <c r="R413">
        <v>41.7</v>
      </c>
      <c r="S413" t="s">
        <v>60</v>
      </c>
    </row>
    <row r="414" spans="1:19" x14ac:dyDescent="0.35">
      <c r="A414">
        <v>200120</v>
      </c>
      <c r="B414" t="str">
        <f>"200120"</f>
        <v>200120</v>
      </c>
      <c r="C414" t="s">
        <v>1958</v>
      </c>
      <c r="D414" t="s">
        <v>49</v>
      </c>
      <c r="E414" t="s">
        <v>62</v>
      </c>
      <c r="F414" t="s">
        <v>51</v>
      </c>
      <c r="G414" t="s">
        <v>543</v>
      </c>
      <c r="H414" t="s">
        <v>1959</v>
      </c>
      <c r="I414" t="s">
        <v>1960</v>
      </c>
      <c r="J414" t="s">
        <v>1961</v>
      </c>
      <c r="K414" t="s">
        <v>55</v>
      </c>
      <c r="L414" t="s">
        <v>1962</v>
      </c>
      <c r="M414" t="s">
        <v>57</v>
      </c>
      <c r="N414" t="str">
        <f>"N/A"</f>
        <v>N/A</v>
      </c>
      <c r="O414" t="s">
        <v>49</v>
      </c>
      <c r="P414" t="s">
        <v>68</v>
      </c>
      <c r="Q414" t="s">
        <v>68</v>
      </c>
      <c r="R414" t="s">
        <v>68</v>
      </c>
      <c r="S414" t="s">
        <v>180</v>
      </c>
    </row>
    <row r="415" spans="1:19" x14ac:dyDescent="0.35">
      <c r="A415">
        <v>44180</v>
      </c>
      <c r="B415" t="str">
        <f>"044180"</f>
        <v>044180</v>
      </c>
      <c r="C415" t="s">
        <v>1963</v>
      </c>
      <c r="D415" t="s">
        <v>49</v>
      </c>
      <c r="E415" t="s">
        <v>50</v>
      </c>
      <c r="F415" t="s">
        <v>51</v>
      </c>
      <c r="G415" t="s">
        <v>543</v>
      </c>
      <c r="H415" t="s">
        <v>1964</v>
      </c>
      <c r="I415" t="s">
        <v>1965</v>
      </c>
      <c r="J415" t="s">
        <v>1961</v>
      </c>
      <c r="K415" t="s">
        <v>55</v>
      </c>
      <c r="L415" t="s">
        <v>1962</v>
      </c>
      <c r="M415" t="s">
        <v>57</v>
      </c>
      <c r="N415" t="str">
        <f>"050765"</f>
        <v>050765</v>
      </c>
      <c r="O415" t="s">
        <v>58</v>
      </c>
      <c r="P415" t="s">
        <v>59</v>
      </c>
      <c r="Q415">
        <v>40.799999999999997</v>
      </c>
      <c r="R415">
        <v>23.799999999999997</v>
      </c>
      <c r="S415" t="s">
        <v>180</v>
      </c>
    </row>
    <row r="416" spans="1:19" x14ac:dyDescent="0.35">
      <c r="A416">
        <v>45658</v>
      </c>
      <c r="B416" t="str">
        <f>"045658"</f>
        <v>045658</v>
      </c>
      <c r="C416" t="s">
        <v>1966</v>
      </c>
      <c r="D416" t="s">
        <v>49</v>
      </c>
      <c r="E416" t="s">
        <v>50</v>
      </c>
      <c r="F416" t="s">
        <v>51</v>
      </c>
      <c r="G416" t="s">
        <v>143</v>
      </c>
      <c r="H416" t="s">
        <v>1967</v>
      </c>
      <c r="I416" t="s">
        <v>1968</v>
      </c>
      <c r="J416" t="s">
        <v>1969</v>
      </c>
      <c r="K416" t="s">
        <v>55</v>
      </c>
      <c r="L416" t="s">
        <v>1970</v>
      </c>
      <c r="M416" t="s">
        <v>57</v>
      </c>
      <c r="N416" t="str">
        <f>"050765"</f>
        <v>050765</v>
      </c>
      <c r="O416" t="s">
        <v>58</v>
      </c>
      <c r="P416" t="s">
        <v>84</v>
      </c>
      <c r="Q416">
        <v>35.9</v>
      </c>
      <c r="R416">
        <v>12.299999999999997</v>
      </c>
      <c r="S416" t="s">
        <v>69</v>
      </c>
    </row>
    <row r="417" spans="1:19" x14ac:dyDescent="0.35">
      <c r="A417">
        <v>50815</v>
      </c>
      <c r="B417" t="str">
        <f>"050815"</f>
        <v>050815</v>
      </c>
      <c r="C417" t="s">
        <v>1971</v>
      </c>
      <c r="D417" t="s">
        <v>49</v>
      </c>
      <c r="E417" t="s">
        <v>163</v>
      </c>
      <c r="F417" t="s">
        <v>51</v>
      </c>
      <c r="G417" t="s">
        <v>132</v>
      </c>
      <c r="H417" t="s">
        <v>133</v>
      </c>
      <c r="I417" t="s">
        <v>134</v>
      </c>
      <c r="J417" t="s">
        <v>135</v>
      </c>
      <c r="K417" t="s">
        <v>55</v>
      </c>
      <c r="L417" t="s">
        <v>136</v>
      </c>
      <c r="M417" t="s">
        <v>57</v>
      </c>
      <c r="N417" t="str">
        <f>"050765"</f>
        <v>050765</v>
      </c>
      <c r="O417" t="s">
        <v>58</v>
      </c>
      <c r="P417" t="s">
        <v>68</v>
      </c>
      <c r="Q417" t="s">
        <v>68</v>
      </c>
      <c r="R417" t="s">
        <v>68</v>
      </c>
      <c r="S417" t="s">
        <v>69</v>
      </c>
    </row>
    <row r="418" spans="1:19" x14ac:dyDescent="0.35">
      <c r="A418">
        <v>64964</v>
      </c>
      <c r="B418" t="str">
        <f>"064964"</f>
        <v>064964</v>
      </c>
      <c r="C418" t="s">
        <v>1972</v>
      </c>
      <c r="D418" t="s">
        <v>49</v>
      </c>
      <c r="E418" t="s">
        <v>50</v>
      </c>
      <c r="F418" t="s">
        <v>51</v>
      </c>
      <c r="G418" t="s">
        <v>362</v>
      </c>
      <c r="H418" t="s">
        <v>1973</v>
      </c>
      <c r="I418" t="s">
        <v>1974</v>
      </c>
      <c r="J418" t="s">
        <v>1975</v>
      </c>
      <c r="K418" t="s">
        <v>55</v>
      </c>
      <c r="L418" t="s">
        <v>1976</v>
      </c>
      <c r="M418" t="s">
        <v>57</v>
      </c>
      <c r="N418" t="str">
        <f>"049254"</f>
        <v>049254</v>
      </c>
      <c r="O418" t="s">
        <v>367</v>
      </c>
      <c r="P418" t="s">
        <v>1977</v>
      </c>
      <c r="Q418" t="s">
        <v>68</v>
      </c>
      <c r="R418" t="s">
        <v>68</v>
      </c>
      <c r="S418" t="s">
        <v>180</v>
      </c>
    </row>
    <row r="419" spans="1:19" x14ac:dyDescent="0.35">
      <c r="A419">
        <v>48389</v>
      </c>
      <c r="B419" t="str">
        <f>"048389"</f>
        <v>048389</v>
      </c>
      <c r="C419" t="s">
        <v>1978</v>
      </c>
      <c r="D419" t="s">
        <v>49</v>
      </c>
      <c r="E419" t="s">
        <v>50</v>
      </c>
      <c r="F419" t="s">
        <v>51</v>
      </c>
      <c r="G419" t="s">
        <v>383</v>
      </c>
      <c r="H419" t="s">
        <v>1979</v>
      </c>
      <c r="I419" t="s">
        <v>1980</v>
      </c>
      <c r="J419" t="s">
        <v>1981</v>
      </c>
      <c r="K419" t="s">
        <v>55</v>
      </c>
      <c r="L419" t="s">
        <v>1982</v>
      </c>
      <c r="M419" t="s">
        <v>57</v>
      </c>
      <c r="N419" t="str">
        <f>"048280"</f>
        <v>048280</v>
      </c>
      <c r="O419" t="s">
        <v>388</v>
      </c>
      <c r="P419" t="s">
        <v>76</v>
      </c>
      <c r="Q419">
        <v>36.5</v>
      </c>
      <c r="R419">
        <v>5.5</v>
      </c>
      <c r="S419" t="s">
        <v>77</v>
      </c>
    </row>
    <row r="420" spans="1:19" x14ac:dyDescent="0.35">
      <c r="A420">
        <v>49833</v>
      </c>
      <c r="B420" t="str">
        <f>"049833"</f>
        <v>049833</v>
      </c>
      <c r="C420" t="s">
        <v>1983</v>
      </c>
      <c r="D420" t="s">
        <v>49</v>
      </c>
      <c r="E420" t="s">
        <v>50</v>
      </c>
      <c r="F420" t="s">
        <v>51</v>
      </c>
      <c r="G420" t="s">
        <v>117</v>
      </c>
      <c r="H420" t="s">
        <v>1984</v>
      </c>
      <c r="I420" t="s">
        <v>1985</v>
      </c>
      <c r="J420" t="s">
        <v>1409</v>
      </c>
      <c r="K420" t="s">
        <v>55</v>
      </c>
      <c r="L420" t="s">
        <v>1986</v>
      </c>
      <c r="M420" t="s">
        <v>57</v>
      </c>
      <c r="N420" t="str">
        <f>"049825"</f>
        <v>049825</v>
      </c>
      <c r="O420" t="s">
        <v>122</v>
      </c>
      <c r="P420" t="s">
        <v>84</v>
      </c>
      <c r="Q420">
        <v>79</v>
      </c>
      <c r="R420">
        <v>23.400000000000006</v>
      </c>
      <c r="S420" t="s">
        <v>77</v>
      </c>
    </row>
    <row r="421" spans="1:19" x14ac:dyDescent="0.35">
      <c r="A421">
        <v>48686</v>
      </c>
      <c r="B421" t="str">
        <f>"048686"</f>
        <v>048686</v>
      </c>
      <c r="C421" t="s">
        <v>1987</v>
      </c>
      <c r="D421" t="s">
        <v>49</v>
      </c>
      <c r="E421" t="s">
        <v>50</v>
      </c>
      <c r="F421" t="s">
        <v>51</v>
      </c>
      <c r="G421" t="s">
        <v>543</v>
      </c>
      <c r="H421" t="s">
        <v>1988</v>
      </c>
      <c r="I421" t="s">
        <v>1989</v>
      </c>
      <c r="J421" t="s">
        <v>687</v>
      </c>
      <c r="K421" t="s">
        <v>55</v>
      </c>
      <c r="L421" t="s">
        <v>1990</v>
      </c>
      <c r="M421" t="s">
        <v>57</v>
      </c>
      <c r="N421" t="str">
        <f>"048660"</f>
        <v>048660</v>
      </c>
      <c r="O421" t="s">
        <v>867</v>
      </c>
      <c r="P421" t="s">
        <v>84</v>
      </c>
      <c r="Q421">
        <v>99.6</v>
      </c>
      <c r="R421">
        <v>83.1</v>
      </c>
      <c r="S421" t="s">
        <v>180</v>
      </c>
    </row>
    <row r="422" spans="1:19" x14ac:dyDescent="0.35">
      <c r="A422">
        <v>200081</v>
      </c>
      <c r="B422" t="str">
        <f>"200081"</f>
        <v>200081</v>
      </c>
      <c r="C422" t="s">
        <v>1991</v>
      </c>
      <c r="D422" t="s">
        <v>49</v>
      </c>
      <c r="E422" t="s">
        <v>62</v>
      </c>
      <c r="F422" t="s">
        <v>51</v>
      </c>
      <c r="G422" t="s">
        <v>663</v>
      </c>
      <c r="H422" t="s">
        <v>1992</v>
      </c>
      <c r="I422" t="s">
        <v>1993</v>
      </c>
      <c r="J422" t="s">
        <v>666</v>
      </c>
      <c r="K422" t="s">
        <v>55</v>
      </c>
      <c r="L422" t="s">
        <v>1994</v>
      </c>
      <c r="M422" t="s">
        <v>57</v>
      </c>
      <c r="N422" t="str">
        <f>"N/A"</f>
        <v>N/A</v>
      </c>
      <c r="O422" t="s">
        <v>49</v>
      </c>
      <c r="P422" t="s">
        <v>68</v>
      </c>
      <c r="Q422" t="s">
        <v>68</v>
      </c>
      <c r="R422" t="s">
        <v>68</v>
      </c>
      <c r="S422" t="s">
        <v>77</v>
      </c>
    </row>
    <row r="423" spans="1:19" x14ac:dyDescent="0.35">
      <c r="A423">
        <v>45336</v>
      </c>
      <c r="B423" t="str">
        <f>"045336"</f>
        <v>045336</v>
      </c>
      <c r="C423" t="s">
        <v>1995</v>
      </c>
      <c r="D423" t="s">
        <v>49</v>
      </c>
      <c r="E423" t="s">
        <v>50</v>
      </c>
      <c r="F423" t="s">
        <v>51</v>
      </c>
      <c r="G423" t="s">
        <v>325</v>
      </c>
      <c r="H423" t="s">
        <v>1996</v>
      </c>
      <c r="I423" t="s">
        <v>1997</v>
      </c>
      <c r="J423" t="s">
        <v>1998</v>
      </c>
      <c r="K423" t="s">
        <v>55</v>
      </c>
      <c r="L423" t="s">
        <v>1999</v>
      </c>
      <c r="M423" t="s">
        <v>57</v>
      </c>
      <c r="N423" t="str">
        <f>"050765"</f>
        <v>050765</v>
      </c>
      <c r="O423" t="s">
        <v>58</v>
      </c>
      <c r="P423" t="s">
        <v>84</v>
      </c>
      <c r="Q423">
        <v>32.6</v>
      </c>
      <c r="R423">
        <v>7.7999999999999972</v>
      </c>
      <c r="S423" t="s">
        <v>180</v>
      </c>
    </row>
    <row r="424" spans="1:19" x14ac:dyDescent="0.35">
      <c r="A424">
        <v>44883</v>
      </c>
      <c r="B424" t="str">
        <f>"044883"</f>
        <v>044883</v>
      </c>
      <c r="C424" t="s">
        <v>2000</v>
      </c>
      <c r="D424" t="s">
        <v>49</v>
      </c>
      <c r="E424" t="s">
        <v>50</v>
      </c>
      <c r="F424" t="s">
        <v>51</v>
      </c>
      <c r="G424" t="s">
        <v>264</v>
      </c>
      <c r="H424" t="s">
        <v>2001</v>
      </c>
      <c r="I424" t="s">
        <v>2002</v>
      </c>
      <c r="J424" t="s">
        <v>2003</v>
      </c>
      <c r="K424" t="s">
        <v>55</v>
      </c>
      <c r="L424" t="s">
        <v>2004</v>
      </c>
      <c r="M424" t="s">
        <v>57</v>
      </c>
      <c r="N424" t="str">
        <f>"050765"</f>
        <v>050765</v>
      </c>
      <c r="O424" t="s">
        <v>58</v>
      </c>
      <c r="P424" t="s">
        <v>59</v>
      </c>
      <c r="Q424">
        <v>27.9</v>
      </c>
      <c r="R424">
        <v>21.700000000000003</v>
      </c>
      <c r="S424" t="s">
        <v>77</v>
      </c>
    </row>
    <row r="425" spans="1:19" x14ac:dyDescent="0.35">
      <c r="A425">
        <v>46110</v>
      </c>
      <c r="B425" t="str">
        <f>"046110"</f>
        <v>046110</v>
      </c>
      <c r="C425" t="s">
        <v>2005</v>
      </c>
      <c r="D425" t="s">
        <v>49</v>
      </c>
      <c r="E425" t="s">
        <v>50</v>
      </c>
      <c r="F425" t="s">
        <v>51</v>
      </c>
      <c r="G425" t="s">
        <v>244</v>
      </c>
      <c r="H425" t="s">
        <v>2006</v>
      </c>
      <c r="I425" t="s">
        <v>2007</v>
      </c>
      <c r="J425" t="s">
        <v>2008</v>
      </c>
      <c r="K425" t="s">
        <v>55</v>
      </c>
      <c r="L425" t="s">
        <v>374</v>
      </c>
      <c r="M425" t="s">
        <v>57</v>
      </c>
      <c r="N425" t="str">
        <f>"046086"</f>
        <v>046086</v>
      </c>
      <c r="O425" t="s">
        <v>375</v>
      </c>
      <c r="P425" t="s">
        <v>59</v>
      </c>
      <c r="Q425">
        <v>23.9</v>
      </c>
      <c r="R425">
        <v>40.299999999999997</v>
      </c>
      <c r="S425" t="s">
        <v>217</v>
      </c>
    </row>
    <row r="426" spans="1:19" x14ac:dyDescent="0.35">
      <c r="A426">
        <v>52530</v>
      </c>
      <c r="B426" t="str">
        <f>"052530"</f>
        <v>052530</v>
      </c>
      <c r="C426" t="s">
        <v>2009</v>
      </c>
      <c r="D426" t="s">
        <v>49</v>
      </c>
      <c r="E426" t="s">
        <v>606</v>
      </c>
      <c r="F426" t="s">
        <v>51</v>
      </c>
      <c r="G426" t="s">
        <v>600</v>
      </c>
      <c r="H426" t="s">
        <v>2010</v>
      </c>
      <c r="I426" t="s">
        <v>2011</v>
      </c>
      <c r="J426" t="s">
        <v>1348</v>
      </c>
      <c r="K426" t="s">
        <v>55</v>
      </c>
      <c r="L426" t="s">
        <v>1516</v>
      </c>
      <c r="M426" t="s">
        <v>57</v>
      </c>
      <c r="N426" t="str">
        <f>"052506"</f>
        <v>052506</v>
      </c>
      <c r="O426" t="s">
        <v>610</v>
      </c>
      <c r="P426" t="s">
        <v>68</v>
      </c>
      <c r="Q426" t="s">
        <v>68</v>
      </c>
      <c r="R426" t="s">
        <v>68</v>
      </c>
      <c r="S426" t="s">
        <v>60</v>
      </c>
    </row>
    <row r="427" spans="1:19" x14ac:dyDescent="0.35">
      <c r="A427">
        <v>45211</v>
      </c>
      <c r="B427" t="str">
        <f>"045211"</f>
        <v>045211</v>
      </c>
      <c r="C427" t="s">
        <v>2012</v>
      </c>
      <c r="D427" t="s">
        <v>49</v>
      </c>
      <c r="E427" t="s">
        <v>50</v>
      </c>
      <c r="F427" t="s">
        <v>51</v>
      </c>
      <c r="G427" t="s">
        <v>1193</v>
      </c>
      <c r="H427" t="s">
        <v>2013</v>
      </c>
      <c r="I427" t="s">
        <v>2014</v>
      </c>
      <c r="J427" t="s">
        <v>2015</v>
      </c>
      <c r="K427" t="s">
        <v>55</v>
      </c>
      <c r="L427" t="s">
        <v>2016</v>
      </c>
      <c r="M427" t="s">
        <v>57</v>
      </c>
      <c r="N427" t="str">
        <f>"050765"</f>
        <v>050765</v>
      </c>
      <c r="O427" t="s">
        <v>58</v>
      </c>
      <c r="P427" t="s">
        <v>84</v>
      </c>
      <c r="Q427">
        <v>14.6</v>
      </c>
      <c r="R427">
        <v>8.0999999999999943</v>
      </c>
      <c r="S427" t="s">
        <v>156</v>
      </c>
    </row>
    <row r="428" spans="1:19" x14ac:dyDescent="0.35">
      <c r="A428">
        <v>45591</v>
      </c>
      <c r="B428" t="str">
        <f>"045591"</f>
        <v>045591</v>
      </c>
      <c r="C428" t="s">
        <v>2017</v>
      </c>
      <c r="D428" t="s">
        <v>49</v>
      </c>
      <c r="E428" t="s">
        <v>50</v>
      </c>
      <c r="F428" t="s">
        <v>51</v>
      </c>
      <c r="G428" t="s">
        <v>187</v>
      </c>
      <c r="H428" t="s">
        <v>2018</v>
      </c>
      <c r="I428" t="s">
        <v>2019</v>
      </c>
      <c r="J428" t="s">
        <v>2020</v>
      </c>
      <c r="K428" t="s">
        <v>55</v>
      </c>
      <c r="L428" t="s">
        <v>2021</v>
      </c>
      <c r="M428" t="s">
        <v>57</v>
      </c>
      <c r="N428" t="str">
        <f>"050765"</f>
        <v>050765</v>
      </c>
      <c r="O428" t="s">
        <v>58</v>
      </c>
      <c r="P428" t="s">
        <v>76</v>
      </c>
      <c r="Q428">
        <v>42</v>
      </c>
      <c r="R428">
        <v>7.5999999999999943</v>
      </c>
      <c r="S428" t="s">
        <v>77</v>
      </c>
    </row>
    <row r="429" spans="1:19" x14ac:dyDescent="0.35">
      <c r="A429">
        <v>46326</v>
      </c>
      <c r="B429" t="str">
        <f>"046326"</f>
        <v>046326</v>
      </c>
      <c r="C429" t="s">
        <v>2022</v>
      </c>
      <c r="D429" t="s">
        <v>49</v>
      </c>
      <c r="E429" t="s">
        <v>50</v>
      </c>
      <c r="F429" t="s">
        <v>51</v>
      </c>
      <c r="G429" t="s">
        <v>1041</v>
      </c>
      <c r="H429" t="s">
        <v>2023</v>
      </c>
      <c r="I429" t="s">
        <v>2024</v>
      </c>
      <c r="J429" t="s">
        <v>2025</v>
      </c>
      <c r="K429" t="s">
        <v>55</v>
      </c>
      <c r="L429" t="s">
        <v>2026</v>
      </c>
      <c r="M429" t="s">
        <v>57</v>
      </c>
      <c r="N429" t="str">
        <f>"046292"</f>
        <v>046292</v>
      </c>
      <c r="O429" t="s">
        <v>1045</v>
      </c>
      <c r="P429" t="s">
        <v>84</v>
      </c>
      <c r="Q429">
        <v>43</v>
      </c>
      <c r="R429">
        <v>7.2000000000000028</v>
      </c>
      <c r="S429" t="s">
        <v>217</v>
      </c>
    </row>
    <row r="430" spans="1:19" x14ac:dyDescent="0.35">
      <c r="A430">
        <v>49437</v>
      </c>
      <c r="B430" t="str">
        <f>"049437"</f>
        <v>049437</v>
      </c>
      <c r="C430" t="s">
        <v>2027</v>
      </c>
      <c r="D430" t="s">
        <v>49</v>
      </c>
      <c r="E430" t="s">
        <v>50</v>
      </c>
      <c r="F430" t="s">
        <v>51</v>
      </c>
      <c r="G430" t="s">
        <v>663</v>
      </c>
      <c r="H430" t="s">
        <v>2028</v>
      </c>
      <c r="I430" t="s">
        <v>2029</v>
      </c>
      <c r="J430" t="s">
        <v>2030</v>
      </c>
      <c r="K430" t="s">
        <v>55</v>
      </c>
      <c r="L430" t="s">
        <v>2031</v>
      </c>
      <c r="M430" t="s">
        <v>57</v>
      </c>
      <c r="N430" t="str">
        <f>"123521"</f>
        <v>123521</v>
      </c>
      <c r="O430" t="s">
        <v>570</v>
      </c>
      <c r="P430" t="s">
        <v>59</v>
      </c>
      <c r="Q430">
        <v>22.6</v>
      </c>
      <c r="R430">
        <v>11.299999999999997</v>
      </c>
      <c r="S430" t="s">
        <v>77</v>
      </c>
    </row>
    <row r="431" spans="1:19" x14ac:dyDescent="0.35">
      <c r="A431">
        <v>200061</v>
      </c>
      <c r="B431" t="str">
        <f>"200061"</f>
        <v>200061</v>
      </c>
      <c r="C431" t="s">
        <v>2032</v>
      </c>
      <c r="D431" t="s">
        <v>49</v>
      </c>
      <c r="E431" t="s">
        <v>62</v>
      </c>
      <c r="F431" t="s">
        <v>51</v>
      </c>
      <c r="G431" t="s">
        <v>200</v>
      </c>
      <c r="H431" t="s">
        <v>2033</v>
      </c>
      <c r="I431" t="s">
        <v>2034</v>
      </c>
      <c r="J431" t="s">
        <v>304</v>
      </c>
      <c r="K431" t="s">
        <v>55</v>
      </c>
      <c r="L431" t="s">
        <v>2035</v>
      </c>
      <c r="M431" t="s">
        <v>57</v>
      </c>
      <c r="N431" t="str">
        <f>"N/A"</f>
        <v>N/A</v>
      </c>
      <c r="O431" t="s">
        <v>49</v>
      </c>
      <c r="P431" t="s">
        <v>68</v>
      </c>
      <c r="Q431" t="s">
        <v>68</v>
      </c>
      <c r="R431" t="s">
        <v>68</v>
      </c>
      <c r="S431" t="s">
        <v>156</v>
      </c>
    </row>
    <row r="432" spans="1:19" x14ac:dyDescent="0.35">
      <c r="A432">
        <v>44610</v>
      </c>
      <c r="B432" t="str">
        <f>"044610"</f>
        <v>044610</v>
      </c>
      <c r="C432" t="s">
        <v>2036</v>
      </c>
      <c r="D432" t="s">
        <v>49</v>
      </c>
      <c r="E432" t="s">
        <v>50</v>
      </c>
      <c r="F432" t="s">
        <v>51</v>
      </c>
      <c r="G432" t="s">
        <v>187</v>
      </c>
      <c r="H432" t="s">
        <v>2037</v>
      </c>
      <c r="I432" t="s">
        <v>2038</v>
      </c>
      <c r="J432" t="s">
        <v>2039</v>
      </c>
      <c r="K432" t="s">
        <v>55</v>
      </c>
      <c r="L432" t="s">
        <v>2040</v>
      </c>
      <c r="M432" t="s">
        <v>57</v>
      </c>
      <c r="N432" t="str">
        <f>"050765"</f>
        <v>050765</v>
      </c>
      <c r="O432" t="s">
        <v>58</v>
      </c>
      <c r="P432" t="s">
        <v>84</v>
      </c>
      <c r="Q432">
        <v>42.5</v>
      </c>
      <c r="R432">
        <v>28.599999999999994</v>
      </c>
      <c r="S432" t="s">
        <v>77</v>
      </c>
    </row>
    <row r="433" spans="1:19" x14ac:dyDescent="0.35">
      <c r="A433">
        <v>47225</v>
      </c>
      <c r="B433" t="str">
        <f>"047225"</f>
        <v>047225</v>
      </c>
      <c r="C433" t="s">
        <v>2041</v>
      </c>
      <c r="D433" t="s">
        <v>49</v>
      </c>
      <c r="E433" t="s">
        <v>50</v>
      </c>
      <c r="F433" t="s">
        <v>51</v>
      </c>
      <c r="G433" t="s">
        <v>511</v>
      </c>
      <c r="H433" t="s">
        <v>2042</v>
      </c>
      <c r="I433" t="s">
        <v>2043</v>
      </c>
      <c r="J433" t="s">
        <v>2044</v>
      </c>
      <c r="K433" t="s">
        <v>55</v>
      </c>
      <c r="L433" t="s">
        <v>2045</v>
      </c>
      <c r="M433" t="s">
        <v>57</v>
      </c>
      <c r="N433" t="str">
        <f>"047860"</f>
        <v>047860</v>
      </c>
      <c r="O433" t="s">
        <v>516</v>
      </c>
      <c r="P433" t="s">
        <v>59</v>
      </c>
      <c r="Q433">
        <v>10.199999999999999</v>
      </c>
      <c r="R433">
        <v>8.7999999999999972</v>
      </c>
      <c r="S433" t="s">
        <v>69</v>
      </c>
    </row>
    <row r="434" spans="1:19" x14ac:dyDescent="0.35">
      <c r="A434">
        <v>47514</v>
      </c>
      <c r="B434" t="str">
        <f>"047514"</f>
        <v>047514</v>
      </c>
      <c r="C434" t="s">
        <v>2046</v>
      </c>
      <c r="D434" t="s">
        <v>49</v>
      </c>
      <c r="E434" t="s">
        <v>50</v>
      </c>
      <c r="F434" t="s">
        <v>51</v>
      </c>
      <c r="G434" t="s">
        <v>821</v>
      </c>
      <c r="H434" t="s">
        <v>2047</v>
      </c>
      <c r="I434" t="s">
        <v>2048</v>
      </c>
      <c r="J434" t="s">
        <v>2049</v>
      </c>
      <c r="K434" t="s">
        <v>55</v>
      </c>
      <c r="L434" t="s">
        <v>2050</v>
      </c>
      <c r="M434" t="s">
        <v>57</v>
      </c>
      <c r="N434" t="str">
        <f>"047407"</f>
        <v>047407</v>
      </c>
      <c r="O434" t="s">
        <v>826</v>
      </c>
      <c r="P434" t="s">
        <v>76</v>
      </c>
      <c r="Q434">
        <v>37.299999999999997</v>
      </c>
      <c r="R434">
        <v>4.5999999999999943</v>
      </c>
      <c r="S434" t="s">
        <v>156</v>
      </c>
    </row>
    <row r="435" spans="1:19" x14ac:dyDescent="0.35">
      <c r="A435">
        <v>200057</v>
      </c>
      <c r="B435" t="str">
        <f>"200057"</f>
        <v>200057</v>
      </c>
      <c r="C435" t="s">
        <v>2051</v>
      </c>
      <c r="D435" t="s">
        <v>49</v>
      </c>
      <c r="E435" t="s">
        <v>62</v>
      </c>
      <c r="F435" t="s">
        <v>51</v>
      </c>
      <c r="G435" t="s">
        <v>143</v>
      </c>
      <c r="H435" t="s">
        <v>2052</v>
      </c>
      <c r="I435" t="s">
        <v>2053</v>
      </c>
      <c r="J435" t="s">
        <v>143</v>
      </c>
      <c r="K435" t="s">
        <v>55</v>
      </c>
      <c r="L435" t="s">
        <v>1033</v>
      </c>
      <c r="M435" t="s">
        <v>57</v>
      </c>
      <c r="N435" t="str">
        <f>"N/A"</f>
        <v>N/A</v>
      </c>
      <c r="O435" t="s">
        <v>49</v>
      </c>
      <c r="P435" t="s">
        <v>68</v>
      </c>
      <c r="Q435" t="s">
        <v>68</v>
      </c>
      <c r="R435" t="s">
        <v>68</v>
      </c>
      <c r="S435" t="s">
        <v>69</v>
      </c>
    </row>
    <row r="436" spans="1:19" x14ac:dyDescent="0.35">
      <c r="A436">
        <v>43588</v>
      </c>
      <c r="B436" t="str">
        <f>"043588"</f>
        <v>043588</v>
      </c>
      <c r="C436" t="s">
        <v>2054</v>
      </c>
      <c r="D436" t="s">
        <v>49</v>
      </c>
      <c r="E436" t="s">
        <v>50</v>
      </c>
      <c r="F436" t="s">
        <v>51</v>
      </c>
      <c r="G436" t="s">
        <v>288</v>
      </c>
      <c r="H436" t="s">
        <v>2055</v>
      </c>
      <c r="I436" t="s">
        <v>2056</v>
      </c>
      <c r="J436" t="s">
        <v>769</v>
      </c>
      <c r="K436" t="s">
        <v>55</v>
      </c>
      <c r="L436" t="s">
        <v>770</v>
      </c>
      <c r="M436" t="s">
        <v>57</v>
      </c>
      <c r="N436" t="str">
        <f>"050765"</f>
        <v>050765</v>
      </c>
      <c r="O436" t="s">
        <v>58</v>
      </c>
      <c r="P436" t="s">
        <v>84</v>
      </c>
      <c r="Q436">
        <v>44.5</v>
      </c>
      <c r="R436">
        <v>22.299999999999997</v>
      </c>
      <c r="S436" t="s">
        <v>180</v>
      </c>
    </row>
    <row r="437" spans="1:19" x14ac:dyDescent="0.35">
      <c r="A437">
        <v>49759</v>
      </c>
      <c r="B437" t="str">
        <f>"049759"</f>
        <v>049759</v>
      </c>
      <c r="C437" t="s">
        <v>2057</v>
      </c>
      <c r="D437" t="s">
        <v>49</v>
      </c>
      <c r="E437" t="s">
        <v>50</v>
      </c>
      <c r="F437" t="s">
        <v>51</v>
      </c>
      <c r="G437" t="s">
        <v>572</v>
      </c>
      <c r="H437" t="s">
        <v>2058</v>
      </c>
      <c r="I437" t="s">
        <v>2059</v>
      </c>
      <c r="J437" t="s">
        <v>2060</v>
      </c>
      <c r="K437" t="s">
        <v>55</v>
      </c>
      <c r="L437" t="s">
        <v>2061</v>
      </c>
      <c r="M437" t="s">
        <v>57</v>
      </c>
      <c r="N437" t="str">
        <f>"014777"</f>
        <v>014777</v>
      </c>
      <c r="O437" t="s">
        <v>293</v>
      </c>
      <c r="P437" t="s">
        <v>84</v>
      </c>
      <c r="Q437">
        <v>11.5</v>
      </c>
      <c r="R437">
        <v>6.0999999999999943</v>
      </c>
      <c r="S437" t="s">
        <v>180</v>
      </c>
    </row>
    <row r="438" spans="1:19" x14ac:dyDescent="0.35">
      <c r="A438">
        <v>50252</v>
      </c>
      <c r="B438" t="str">
        <f>"050252"</f>
        <v>050252</v>
      </c>
      <c r="C438" t="s">
        <v>2062</v>
      </c>
      <c r="D438" t="s">
        <v>49</v>
      </c>
      <c r="E438" t="s">
        <v>50</v>
      </c>
      <c r="F438" t="s">
        <v>51</v>
      </c>
      <c r="G438" t="s">
        <v>169</v>
      </c>
      <c r="H438" t="s">
        <v>2063</v>
      </c>
      <c r="I438" t="s">
        <v>2064</v>
      </c>
      <c r="J438" t="s">
        <v>2065</v>
      </c>
      <c r="K438" t="s">
        <v>55</v>
      </c>
      <c r="L438" t="s">
        <v>2066</v>
      </c>
      <c r="M438" t="s">
        <v>57</v>
      </c>
      <c r="N438" t="str">
        <f>"050088"</f>
        <v>050088</v>
      </c>
      <c r="O438" t="s">
        <v>416</v>
      </c>
      <c r="P438" t="s">
        <v>84</v>
      </c>
      <c r="Q438">
        <v>40.5</v>
      </c>
      <c r="R438">
        <v>9.5</v>
      </c>
      <c r="S438" t="s">
        <v>77</v>
      </c>
    </row>
    <row r="439" spans="1:19" x14ac:dyDescent="0.35">
      <c r="A439">
        <v>44479</v>
      </c>
      <c r="B439" t="str">
        <f>"044479"</f>
        <v>044479</v>
      </c>
      <c r="C439" t="s">
        <v>2067</v>
      </c>
      <c r="D439" t="s">
        <v>49</v>
      </c>
      <c r="E439" t="s">
        <v>50</v>
      </c>
      <c r="F439" t="s">
        <v>51</v>
      </c>
      <c r="G439" t="s">
        <v>1551</v>
      </c>
      <c r="H439" t="s">
        <v>2068</v>
      </c>
      <c r="I439" t="s">
        <v>2069</v>
      </c>
      <c r="J439" t="s">
        <v>2070</v>
      </c>
      <c r="K439" t="s">
        <v>55</v>
      </c>
      <c r="L439" t="s">
        <v>2071</v>
      </c>
      <c r="M439" t="s">
        <v>57</v>
      </c>
      <c r="N439" t="str">
        <f>"050765"</f>
        <v>050765</v>
      </c>
      <c r="O439" t="s">
        <v>58</v>
      </c>
      <c r="P439" t="s">
        <v>76</v>
      </c>
      <c r="Q439">
        <v>99.9</v>
      </c>
      <c r="R439">
        <v>3.9000000000000057</v>
      </c>
      <c r="S439" t="s">
        <v>130</v>
      </c>
    </row>
    <row r="440" spans="1:19" x14ac:dyDescent="0.35">
      <c r="A440">
        <v>47894</v>
      </c>
      <c r="B440" t="str">
        <f>"047894"</f>
        <v>047894</v>
      </c>
      <c r="C440" t="s">
        <v>287</v>
      </c>
      <c r="D440" t="s">
        <v>49</v>
      </c>
      <c r="E440" t="s">
        <v>50</v>
      </c>
      <c r="F440" t="s">
        <v>51</v>
      </c>
      <c r="G440" t="s">
        <v>481</v>
      </c>
      <c r="H440" t="s">
        <v>2072</v>
      </c>
      <c r="I440" t="s">
        <v>2073</v>
      </c>
      <c r="J440" t="s">
        <v>876</v>
      </c>
      <c r="K440" t="s">
        <v>55</v>
      </c>
      <c r="L440" t="s">
        <v>819</v>
      </c>
      <c r="M440" t="s">
        <v>57</v>
      </c>
      <c r="N440" t="str">
        <f>"047860"</f>
        <v>047860</v>
      </c>
      <c r="O440" t="s">
        <v>516</v>
      </c>
      <c r="P440" t="s">
        <v>59</v>
      </c>
      <c r="Q440">
        <v>22.2</v>
      </c>
      <c r="R440">
        <v>19.599999999999994</v>
      </c>
      <c r="S440" t="s">
        <v>69</v>
      </c>
    </row>
    <row r="441" spans="1:19" x14ac:dyDescent="0.35">
      <c r="A441">
        <v>51243</v>
      </c>
      <c r="B441" t="str">
        <f>"051243"</f>
        <v>051243</v>
      </c>
      <c r="C441" t="s">
        <v>2074</v>
      </c>
      <c r="D441" t="s">
        <v>49</v>
      </c>
      <c r="E441" t="s">
        <v>163</v>
      </c>
      <c r="F441" t="s">
        <v>51</v>
      </c>
      <c r="G441" t="s">
        <v>383</v>
      </c>
      <c r="H441" t="s">
        <v>2075</v>
      </c>
      <c r="I441" t="s">
        <v>2076</v>
      </c>
      <c r="J441" t="s">
        <v>1069</v>
      </c>
      <c r="K441" t="s">
        <v>55</v>
      </c>
      <c r="L441" t="s">
        <v>1070</v>
      </c>
      <c r="M441" t="s">
        <v>57</v>
      </c>
      <c r="N441" t="str">
        <f>"050765"</f>
        <v>050765</v>
      </c>
      <c r="O441" t="s">
        <v>58</v>
      </c>
      <c r="P441" t="s">
        <v>68</v>
      </c>
      <c r="Q441" t="s">
        <v>68</v>
      </c>
      <c r="R441" t="s">
        <v>68</v>
      </c>
      <c r="S441" t="s">
        <v>77</v>
      </c>
    </row>
    <row r="442" spans="1:19" x14ac:dyDescent="0.35">
      <c r="A442">
        <v>43562</v>
      </c>
      <c r="B442" t="str">
        <f>"043562"</f>
        <v>043562</v>
      </c>
      <c r="C442" t="s">
        <v>2077</v>
      </c>
      <c r="D442" t="s">
        <v>49</v>
      </c>
      <c r="E442" t="s">
        <v>50</v>
      </c>
      <c r="F442" t="s">
        <v>51</v>
      </c>
      <c r="G442" t="s">
        <v>63</v>
      </c>
      <c r="H442" t="s">
        <v>2078</v>
      </c>
      <c r="I442" t="s">
        <v>2079</v>
      </c>
      <c r="J442" t="s">
        <v>2080</v>
      </c>
      <c r="K442" t="s">
        <v>55</v>
      </c>
      <c r="L442" t="s">
        <v>2081</v>
      </c>
      <c r="M442" t="s">
        <v>57</v>
      </c>
      <c r="N442" t="str">
        <f>"050765"</f>
        <v>050765</v>
      </c>
      <c r="O442" t="s">
        <v>58</v>
      </c>
      <c r="P442" t="s">
        <v>281</v>
      </c>
      <c r="Q442">
        <v>67.400000000000006</v>
      </c>
      <c r="R442">
        <v>92.7</v>
      </c>
      <c r="S442" t="s">
        <v>69</v>
      </c>
    </row>
    <row r="443" spans="1:19" x14ac:dyDescent="0.35">
      <c r="A443">
        <v>49320</v>
      </c>
      <c r="B443" t="str">
        <f>"049320"</f>
        <v>049320</v>
      </c>
      <c r="C443" t="s">
        <v>2082</v>
      </c>
      <c r="D443" t="s">
        <v>49</v>
      </c>
      <c r="E443" t="s">
        <v>50</v>
      </c>
      <c r="F443" t="s">
        <v>51</v>
      </c>
      <c r="G443" t="s">
        <v>150</v>
      </c>
      <c r="H443" t="s">
        <v>2083</v>
      </c>
      <c r="I443" t="s">
        <v>2084</v>
      </c>
      <c r="J443" t="s">
        <v>2085</v>
      </c>
      <c r="K443" t="s">
        <v>55</v>
      </c>
      <c r="L443" t="s">
        <v>2086</v>
      </c>
      <c r="M443" t="s">
        <v>57</v>
      </c>
      <c r="N443" t="str">
        <f>"049304"</f>
        <v>049304</v>
      </c>
      <c r="O443" t="s">
        <v>155</v>
      </c>
      <c r="P443" t="s">
        <v>76</v>
      </c>
      <c r="Q443">
        <v>31.6</v>
      </c>
      <c r="R443">
        <v>6.9000000000000057</v>
      </c>
      <c r="S443" t="s">
        <v>156</v>
      </c>
    </row>
    <row r="444" spans="1:19" x14ac:dyDescent="0.35">
      <c r="A444">
        <v>200602</v>
      </c>
      <c r="B444" t="str">
        <f>"200602"</f>
        <v>200602</v>
      </c>
      <c r="C444" t="s">
        <v>2087</v>
      </c>
      <c r="D444" t="s">
        <v>49</v>
      </c>
      <c r="E444" t="s">
        <v>62</v>
      </c>
      <c r="F444" t="s">
        <v>51</v>
      </c>
      <c r="G444" t="s">
        <v>600</v>
      </c>
      <c r="H444" t="s">
        <v>2088</v>
      </c>
      <c r="I444" t="s">
        <v>2089</v>
      </c>
      <c r="J444" t="s">
        <v>1348</v>
      </c>
      <c r="K444" t="s">
        <v>55</v>
      </c>
      <c r="L444" t="s">
        <v>1349</v>
      </c>
      <c r="M444" t="s">
        <v>57</v>
      </c>
      <c r="N444" t="str">
        <f>"N/A"</f>
        <v>N/A</v>
      </c>
      <c r="O444" t="s">
        <v>49</v>
      </c>
      <c r="P444" t="s">
        <v>68</v>
      </c>
      <c r="Q444" t="s">
        <v>68</v>
      </c>
      <c r="R444" t="s">
        <v>68</v>
      </c>
      <c r="S444" t="s">
        <v>60</v>
      </c>
    </row>
    <row r="445" spans="1:19" x14ac:dyDescent="0.35">
      <c r="A445">
        <v>47415</v>
      </c>
      <c r="B445" t="str">
        <f>"047415"</f>
        <v>047415</v>
      </c>
      <c r="C445" t="s">
        <v>2090</v>
      </c>
      <c r="D445" t="s">
        <v>49</v>
      </c>
      <c r="E445" t="s">
        <v>50</v>
      </c>
      <c r="F445" t="s">
        <v>51</v>
      </c>
      <c r="G445" t="s">
        <v>821</v>
      </c>
      <c r="H445" t="s">
        <v>2091</v>
      </c>
      <c r="I445" t="s">
        <v>2092</v>
      </c>
      <c r="J445" t="s">
        <v>2093</v>
      </c>
      <c r="K445" t="s">
        <v>55</v>
      </c>
      <c r="L445" t="s">
        <v>2094</v>
      </c>
      <c r="M445" t="s">
        <v>57</v>
      </c>
      <c r="N445" t="str">
        <f>"047407"</f>
        <v>047407</v>
      </c>
      <c r="O445" t="s">
        <v>826</v>
      </c>
      <c r="P445" t="s">
        <v>76</v>
      </c>
      <c r="Q445">
        <v>28</v>
      </c>
      <c r="R445">
        <v>15.099999999999994</v>
      </c>
      <c r="S445" t="s">
        <v>156</v>
      </c>
    </row>
    <row r="446" spans="1:19" x14ac:dyDescent="0.35">
      <c r="A446">
        <v>49593</v>
      </c>
      <c r="B446" t="str">
        <f>"049593"</f>
        <v>049593</v>
      </c>
      <c r="C446" t="s">
        <v>2095</v>
      </c>
      <c r="D446" t="s">
        <v>49</v>
      </c>
      <c r="E446" t="s">
        <v>50</v>
      </c>
      <c r="F446" t="s">
        <v>51</v>
      </c>
      <c r="G446" t="s">
        <v>219</v>
      </c>
      <c r="H446" t="s">
        <v>2096</v>
      </c>
      <c r="I446" t="s">
        <v>2097</v>
      </c>
      <c r="J446" t="s">
        <v>2098</v>
      </c>
      <c r="K446" t="s">
        <v>55</v>
      </c>
      <c r="L446" t="s">
        <v>2099</v>
      </c>
      <c r="M446" t="s">
        <v>57</v>
      </c>
      <c r="N446" t="str">
        <f>"125658"</f>
        <v>125658</v>
      </c>
      <c r="O446" t="s">
        <v>224</v>
      </c>
      <c r="P446" t="s">
        <v>76</v>
      </c>
      <c r="Q446">
        <v>48.1</v>
      </c>
      <c r="R446">
        <v>1.9000000000000057</v>
      </c>
      <c r="S446" t="s">
        <v>130</v>
      </c>
    </row>
    <row r="447" spans="1:19" x14ac:dyDescent="0.35">
      <c r="A447">
        <v>49627</v>
      </c>
      <c r="B447" t="str">
        <f>"049627"</f>
        <v>049627</v>
      </c>
      <c r="C447" t="s">
        <v>2100</v>
      </c>
      <c r="D447" t="s">
        <v>49</v>
      </c>
      <c r="E447" t="s">
        <v>50</v>
      </c>
      <c r="F447" t="s">
        <v>51</v>
      </c>
      <c r="G447" t="s">
        <v>219</v>
      </c>
      <c r="H447" t="s">
        <v>2101</v>
      </c>
      <c r="I447" t="s">
        <v>2102</v>
      </c>
      <c r="J447" t="s">
        <v>2103</v>
      </c>
      <c r="K447" t="s">
        <v>55</v>
      </c>
      <c r="L447" t="s">
        <v>2104</v>
      </c>
      <c r="M447" t="s">
        <v>57</v>
      </c>
      <c r="N447" t="str">
        <f>"125658"</f>
        <v>125658</v>
      </c>
      <c r="O447" t="s">
        <v>224</v>
      </c>
      <c r="P447" t="s">
        <v>76</v>
      </c>
      <c r="Q447">
        <v>50.5</v>
      </c>
      <c r="R447">
        <v>1.2999999999999972</v>
      </c>
      <c r="S447" t="s">
        <v>130</v>
      </c>
    </row>
    <row r="448" spans="1:19" x14ac:dyDescent="0.35">
      <c r="A448">
        <v>50583</v>
      </c>
      <c r="B448" t="str">
        <f>"050583"</f>
        <v>050583</v>
      </c>
      <c r="C448" t="s">
        <v>2105</v>
      </c>
      <c r="D448" t="s">
        <v>49</v>
      </c>
      <c r="E448" t="s">
        <v>50</v>
      </c>
      <c r="F448" t="s">
        <v>51</v>
      </c>
      <c r="G448" t="s">
        <v>187</v>
      </c>
      <c r="H448" t="s">
        <v>2106</v>
      </c>
      <c r="I448" t="s">
        <v>2107</v>
      </c>
      <c r="J448" t="s">
        <v>2108</v>
      </c>
      <c r="K448" t="s">
        <v>55</v>
      </c>
      <c r="L448" t="s">
        <v>2109</v>
      </c>
      <c r="M448" t="s">
        <v>57</v>
      </c>
      <c r="N448" t="str">
        <f>"050526"</f>
        <v>050526</v>
      </c>
      <c r="O448" t="s">
        <v>192</v>
      </c>
      <c r="P448" t="s">
        <v>76</v>
      </c>
      <c r="Q448">
        <v>31.9</v>
      </c>
      <c r="R448">
        <v>5.5</v>
      </c>
      <c r="S448" t="s">
        <v>77</v>
      </c>
    </row>
    <row r="449" spans="1:19" x14ac:dyDescent="0.35">
      <c r="A449">
        <v>50708</v>
      </c>
      <c r="B449" t="str">
        <f>"050708"</f>
        <v>050708</v>
      </c>
      <c r="C449" t="s">
        <v>2110</v>
      </c>
      <c r="D449" t="s">
        <v>49</v>
      </c>
      <c r="E449" t="s">
        <v>50</v>
      </c>
      <c r="F449" t="s">
        <v>51</v>
      </c>
      <c r="G449" t="s">
        <v>226</v>
      </c>
      <c r="H449" t="s">
        <v>2111</v>
      </c>
      <c r="I449" t="s">
        <v>2112</v>
      </c>
      <c r="J449" t="s">
        <v>2113</v>
      </c>
      <c r="K449" t="s">
        <v>55</v>
      </c>
      <c r="L449" t="s">
        <v>2114</v>
      </c>
      <c r="M449" t="s">
        <v>57</v>
      </c>
      <c r="N449" t="str">
        <f>"050666"</f>
        <v>050666</v>
      </c>
      <c r="O449" t="s">
        <v>231</v>
      </c>
      <c r="P449" t="s">
        <v>76</v>
      </c>
      <c r="Q449">
        <v>45.1</v>
      </c>
      <c r="R449">
        <v>17.799999999999997</v>
      </c>
      <c r="S449" t="s">
        <v>156</v>
      </c>
    </row>
    <row r="450" spans="1:19" x14ac:dyDescent="0.35">
      <c r="A450">
        <v>200043</v>
      </c>
      <c r="B450" t="str">
        <f>"200043"</f>
        <v>200043</v>
      </c>
      <c r="C450" t="s">
        <v>2115</v>
      </c>
      <c r="D450" t="s">
        <v>49</v>
      </c>
      <c r="E450" t="s">
        <v>62</v>
      </c>
      <c r="F450" t="s">
        <v>51</v>
      </c>
      <c r="G450" t="s">
        <v>212</v>
      </c>
      <c r="H450" t="s">
        <v>441</v>
      </c>
      <c r="I450" t="s">
        <v>442</v>
      </c>
      <c r="J450" t="s">
        <v>215</v>
      </c>
      <c r="K450" t="s">
        <v>55</v>
      </c>
      <c r="L450" t="s">
        <v>443</v>
      </c>
      <c r="M450" t="s">
        <v>57</v>
      </c>
      <c r="N450" t="str">
        <f>"N/A"</f>
        <v>N/A</v>
      </c>
      <c r="O450" t="s">
        <v>49</v>
      </c>
      <c r="P450" t="s">
        <v>68</v>
      </c>
      <c r="Q450" t="s">
        <v>68</v>
      </c>
      <c r="R450" t="s">
        <v>68</v>
      </c>
      <c r="S450" t="s">
        <v>217</v>
      </c>
    </row>
    <row r="451" spans="1:19" x14ac:dyDescent="0.35">
      <c r="A451">
        <v>45310</v>
      </c>
      <c r="B451" t="str">
        <f>"045310"</f>
        <v>045310</v>
      </c>
      <c r="C451" t="s">
        <v>2116</v>
      </c>
      <c r="D451" t="s">
        <v>49</v>
      </c>
      <c r="E451" t="s">
        <v>50</v>
      </c>
      <c r="F451" t="s">
        <v>51</v>
      </c>
      <c r="G451" t="s">
        <v>423</v>
      </c>
      <c r="H451" t="s">
        <v>2117</v>
      </c>
      <c r="I451" t="s">
        <v>2118</v>
      </c>
      <c r="J451" t="s">
        <v>2119</v>
      </c>
      <c r="K451" t="s">
        <v>55</v>
      </c>
      <c r="L451" t="s">
        <v>2120</v>
      </c>
      <c r="M451" t="s">
        <v>57</v>
      </c>
      <c r="N451" t="str">
        <f>"050765"</f>
        <v>050765</v>
      </c>
      <c r="O451" t="s">
        <v>58</v>
      </c>
      <c r="P451" t="s">
        <v>84</v>
      </c>
      <c r="Q451">
        <v>14.3</v>
      </c>
      <c r="R451">
        <v>3.7999999999999972</v>
      </c>
      <c r="S451" t="s">
        <v>156</v>
      </c>
    </row>
    <row r="452" spans="1:19" x14ac:dyDescent="0.35">
      <c r="A452">
        <v>45385</v>
      </c>
      <c r="B452" t="str">
        <f>"045385"</f>
        <v>045385</v>
      </c>
      <c r="C452" t="s">
        <v>2121</v>
      </c>
      <c r="D452" t="s">
        <v>49</v>
      </c>
      <c r="E452" t="s">
        <v>50</v>
      </c>
      <c r="F452" t="s">
        <v>51</v>
      </c>
      <c r="G452" t="s">
        <v>400</v>
      </c>
      <c r="H452" t="s">
        <v>2122</v>
      </c>
      <c r="I452" t="s">
        <v>2123</v>
      </c>
      <c r="J452" t="s">
        <v>2124</v>
      </c>
      <c r="K452" t="s">
        <v>55</v>
      </c>
      <c r="L452" t="s">
        <v>2125</v>
      </c>
      <c r="M452" t="s">
        <v>57</v>
      </c>
      <c r="N452" t="str">
        <f>"050765"</f>
        <v>050765</v>
      </c>
      <c r="O452" t="s">
        <v>58</v>
      </c>
      <c r="P452" t="s">
        <v>76</v>
      </c>
      <c r="Q452">
        <v>35.799999999999997</v>
      </c>
      <c r="R452">
        <v>12.099999999999994</v>
      </c>
      <c r="S452" t="s">
        <v>156</v>
      </c>
    </row>
    <row r="453" spans="1:19" x14ac:dyDescent="0.35">
      <c r="A453">
        <v>45351</v>
      </c>
      <c r="B453" t="str">
        <f>"045351"</f>
        <v>045351</v>
      </c>
      <c r="C453" t="s">
        <v>2126</v>
      </c>
      <c r="D453" t="s">
        <v>49</v>
      </c>
      <c r="E453" t="s">
        <v>50</v>
      </c>
      <c r="F453" t="s">
        <v>51</v>
      </c>
      <c r="G453" t="s">
        <v>1551</v>
      </c>
      <c r="H453" t="s">
        <v>2127</v>
      </c>
      <c r="I453" t="s">
        <v>2128</v>
      </c>
      <c r="J453" t="s">
        <v>2129</v>
      </c>
      <c r="K453" t="s">
        <v>55</v>
      </c>
      <c r="L453" t="s">
        <v>2130</v>
      </c>
      <c r="M453" t="s">
        <v>57</v>
      </c>
      <c r="N453" t="str">
        <f>"050765"</f>
        <v>050765</v>
      </c>
      <c r="O453" t="s">
        <v>58</v>
      </c>
      <c r="P453" t="s">
        <v>76</v>
      </c>
      <c r="Q453">
        <v>100</v>
      </c>
      <c r="R453">
        <v>2.9000000000000057</v>
      </c>
      <c r="S453" t="s">
        <v>130</v>
      </c>
    </row>
    <row r="454" spans="1:19" x14ac:dyDescent="0.35">
      <c r="A454">
        <v>47381</v>
      </c>
      <c r="B454" t="str">
        <f>"047381"</f>
        <v>047381</v>
      </c>
      <c r="C454" t="s">
        <v>2131</v>
      </c>
      <c r="D454" t="s">
        <v>49</v>
      </c>
      <c r="E454" t="s">
        <v>50</v>
      </c>
      <c r="F454" t="s">
        <v>51</v>
      </c>
      <c r="G454" t="s">
        <v>212</v>
      </c>
      <c r="H454" t="s">
        <v>2132</v>
      </c>
      <c r="I454" t="s">
        <v>2133</v>
      </c>
      <c r="J454" t="s">
        <v>1187</v>
      </c>
      <c r="K454" t="s">
        <v>55</v>
      </c>
      <c r="L454" t="s">
        <v>2134</v>
      </c>
      <c r="M454" t="s">
        <v>57</v>
      </c>
      <c r="N454" t="str">
        <f>"047324"</f>
        <v>047324</v>
      </c>
      <c r="O454" t="s">
        <v>491</v>
      </c>
      <c r="P454" t="s">
        <v>84</v>
      </c>
      <c r="Q454">
        <v>35.1</v>
      </c>
      <c r="R454">
        <v>9</v>
      </c>
      <c r="S454" t="s">
        <v>217</v>
      </c>
    </row>
    <row r="455" spans="1:19" x14ac:dyDescent="0.35">
      <c r="A455">
        <v>47993</v>
      </c>
      <c r="B455" t="str">
        <f>"047993"</f>
        <v>047993</v>
      </c>
      <c r="C455" t="s">
        <v>2135</v>
      </c>
      <c r="D455" t="s">
        <v>49</v>
      </c>
      <c r="E455" t="s">
        <v>50</v>
      </c>
      <c r="F455" t="s">
        <v>51</v>
      </c>
      <c r="G455" t="s">
        <v>110</v>
      </c>
      <c r="H455" t="s">
        <v>2136</v>
      </c>
      <c r="I455" t="s">
        <v>2137</v>
      </c>
      <c r="J455" t="s">
        <v>2138</v>
      </c>
      <c r="K455" t="s">
        <v>55</v>
      </c>
      <c r="L455" t="s">
        <v>2139</v>
      </c>
      <c r="M455" t="s">
        <v>57</v>
      </c>
      <c r="N455" t="str">
        <f>"047977"</f>
        <v>047977</v>
      </c>
      <c r="O455" t="s">
        <v>115</v>
      </c>
      <c r="P455" t="s">
        <v>84</v>
      </c>
      <c r="Q455">
        <v>42</v>
      </c>
      <c r="R455">
        <v>7.9000000000000057</v>
      </c>
      <c r="S455" t="s">
        <v>60</v>
      </c>
    </row>
    <row r="456" spans="1:19" x14ac:dyDescent="0.35">
      <c r="A456">
        <v>48157</v>
      </c>
      <c r="B456" t="str">
        <f>"048157"</f>
        <v>048157</v>
      </c>
      <c r="C456" t="s">
        <v>2140</v>
      </c>
      <c r="D456" t="s">
        <v>49</v>
      </c>
      <c r="E456" t="s">
        <v>50</v>
      </c>
      <c r="F456" t="s">
        <v>51</v>
      </c>
      <c r="G456" t="s">
        <v>143</v>
      </c>
      <c r="H456" t="s">
        <v>2141</v>
      </c>
      <c r="I456" t="s">
        <v>2142</v>
      </c>
      <c r="J456" t="s">
        <v>2143</v>
      </c>
      <c r="K456" t="s">
        <v>55</v>
      </c>
      <c r="L456" t="s">
        <v>1005</v>
      </c>
      <c r="M456" t="s">
        <v>57</v>
      </c>
      <c r="N456" t="str">
        <f>"048108"</f>
        <v>048108</v>
      </c>
      <c r="O456" t="s">
        <v>148</v>
      </c>
      <c r="P456" t="s">
        <v>84</v>
      </c>
      <c r="Q456">
        <v>36.9</v>
      </c>
      <c r="R456">
        <v>10.299999999999997</v>
      </c>
      <c r="S456" t="s">
        <v>69</v>
      </c>
    </row>
    <row r="457" spans="1:19" x14ac:dyDescent="0.35">
      <c r="A457">
        <v>49296</v>
      </c>
      <c r="B457" t="str">
        <f>"049296"</f>
        <v>049296</v>
      </c>
      <c r="C457" t="s">
        <v>2144</v>
      </c>
      <c r="D457" t="s">
        <v>49</v>
      </c>
      <c r="E457" t="s">
        <v>50</v>
      </c>
      <c r="F457" t="s">
        <v>51</v>
      </c>
      <c r="G457" t="s">
        <v>362</v>
      </c>
      <c r="H457" t="s">
        <v>2145</v>
      </c>
      <c r="I457" t="s">
        <v>2146</v>
      </c>
      <c r="J457" t="s">
        <v>2147</v>
      </c>
      <c r="K457" t="s">
        <v>55</v>
      </c>
      <c r="L457" t="s">
        <v>2148</v>
      </c>
      <c r="M457" t="s">
        <v>57</v>
      </c>
      <c r="N457" t="str">
        <f>"049254"</f>
        <v>049254</v>
      </c>
      <c r="O457" t="s">
        <v>367</v>
      </c>
      <c r="P457" t="s">
        <v>76</v>
      </c>
      <c r="Q457">
        <v>35.4</v>
      </c>
      <c r="R457">
        <v>3.2000000000000028</v>
      </c>
      <c r="S457" t="s">
        <v>180</v>
      </c>
    </row>
    <row r="458" spans="1:19" x14ac:dyDescent="0.35">
      <c r="A458">
        <v>50633</v>
      </c>
      <c r="B458" t="str">
        <f>"050633"</f>
        <v>050633</v>
      </c>
      <c r="C458" t="s">
        <v>2149</v>
      </c>
      <c r="D458" t="s">
        <v>49</v>
      </c>
      <c r="E458" t="s">
        <v>50</v>
      </c>
      <c r="F458" t="s">
        <v>51</v>
      </c>
      <c r="G458" t="s">
        <v>1118</v>
      </c>
      <c r="H458" t="s">
        <v>2150</v>
      </c>
      <c r="I458" t="s">
        <v>2151</v>
      </c>
      <c r="J458" t="s">
        <v>2152</v>
      </c>
      <c r="K458" t="s">
        <v>55</v>
      </c>
      <c r="L458" t="s">
        <v>2153</v>
      </c>
      <c r="M458" t="s">
        <v>57</v>
      </c>
      <c r="N458" t="str">
        <f>"124297"</f>
        <v>124297</v>
      </c>
      <c r="O458" t="s">
        <v>349</v>
      </c>
      <c r="P458" t="s">
        <v>76</v>
      </c>
      <c r="Q458">
        <v>39.9</v>
      </c>
      <c r="R458">
        <v>10.099999999999994</v>
      </c>
      <c r="S458" t="s">
        <v>156</v>
      </c>
    </row>
    <row r="459" spans="1:19" x14ac:dyDescent="0.35">
      <c r="A459">
        <v>200012</v>
      </c>
      <c r="B459" t="str">
        <f>"200012"</f>
        <v>200012</v>
      </c>
      <c r="C459" t="s">
        <v>2154</v>
      </c>
      <c r="D459" t="s">
        <v>49</v>
      </c>
      <c r="E459" t="s">
        <v>62</v>
      </c>
      <c r="F459" t="s">
        <v>51</v>
      </c>
      <c r="G459" t="s">
        <v>1041</v>
      </c>
      <c r="H459" t="s">
        <v>2155</v>
      </c>
      <c r="I459" t="s">
        <v>2156</v>
      </c>
      <c r="J459" t="s">
        <v>2157</v>
      </c>
      <c r="K459" t="s">
        <v>55</v>
      </c>
      <c r="L459" t="s">
        <v>2158</v>
      </c>
      <c r="M459" t="s">
        <v>57</v>
      </c>
      <c r="N459" t="str">
        <f>"N/A"</f>
        <v>N/A</v>
      </c>
      <c r="O459" t="s">
        <v>49</v>
      </c>
      <c r="P459" t="s">
        <v>68</v>
      </c>
      <c r="Q459" t="s">
        <v>68</v>
      </c>
      <c r="R459" t="s">
        <v>68</v>
      </c>
      <c r="S459" t="s">
        <v>217</v>
      </c>
    </row>
    <row r="460" spans="1:19" x14ac:dyDescent="0.35">
      <c r="A460">
        <v>45955</v>
      </c>
      <c r="B460" t="str">
        <f>"045955"</f>
        <v>045955</v>
      </c>
      <c r="C460" t="s">
        <v>2159</v>
      </c>
      <c r="D460" t="s">
        <v>49</v>
      </c>
      <c r="E460" t="s">
        <v>50</v>
      </c>
      <c r="F460" t="s">
        <v>51</v>
      </c>
      <c r="G460" t="s">
        <v>554</v>
      </c>
      <c r="H460" t="s">
        <v>2160</v>
      </c>
      <c r="I460" t="s">
        <v>2161</v>
      </c>
      <c r="J460" t="s">
        <v>2162</v>
      </c>
      <c r="K460" t="s">
        <v>55</v>
      </c>
      <c r="L460" t="s">
        <v>2163</v>
      </c>
      <c r="M460" t="s">
        <v>57</v>
      </c>
      <c r="N460" t="str">
        <f>"045930"</f>
        <v>045930</v>
      </c>
      <c r="O460" t="s">
        <v>559</v>
      </c>
      <c r="P460" t="s">
        <v>84</v>
      </c>
      <c r="Q460">
        <v>5.9</v>
      </c>
      <c r="R460">
        <v>5.2999999999999972</v>
      </c>
      <c r="S460" t="s">
        <v>156</v>
      </c>
    </row>
    <row r="461" spans="1:19" x14ac:dyDescent="0.35">
      <c r="A461">
        <v>48488</v>
      </c>
      <c r="B461" t="str">
        <f>"048488"</f>
        <v>048488</v>
      </c>
      <c r="C461" t="s">
        <v>2164</v>
      </c>
      <c r="D461" t="s">
        <v>49</v>
      </c>
      <c r="E461" t="s">
        <v>50</v>
      </c>
      <c r="F461" t="s">
        <v>51</v>
      </c>
      <c r="G461" t="s">
        <v>406</v>
      </c>
      <c r="H461" t="s">
        <v>2165</v>
      </c>
      <c r="I461" t="s">
        <v>2166</v>
      </c>
      <c r="J461" t="s">
        <v>2167</v>
      </c>
      <c r="K461" t="s">
        <v>55</v>
      </c>
      <c r="L461" t="s">
        <v>2168</v>
      </c>
      <c r="M461" t="s">
        <v>57</v>
      </c>
      <c r="N461" t="str">
        <f>"048454"</f>
        <v>048454</v>
      </c>
      <c r="O461" t="s">
        <v>410</v>
      </c>
      <c r="P461" t="s">
        <v>84</v>
      </c>
      <c r="Q461">
        <v>32.200000000000003</v>
      </c>
      <c r="R461">
        <v>7.5999999999999943</v>
      </c>
      <c r="S461" t="s">
        <v>77</v>
      </c>
    </row>
    <row r="462" spans="1:19" x14ac:dyDescent="0.35">
      <c r="A462">
        <v>48611</v>
      </c>
      <c r="B462" t="str">
        <f>"048611"</f>
        <v>048611</v>
      </c>
      <c r="C462" t="s">
        <v>2169</v>
      </c>
      <c r="D462" t="s">
        <v>49</v>
      </c>
      <c r="E462" t="s">
        <v>50</v>
      </c>
      <c r="F462" t="s">
        <v>51</v>
      </c>
      <c r="G462" t="s">
        <v>325</v>
      </c>
      <c r="H462" t="s">
        <v>2170</v>
      </c>
      <c r="I462" t="s">
        <v>2171</v>
      </c>
      <c r="J462" t="s">
        <v>2172</v>
      </c>
      <c r="K462" t="s">
        <v>55</v>
      </c>
      <c r="L462" t="s">
        <v>2173</v>
      </c>
      <c r="M462" t="s">
        <v>57</v>
      </c>
      <c r="N462" t="str">
        <f>"048603"</f>
        <v>048603</v>
      </c>
      <c r="O462" t="s">
        <v>2174</v>
      </c>
      <c r="P462" t="s">
        <v>84</v>
      </c>
      <c r="Q462">
        <v>25.6</v>
      </c>
      <c r="R462">
        <v>12.299999999999997</v>
      </c>
      <c r="S462" t="s">
        <v>180</v>
      </c>
    </row>
    <row r="463" spans="1:19" x14ac:dyDescent="0.35">
      <c r="A463">
        <v>51060</v>
      </c>
      <c r="B463" t="str">
        <f>"051060"</f>
        <v>051060</v>
      </c>
      <c r="C463" t="s">
        <v>517</v>
      </c>
      <c r="D463" t="s">
        <v>49</v>
      </c>
      <c r="E463" t="s">
        <v>163</v>
      </c>
      <c r="F463" t="s">
        <v>51</v>
      </c>
      <c r="G463" t="s">
        <v>212</v>
      </c>
      <c r="H463" t="s">
        <v>518</v>
      </c>
      <c r="I463" t="s">
        <v>519</v>
      </c>
      <c r="J463" t="s">
        <v>215</v>
      </c>
      <c r="K463" t="s">
        <v>55</v>
      </c>
      <c r="L463" t="s">
        <v>520</v>
      </c>
      <c r="M463" t="s">
        <v>57</v>
      </c>
      <c r="N463" t="str">
        <f>"050765"</f>
        <v>050765</v>
      </c>
      <c r="O463" t="s">
        <v>58</v>
      </c>
      <c r="P463" t="s">
        <v>68</v>
      </c>
      <c r="Q463" t="s">
        <v>68</v>
      </c>
      <c r="R463" t="s">
        <v>68</v>
      </c>
      <c r="S463" t="s">
        <v>217</v>
      </c>
    </row>
    <row r="464" spans="1:19" x14ac:dyDescent="0.35">
      <c r="A464">
        <v>442</v>
      </c>
      <c r="B464" t="str">
        <f>"000442"</f>
        <v>000442</v>
      </c>
      <c r="C464" t="s">
        <v>1687</v>
      </c>
      <c r="D464" t="s">
        <v>49</v>
      </c>
      <c r="E464" t="s">
        <v>50</v>
      </c>
      <c r="F464" t="s">
        <v>51</v>
      </c>
      <c r="G464" t="s">
        <v>621</v>
      </c>
      <c r="H464" t="s">
        <v>2175</v>
      </c>
      <c r="I464" t="s">
        <v>2176</v>
      </c>
      <c r="J464" t="s">
        <v>2177</v>
      </c>
      <c r="K464" t="s">
        <v>55</v>
      </c>
      <c r="L464" t="s">
        <v>2178</v>
      </c>
      <c r="M464" t="s">
        <v>57</v>
      </c>
      <c r="N464" t="str">
        <f>"125658"</f>
        <v>125658</v>
      </c>
      <c r="O464" t="s">
        <v>224</v>
      </c>
      <c r="P464" t="s">
        <v>76</v>
      </c>
      <c r="Q464">
        <v>89.3</v>
      </c>
      <c r="R464">
        <v>2.5</v>
      </c>
      <c r="S464" t="s">
        <v>130</v>
      </c>
    </row>
    <row r="465" spans="1:19" x14ac:dyDescent="0.35">
      <c r="A465">
        <v>43950</v>
      </c>
      <c r="B465" t="str">
        <f>"043950"</f>
        <v>043950</v>
      </c>
      <c r="C465" t="s">
        <v>2179</v>
      </c>
      <c r="D465" t="s">
        <v>49</v>
      </c>
      <c r="E465" t="s">
        <v>50</v>
      </c>
      <c r="F465" t="s">
        <v>51</v>
      </c>
      <c r="G465" t="s">
        <v>63</v>
      </c>
      <c r="H465" t="s">
        <v>2180</v>
      </c>
      <c r="I465" t="s">
        <v>2181</v>
      </c>
      <c r="J465" t="s">
        <v>2182</v>
      </c>
      <c r="K465" t="s">
        <v>55</v>
      </c>
      <c r="L465" t="s">
        <v>2183</v>
      </c>
      <c r="M465" t="s">
        <v>57</v>
      </c>
      <c r="N465" t="str">
        <f>"050765"</f>
        <v>050765</v>
      </c>
      <c r="O465" t="s">
        <v>58</v>
      </c>
      <c r="P465" t="s">
        <v>281</v>
      </c>
      <c r="Q465">
        <v>99.9</v>
      </c>
      <c r="R465">
        <v>94.7</v>
      </c>
      <c r="S465" t="s">
        <v>69</v>
      </c>
    </row>
    <row r="466" spans="1:19" x14ac:dyDescent="0.35">
      <c r="A466">
        <v>44024</v>
      </c>
      <c r="B466" t="str">
        <f>"044024"</f>
        <v>044024</v>
      </c>
      <c r="C466" t="s">
        <v>2184</v>
      </c>
      <c r="D466" t="s">
        <v>49</v>
      </c>
      <c r="E466" t="s">
        <v>50</v>
      </c>
      <c r="F466" t="s">
        <v>51</v>
      </c>
      <c r="G466" t="s">
        <v>331</v>
      </c>
      <c r="H466" t="s">
        <v>2185</v>
      </c>
      <c r="I466" t="s">
        <v>2186</v>
      </c>
      <c r="J466" t="s">
        <v>1733</v>
      </c>
      <c r="K466" t="s">
        <v>55</v>
      </c>
      <c r="L466" t="s">
        <v>1734</v>
      </c>
      <c r="M466" t="s">
        <v>57</v>
      </c>
      <c r="N466" t="str">
        <f>"050765"</f>
        <v>050765</v>
      </c>
      <c r="O466" t="s">
        <v>58</v>
      </c>
      <c r="P466" t="s">
        <v>84</v>
      </c>
      <c r="Q466">
        <v>60.3</v>
      </c>
      <c r="R466">
        <v>9.0999999999999943</v>
      </c>
      <c r="S466" t="s">
        <v>156</v>
      </c>
    </row>
    <row r="467" spans="1:19" x14ac:dyDescent="0.35">
      <c r="A467">
        <v>44131</v>
      </c>
      <c r="B467" t="str">
        <f>"044131"</f>
        <v>044131</v>
      </c>
      <c r="C467" t="s">
        <v>2187</v>
      </c>
      <c r="D467" t="s">
        <v>2188</v>
      </c>
      <c r="E467" t="s">
        <v>50</v>
      </c>
      <c r="F467" t="s">
        <v>51</v>
      </c>
      <c r="G467" t="s">
        <v>759</v>
      </c>
      <c r="H467" t="s">
        <v>2189</v>
      </c>
      <c r="I467" t="s">
        <v>2190</v>
      </c>
      <c r="J467" t="s">
        <v>79</v>
      </c>
      <c r="K467" t="s">
        <v>55</v>
      </c>
      <c r="L467" t="s">
        <v>2191</v>
      </c>
      <c r="M467" t="s">
        <v>57</v>
      </c>
      <c r="N467" t="str">
        <f>"050765"</f>
        <v>050765</v>
      </c>
      <c r="O467" t="s">
        <v>58</v>
      </c>
      <c r="P467" t="s">
        <v>59</v>
      </c>
      <c r="Q467">
        <v>29.9</v>
      </c>
      <c r="R467">
        <v>10.599999999999994</v>
      </c>
      <c r="S467" t="s">
        <v>69</v>
      </c>
    </row>
    <row r="468" spans="1:19" x14ac:dyDescent="0.35">
      <c r="A468">
        <v>47571</v>
      </c>
      <c r="B468" t="str">
        <f>"047571"</f>
        <v>047571</v>
      </c>
      <c r="C468" t="s">
        <v>2192</v>
      </c>
      <c r="D468" t="s">
        <v>49</v>
      </c>
      <c r="E468" t="s">
        <v>50</v>
      </c>
      <c r="F468" t="s">
        <v>51</v>
      </c>
      <c r="G468" t="s">
        <v>271</v>
      </c>
      <c r="H468" t="s">
        <v>2193</v>
      </c>
      <c r="I468" t="s">
        <v>2194</v>
      </c>
      <c r="J468" t="s">
        <v>2195</v>
      </c>
      <c r="K468" t="s">
        <v>55</v>
      </c>
      <c r="L468" t="s">
        <v>2196</v>
      </c>
      <c r="M468" t="s">
        <v>57</v>
      </c>
      <c r="N468" t="str">
        <f>"124297"</f>
        <v>124297</v>
      </c>
      <c r="O468" t="s">
        <v>349</v>
      </c>
      <c r="P468" t="s">
        <v>76</v>
      </c>
      <c r="Q468">
        <v>24.9</v>
      </c>
      <c r="R468">
        <v>21.400000000000006</v>
      </c>
      <c r="S468" t="s">
        <v>156</v>
      </c>
    </row>
    <row r="469" spans="1:19" x14ac:dyDescent="0.35">
      <c r="A469">
        <v>43760</v>
      </c>
      <c r="B469" t="str">
        <f>"043760"</f>
        <v>043760</v>
      </c>
      <c r="C469" t="s">
        <v>2197</v>
      </c>
      <c r="D469" t="s">
        <v>49</v>
      </c>
      <c r="E469" t="s">
        <v>50</v>
      </c>
      <c r="F469" t="s">
        <v>51</v>
      </c>
      <c r="G469" t="s">
        <v>1567</v>
      </c>
      <c r="H469" t="s">
        <v>2198</v>
      </c>
      <c r="I469" t="s">
        <v>2199</v>
      </c>
      <c r="J469" t="s">
        <v>1570</v>
      </c>
      <c r="K469" t="s">
        <v>55</v>
      </c>
      <c r="L469" t="s">
        <v>1571</v>
      </c>
      <c r="M469" t="s">
        <v>57</v>
      </c>
      <c r="N469" t="str">
        <f>"050765"</f>
        <v>050765</v>
      </c>
      <c r="O469" t="s">
        <v>58</v>
      </c>
      <c r="P469" t="s">
        <v>84</v>
      </c>
      <c r="Q469">
        <v>100</v>
      </c>
      <c r="R469">
        <v>8.7000000000000028</v>
      </c>
      <c r="S469" t="s">
        <v>60</v>
      </c>
    </row>
    <row r="470" spans="1:19" x14ac:dyDescent="0.35">
      <c r="A470">
        <v>45112</v>
      </c>
      <c r="B470" t="str">
        <f>"045112"</f>
        <v>045112</v>
      </c>
      <c r="C470" t="s">
        <v>2200</v>
      </c>
      <c r="D470" t="s">
        <v>49</v>
      </c>
      <c r="E470" t="s">
        <v>50</v>
      </c>
      <c r="F470" t="s">
        <v>51</v>
      </c>
      <c r="G470" t="s">
        <v>250</v>
      </c>
      <c r="H470" t="s">
        <v>2201</v>
      </c>
      <c r="I470" t="s">
        <v>2202</v>
      </c>
      <c r="J470" t="s">
        <v>2203</v>
      </c>
      <c r="K470" t="s">
        <v>55</v>
      </c>
      <c r="L470" t="s">
        <v>2204</v>
      </c>
      <c r="M470" t="s">
        <v>57</v>
      </c>
      <c r="N470" t="str">
        <f>"050765"</f>
        <v>050765</v>
      </c>
      <c r="O470" t="s">
        <v>58</v>
      </c>
      <c r="P470" t="s">
        <v>84</v>
      </c>
      <c r="Q470">
        <v>50.3</v>
      </c>
      <c r="R470">
        <v>19.799999999999997</v>
      </c>
      <c r="S470" t="s">
        <v>60</v>
      </c>
    </row>
    <row r="471" spans="1:19" x14ac:dyDescent="0.35">
      <c r="A471">
        <v>45617</v>
      </c>
      <c r="B471" t="str">
        <f>"045617"</f>
        <v>045617</v>
      </c>
      <c r="C471" t="s">
        <v>2205</v>
      </c>
      <c r="D471" t="s">
        <v>49</v>
      </c>
      <c r="E471" t="s">
        <v>50</v>
      </c>
      <c r="F471" t="s">
        <v>51</v>
      </c>
      <c r="G471" t="s">
        <v>325</v>
      </c>
      <c r="H471" t="s">
        <v>2206</v>
      </c>
      <c r="I471" t="s">
        <v>2207</v>
      </c>
      <c r="J471" t="s">
        <v>2172</v>
      </c>
      <c r="K471" t="s">
        <v>55</v>
      </c>
      <c r="L471" t="s">
        <v>2173</v>
      </c>
      <c r="M471" t="s">
        <v>57</v>
      </c>
      <c r="N471" t="str">
        <f>"050765"</f>
        <v>050765</v>
      </c>
      <c r="O471" t="s">
        <v>58</v>
      </c>
      <c r="P471" t="s">
        <v>59</v>
      </c>
      <c r="Q471">
        <v>11.1</v>
      </c>
      <c r="R471">
        <v>8.2000000000000028</v>
      </c>
      <c r="S471" t="s">
        <v>180</v>
      </c>
    </row>
    <row r="472" spans="1:19" x14ac:dyDescent="0.35">
      <c r="A472">
        <v>47688</v>
      </c>
      <c r="B472" t="str">
        <f>"047688"</f>
        <v>047688</v>
      </c>
      <c r="C472" t="s">
        <v>2208</v>
      </c>
      <c r="D472" t="s">
        <v>49</v>
      </c>
      <c r="E472" t="s">
        <v>50</v>
      </c>
      <c r="F472" t="s">
        <v>51</v>
      </c>
      <c r="G472" t="s">
        <v>712</v>
      </c>
      <c r="H472" t="s">
        <v>2209</v>
      </c>
      <c r="I472" t="s">
        <v>2210</v>
      </c>
      <c r="J472" t="s">
        <v>715</v>
      </c>
      <c r="K472" t="s">
        <v>55</v>
      </c>
      <c r="L472" t="s">
        <v>716</v>
      </c>
      <c r="M472" t="s">
        <v>57</v>
      </c>
      <c r="N472" t="str">
        <f>"050526"</f>
        <v>050526</v>
      </c>
      <c r="O472" t="s">
        <v>192</v>
      </c>
      <c r="P472" t="s">
        <v>76</v>
      </c>
      <c r="Q472">
        <v>18.3</v>
      </c>
      <c r="R472">
        <v>4.2999999999999972</v>
      </c>
      <c r="S472" t="s">
        <v>77</v>
      </c>
    </row>
    <row r="473" spans="1:19" x14ac:dyDescent="0.35">
      <c r="A473">
        <v>48900</v>
      </c>
      <c r="B473" t="str">
        <f>"048900"</f>
        <v>048900</v>
      </c>
      <c r="C473" t="s">
        <v>2211</v>
      </c>
      <c r="D473" t="s">
        <v>49</v>
      </c>
      <c r="E473" t="s">
        <v>50</v>
      </c>
      <c r="F473" t="s">
        <v>51</v>
      </c>
      <c r="G473" t="s">
        <v>2212</v>
      </c>
      <c r="H473" t="s">
        <v>2213</v>
      </c>
      <c r="I473" t="s">
        <v>2214</v>
      </c>
      <c r="J473" t="s">
        <v>2215</v>
      </c>
      <c r="K473" t="s">
        <v>55</v>
      </c>
      <c r="L473" t="s">
        <v>2216</v>
      </c>
      <c r="M473" t="s">
        <v>57</v>
      </c>
      <c r="N473" t="str">
        <f>"123281"</f>
        <v>123281</v>
      </c>
      <c r="O473" t="s">
        <v>129</v>
      </c>
      <c r="P473" t="s">
        <v>76</v>
      </c>
      <c r="Q473">
        <v>37.6</v>
      </c>
      <c r="R473">
        <v>2.9000000000000057</v>
      </c>
      <c r="S473" t="s">
        <v>130</v>
      </c>
    </row>
    <row r="474" spans="1:19" x14ac:dyDescent="0.35">
      <c r="A474">
        <v>52548</v>
      </c>
      <c r="B474" t="str">
        <f>"052548"</f>
        <v>052548</v>
      </c>
      <c r="C474" t="s">
        <v>2217</v>
      </c>
      <c r="D474" t="s">
        <v>49</v>
      </c>
      <c r="E474" t="s">
        <v>606</v>
      </c>
      <c r="F474" t="s">
        <v>51</v>
      </c>
      <c r="G474" t="s">
        <v>135</v>
      </c>
      <c r="H474" t="s">
        <v>2218</v>
      </c>
      <c r="I474" t="s">
        <v>2219</v>
      </c>
      <c r="J474" t="s">
        <v>279</v>
      </c>
      <c r="K474" t="s">
        <v>55</v>
      </c>
      <c r="L474" t="s">
        <v>280</v>
      </c>
      <c r="M474" t="s">
        <v>57</v>
      </c>
      <c r="N474" t="str">
        <f>"052506"</f>
        <v>052506</v>
      </c>
      <c r="O474" t="s">
        <v>610</v>
      </c>
      <c r="P474" t="s">
        <v>68</v>
      </c>
      <c r="Q474" t="s">
        <v>68</v>
      </c>
      <c r="R474" t="s">
        <v>68</v>
      </c>
      <c r="S474" t="s">
        <v>130</v>
      </c>
    </row>
    <row r="475" spans="1:19" x14ac:dyDescent="0.35">
      <c r="A475">
        <v>44727</v>
      </c>
      <c r="B475" t="str">
        <f>"044727"</f>
        <v>044727</v>
      </c>
      <c r="C475" t="s">
        <v>2220</v>
      </c>
      <c r="D475" t="s">
        <v>49</v>
      </c>
      <c r="E475" t="s">
        <v>50</v>
      </c>
      <c r="F475" t="s">
        <v>51</v>
      </c>
      <c r="G475" t="s">
        <v>554</v>
      </c>
      <c r="H475" t="s">
        <v>2221</v>
      </c>
      <c r="I475" t="s">
        <v>2222</v>
      </c>
      <c r="J475" t="s">
        <v>2223</v>
      </c>
      <c r="K475" t="s">
        <v>55</v>
      </c>
      <c r="L475" t="s">
        <v>2224</v>
      </c>
      <c r="M475" t="s">
        <v>57</v>
      </c>
      <c r="N475" t="str">
        <f>"045930"</f>
        <v>045930</v>
      </c>
      <c r="O475" t="s">
        <v>559</v>
      </c>
      <c r="P475" t="s">
        <v>84</v>
      </c>
      <c r="Q475">
        <v>38.5</v>
      </c>
      <c r="R475">
        <v>8.7999999999999972</v>
      </c>
      <c r="S475" t="s">
        <v>156</v>
      </c>
    </row>
    <row r="476" spans="1:19" x14ac:dyDescent="0.35">
      <c r="A476">
        <v>46433</v>
      </c>
      <c r="B476" t="str">
        <f>"046433"</f>
        <v>046433</v>
      </c>
      <c r="C476" t="s">
        <v>1228</v>
      </c>
      <c r="D476" t="s">
        <v>49</v>
      </c>
      <c r="E476" t="s">
        <v>50</v>
      </c>
      <c r="F476" t="s">
        <v>51</v>
      </c>
      <c r="G476" t="s">
        <v>536</v>
      </c>
      <c r="H476" t="s">
        <v>2225</v>
      </c>
      <c r="I476" t="s">
        <v>2226</v>
      </c>
      <c r="J476" t="s">
        <v>536</v>
      </c>
      <c r="K476" t="s">
        <v>55</v>
      </c>
      <c r="L476" t="s">
        <v>2227</v>
      </c>
      <c r="M476" t="s">
        <v>57</v>
      </c>
      <c r="N476" t="str">
        <f>"046417"</f>
        <v>046417</v>
      </c>
      <c r="O476" t="s">
        <v>541</v>
      </c>
      <c r="P476" t="s">
        <v>76</v>
      </c>
      <c r="Q476">
        <v>36.700000000000003</v>
      </c>
      <c r="R476">
        <v>2.2999999999999972</v>
      </c>
      <c r="S476" t="s">
        <v>77</v>
      </c>
    </row>
    <row r="477" spans="1:19" x14ac:dyDescent="0.35">
      <c r="A477">
        <v>200028</v>
      </c>
      <c r="B477" t="str">
        <f>"200028"</f>
        <v>200028</v>
      </c>
      <c r="C477" t="s">
        <v>2228</v>
      </c>
      <c r="D477" t="s">
        <v>49</v>
      </c>
      <c r="E477" t="s">
        <v>62</v>
      </c>
      <c r="F477" t="s">
        <v>51</v>
      </c>
      <c r="G477" t="s">
        <v>63</v>
      </c>
      <c r="H477" t="s">
        <v>2229</v>
      </c>
      <c r="I477" t="s">
        <v>2230</v>
      </c>
      <c r="J477" t="s">
        <v>2231</v>
      </c>
      <c r="K477" t="s">
        <v>55</v>
      </c>
      <c r="L477" t="s">
        <v>2232</v>
      </c>
      <c r="M477" t="s">
        <v>57</v>
      </c>
      <c r="N477" t="str">
        <f>"N/A"</f>
        <v>N/A</v>
      </c>
      <c r="O477" t="s">
        <v>49</v>
      </c>
      <c r="P477" t="s">
        <v>68</v>
      </c>
      <c r="Q477" t="s">
        <v>68</v>
      </c>
      <c r="R477" t="s">
        <v>68</v>
      </c>
      <c r="S477" t="s">
        <v>69</v>
      </c>
    </row>
    <row r="478" spans="1:19" x14ac:dyDescent="0.35">
      <c r="A478">
        <v>45252</v>
      </c>
      <c r="B478" t="str">
        <f>"045252"</f>
        <v>045252</v>
      </c>
      <c r="C478" t="s">
        <v>2233</v>
      </c>
      <c r="D478" t="s">
        <v>49</v>
      </c>
      <c r="E478" t="s">
        <v>50</v>
      </c>
      <c r="F478" t="s">
        <v>51</v>
      </c>
      <c r="G478" t="s">
        <v>2212</v>
      </c>
      <c r="H478" t="s">
        <v>2234</v>
      </c>
      <c r="I478" t="s">
        <v>2235</v>
      </c>
      <c r="J478" t="s">
        <v>2236</v>
      </c>
      <c r="K478" t="s">
        <v>55</v>
      </c>
      <c r="L478" t="s">
        <v>2237</v>
      </c>
      <c r="M478" t="s">
        <v>57</v>
      </c>
      <c r="N478" t="str">
        <f>"050765"</f>
        <v>050765</v>
      </c>
      <c r="O478" t="s">
        <v>58</v>
      </c>
      <c r="P478" t="s">
        <v>76</v>
      </c>
      <c r="Q478">
        <v>43.1</v>
      </c>
      <c r="R478">
        <v>3.0999999999999943</v>
      </c>
      <c r="S478" t="s">
        <v>130</v>
      </c>
    </row>
    <row r="479" spans="1:19" x14ac:dyDescent="0.35">
      <c r="A479">
        <v>49064</v>
      </c>
      <c r="B479" t="str">
        <f>"049064"</f>
        <v>049064</v>
      </c>
      <c r="C479" t="s">
        <v>2238</v>
      </c>
      <c r="D479" t="s">
        <v>49</v>
      </c>
      <c r="E479" t="s">
        <v>50</v>
      </c>
      <c r="F479" t="s">
        <v>51</v>
      </c>
      <c r="G479" t="s">
        <v>1551</v>
      </c>
      <c r="H479" t="s">
        <v>2239</v>
      </c>
      <c r="I479" t="s">
        <v>2240</v>
      </c>
      <c r="J479" t="s">
        <v>2241</v>
      </c>
      <c r="K479" t="s">
        <v>55</v>
      </c>
      <c r="L479" t="s">
        <v>2242</v>
      </c>
      <c r="M479" t="s">
        <v>57</v>
      </c>
      <c r="N479" t="str">
        <f>"135145"</f>
        <v>135145</v>
      </c>
      <c r="O479" t="s">
        <v>503</v>
      </c>
      <c r="P479" t="s">
        <v>76</v>
      </c>
      <c r="Q479">
        <v>100</v>
      </c>
      <c r="R479">
        <v>3.0999999999999943</v>
      </c>
      <c r="S479" t="s">
        <v>130</v>
      </c>
    </row>
    <row r="480" spans="1:19" x14ac:dyDescent="0.35">
      <c r="A480">
        <v>47795</v>
      </c>
      <c r="B480" t="str">
        <f>"047795"</f>
        <v>047795</v>
      </c>
      <c r="C480" t="s">
        <v>2243</v>
      </c>
      <c r="D480" t="s">
        <v>49</v>
      </c>
      <c r="E480" t="s">
        <v>50</v>
      </c>
      <c r="F480" t="s">
        <v>51</v>
      </c>
      <c r="G480" t="s">
        <v>135</v>
      </c>
      <c r="H480" t="s">
        <v>2244</v>
      </c>
      <c r="I480" t="s">
        <v>2245</v>
      </c>
      <c r="J480" t="s">
        <v>2246</v>
      </c>
      <c r="K480" t="s">
        <v>55</v>
      </c>
      <c r="L480" t="s">
        <v>2247</v>
      </c>
      <c r="M480" t="s">
        <v>57</v>
      </c>
      <c r="N480" t="str">
        <f>"047779"</f>
        <v>047779</v>
      </c>
      <c r="O480" t="s">
        <v>653</v>
      </c>
      <c r="P480" t="s">
        <v>76</v>
      </c>
      <c r="Q480">
        <v>51.2</v>
      </c>
      <c r="R480">
        <v>4.2999999999999972</v>
      </c>
      <c r="S480" t="s">
        <v>130</v>
      </c>
    </row>
    <row r="481" spans="1:19" x14ac:dyDescent="0.35">
      <c r="A481">
        <v>50880</v>
      </c>
      <c r="B481" t="str">
        <f>"050880"</f>
        <v>050880</v>
      </c>
      <c r="C481" t="s">
        <v>2248</v>
      </c>
      <c r="D481" t="s">
        <v>49</v>
      </c>
      <c r="E481" t="s">
        <v>163</v>
      </c>
      <c r="F481" t="s">
        <v>51</v>
      </c>
      <c r="G481" t="s">
        <v>244</v>
      </c>
      <c r="H481" t="s">
        <v>2249</v>
      </c>
      <c r="I481" t="s">
        <v>2250</v>
      </c>
      <c r="J481" t="s">
        <v>212</v>
      </c>
      <c r="K481" t="s">
        <v>55</v>
      </c>
      <c r="L481" t="s">
        <v>374</v>
      </c>
      <c r="M481" t="s">
        <v>57</v>
      </c>
      <c r="N481" t="str">
        <f>"050765"</f>
        <v>050765</v>
      </c>
      <c r="O481" t="s">
        <v>58</v>
      </c>
      <c r="P481" t="s">
        <v>68</v>
      </c>
      <c r="Q481" t="s">
        <v>68</v>
      </c>
      <c r="R481" t="s">
        <v>68</v>
      </c>
      <c r="S481" t="s">
        <v>217</v>
      </c>
    </row>
    <row r="482" spans="1:19" x14ac:dyDescent="0.35">
      <c r="A482">
        <v>65268</v>
      </c>
      <c r="B482" t="str">
        <f>"065268"</f>
        <v>065268</v>
      </c>
      <c r="C482" t="s">
        <v>2251</v>
      </c>
      <c r="D482" t="s">
        <v>49</v>
      </c>
      <c r="E482" t="s">
        <v>163</v>
      </c>
      <c r="F482" t="s">
        <v>51</v>
      </c>
      <c r="G482" t="s">
        <v>312</v>
      </c>
      <c r="H482" t="s">
        <v>690</v>
      </c>
      <c r="I482" t="s">
        <v>691</v>
      </c>
      <c r="J482" t="s">
        <v>312</v>
      </c>
      <c r="K482" t="s">
        <v>55</v>
      </c>
      <c r="L482" t="s">
        <v>315</v>
      </c>
      <c r="M482" t="s">
        <v>57</v>
      </c>
      <c r="N482" t="str">
        <f>"050765"</f>
        <v>050765</v>
      </c>
      <c r="O482" t="s">
        <v>58</v>
      </c>
      <c r="P482" t="s">
        <v>68</v>
      </c>
      <c r="Q482" t="s">
        <v>68</v>
      </c>
      <c r="R482" t="s">
        <v>68</v>
      </c>
      <c r="S482" t="s">
        <v>156</v>
      </c>
    </row>
    <row r="483" spans="1:19" x14ac:dyDescent="0.35">
      <c r="A483">
        <v>200019</v>
      </c>
      <c r="B483" t="str">
        <f>"200019"</f>
        <v>200019</v>
      </c>
      <c r="C483" t="s">
        <v>2252</v>
      </c>
      <c r="D483" t="s">
        <v>49</v>
      </c>
      <c r="E483" t="s">
        <v>62</v>
      </c>
      <c r="F483" t="s">
        <v>51</v>
      </c>
      <c r="G483" t="s">
        <v>63</v>
      </c>
      <c r="H483" t="s">
        <v>1341</v>
      </c>
      <c r="I483" t="s">
        <v>1342</v>
      </c>
      <c r="J483" t="s">
        <v>285</v>
      </c>
      <c r="K483" t="s">
        <v>55</v>
      </c>
      <c r="L483" t="s">
        <v>609</v>
      </c>
      <c r="M483" t="s">
        <v>57</v>
      </c>
      <c r="N483" t="str">
        <f>"N/A"</f>
        <v>N/A</v>
      </c>
      <c r="O483" t="s">
        <v>49</v>
      </c>
      <c r="P483" t="s">
        <v>68</v>
      </c>
      <c r="Q483" t="s">
        <v>68</v>
      </c>
      <c r="R483" t="s">
        <v>68</v>
      </c>
      <c r="S483" t="s">
        <v>69</v>
      </c>
    </row>
    <row r="484" spans="1:19" x14ac:dyDescent="0.35">
      <c r="A484">
        <v>48173</v>
      </c>
      <c r="B484" t="str">
        <f>"048173"</f>
        <v>048173</v>
      </c>
      <c r="C484" t="s">
        <v>2253</v>
      </c>
      <c r="D484" t="s">
        <v>49</v>
      </c>
      <c r="E484" t="s">
        <v>50</v>
      </c>
      <c r="F484" t="s">
        <v>51</v>
      </c>
      <c r="G484" t="s">
        <v>143</v>
      </c>
      <c r="H484" t="s">
        <v>2254</v>
      </c>
      <c r="I484" t="s">
        <v>2255</v>
      </c>
      <c r="J484" t="s">
        <v>2256</v>
      </c>
      <c r="K484" t="s">
        <v>55</v>
      </c>
      <c r="L484" t="s">
        <v>2257</v>
      </c>
      <c r="M484" t="s">
        <v>57</v>
      </c>
      <c r="N484" t="str">
        <f>"048108"</f>
        <v>048108</v>
      </c>
      <c r="O484" t="s">
        <v>148</v>
      </c>
      <c r="P484" t="s">
        <v>84</v>
      </c>
      <c r="Q484">
        <v>37.200000000000003</v>
      </c>
      <c r="R484">
        <v>14.799999999999997</v>
      </c>
      <c r="S484" t="s">
        <v>69</v>
      </c>
    </row>
    <row r="485" spans="1:19" x14ac:dyDescent="0.35">
      <c r="A485">
        <v>43570</v>
      </c>
      <c r="B485" t="str">
        <f>"043570"</f>
        <v>043570</v>
      </c>
      <c r="C485" t="s">
        <v>2258</v>
      </c>
      <c r="D485" t="s">
        <v>49</v>
      </c>
      <c r="E485" t="s">
        <v>50</v>
      </c>
      <c r="F485" t="s">
        <v>51</v>
      </c>
      <c r="G485" t="s">
        <v>233</v>
      </c>
      <c r="H485" t="s">
        <v>2259</v>
      </c>
      <c r="I485" t="s">
        <v>2260</v>
      </c>
      <c r="J485" t="s">
        <v>2261</v>
      </c>
      <c r="K485" t="s">
        <v>55</v>
      </c>
      <c r="L485" t="s">
        <v>2262</v>
      </c>
      <c r="M485" t="s">
        <v>57</v>
      </c>
      <c r="N485" t="str">
        <f>"050260"</f>
        <v>050260</v>
      </c>
      <c r="O485" t="s">
        <v>1170</v>
      </c>
      <c r="P485" t="s">
        <v>84</v>
      </c>
      <c r="Q485">
        <v>56.6</v>
      </c>
      <c r="R485">
        <v>13.5</v>
      </c>
      <c r="S485" t="s">
        <v>130</v>
      </c>
    </row>
    <row r="486" spans="1:19" x14ac:dyDescent="0.35">
      <c r="A486">
        <v>45427</v>
      </c>
      <c r="B486" t="str">
        <f>"045427"</f>
        <v>045427</v>
      </c>
      <c r="C486" t="s">
        <v>2263</v>
      </c>
      <c r="D486" t="s">
        <v>49</v>
      </c>
      <c r="E486" t="s">
        <v>50</v>
      </c>
      <c r="F486" t="s">
        <v>51</v>
      </c>
      <c r="G486" t="s">
        <v>169</v>
      </c>
      <c r="H486" t="s">
        <v>2264</v>
      </c>
      <c r="I486" t="s">
        <v>2265</v>
      </c>
      <c r="J486" t="s">
        <v>2266</v>
      </c>
      <c r="K486" t="s">
        <v>55</v>
      </c>
      <c r="L486" t="s">
        <v>2267</v>
      </c>
      <c r="M486" t="s">
        <v>57</v>
      </c>
      <c r="N486" t="str">
        <f>"050765"</f>
        <v>050765</v>
      </c>
      <c r="O486" t="s">
        <v>58</v>
      </c>
      <c r="P486" t="s">
        <v>84</v>
      </c>
      <c r="Q486">
        <v>39.6</v>
      </c>
      <c r="R486">
        <v>12.200000000000003</v>
      </c>
      <c r="S486" t="s">
        <v>77</v>
      </c>
    </row>
    <row r="487" spans="1:19" x14ac:dyDescent="0.35">
      <c r="A487">
        <v>46508</v>
      </c>
      <c r="B487" t="str">
        <f>"046508"</f>
        <v>046508</v>
      </c>
      <c r="C487" t="s">
        <v>2268</v>
      </c>
      <c r="D487" t="s">
        <v>49</v>
      </c>
      <c r="E487" t="s">
        <v>50</v>
      </c>
      <c r="F487" t="s">
        <v>51</v>
      </c>
      <c r="G487" t="s">
        <v>331</v>
      </c>
      <c r="H487" t="s">
        <v>2269</v>
      </c>
      <c r="I487" t="s">
        <v>2270</v>
      </c>
      <c r="J487" t="s">
        <v>2271</v>
      </c>
      <c r="K487" t="s">
        <v>55</v>
      </c>
      <c r="L487" t="s">
        <v>2272</v>
      </c>
      <c r="M487" t="s">
        <v>57</v>
      </c>
      <c r="N487" t="str">
        <f>"123257"</f>
        <v>123257</v>
      </c>
      <c r="O487" t="s">
        <v>316</v>
      </c>
      <c r="P487" t="s">
        <v>76</v>
      </c>
      <c r="Q487">
        <v>36.1</v>
      </c>
      <c r="R487">
        <v>4.7000000000000028</v>
      </c>
      <c r="S487" t="s">
        <v>156</v>
      </c>
    </row>
    <row r="488" spans="1:19" x14ac:dyDescent="0.35">
      <c r="A488">
        <v>49130</v>
      </c>
      <c r="B488" t="str">
        <f>"049130"</f>
        <v>049130</v>
      </c>
      <c r="C488" t="s">
        <v>2273</v>
      </c>
      <c r="D488" t="s">
        <v>49</v>
      </c>
      <c r="E488" t="s">
        <v>50</v>
      </c>
      <c r="F488" t="s">
        <v>51</v>
      </c>
      <c r="G488" t="s">
        <v>194</v>
      </c>
      <c r="H488" t="s">
        <v>2274</v>
      </c>
      <c r="I488" t="s">
        <v>2275</v>
      </c>
      <c r="J488" t="s">
        <v>197</v>
      </c>
      <c r="K488" t="s">
        <v>55</v>
      </c>
      <c r="L488" t="s">
        <v>198</v>
      </c>
      <c r="M488" t="s">
        <v>57</v>
      </c>
      <c r="N488" t="str">
        <f>"138222"</f>
        <v>138222</v>
      </c>
      <c r="O488" t="s">
        <v>323</v>
      </c>
      <c r="P488" t="s">
        <v>76</v>
      </c>
      <c r="Q488">
        <v>99.7</v>
      </c>
      <c r="R488">
        <v>4.5</v>
      </c>
      <c r="S488" t="s">
        <v>130</v>
      </c>
    </row>
    <row r="489" spans="1:19" x14ac:dyDescent="0.35">
      <c r="A489">
        <v>50054</v>
      </c>
      <c r="B489" t="str">
        <f>"050054"</f>
        <v>050054</v>
      </c>
      <c r="C489" t="s">
        <v>2276</v>
      </c>
      <c r="D489" t="s">
        <v>49</v>
      </c>
      <c r="E489" t="s">
        <v>50</v>
      </c>
      <c r="F489" t="s">
        <v>51</v>
      </c>
      <c r="G489" t="s">
        <v>264</v>
      </c>
      <c r="H489" t="s">
        <v>2277</v>
      </c>
      <c r="I489" t="s">
        <v>2278</v>
      </c>
      <c r="J489" t="s">
        <v>2279</v>
      </c>
      <c r="K489" t="s">
        <v>55</v>
      </c>
      <c r="L489" t="s">
        <v>2280</v>
      </c>
      <c r="M489" t="s">
        <v>57</v>
      </c>
      <c r="N489" t="str">
        <f>"049965"</f>
        <v>049965</v>
      </c>
      <c r="O489" t="s">
        <v>269</v>
      </c>
      <c r="P489" t="s">
        <v>59</v>
      </c>
      <c r="Q489">
        <v>5</v>
      </c>
      <c r="R489">
        <v>16.700000000000003</v>
      </c>
      <c r="S489" t="s">
        <v>77</v>
      </c>
    </row>
    <row r="490" spans="1:19" x14ac:dyDescent="0.35">
      <c r="A490">
        <v>51490</v>
      </c>
      <c r="B490" t="str">
        <f>"051490"</f>
        <v>051490</v>
      </c>
      <c r="C490" t="s">
        <v>2281</v>
      </c>
      <c r="D490" t="s">
        <v>49</v>
      </c>
      <c r="E490" t="s">
        <v>163</v>
      </c>
      <c r="F490" t="s">
        <v>51</v>
      </c>
      <c r="G490" t="s">
        <v>219</v>
      </c>
      <c r="H490" t="s">
        <v>1895</v>
      </c>
      <c r="I490" t="s">
        <v>1896</v>
      </c>
      <c r="J490" t="s">
        <v>1897</v>
      </c>
      <c r="K490" t="s">
        <v>55</v>
      </c>
      <c r="L490" t="s">
        <v>1898</v>
      </c>
      <c r="M490" t="s">
        <v>57</v>
      </c>
      <c r="N490" t="str">
        <f>"050765"</f>
        <v>050765</v>
      </c>
      <c r="O490" t="s">
        <v>58</v>
      </c>
      <c r="P490" t="s">
        <v>68</v>
      </c>
      <c r="Q490" t="s">
        <v>68</v>
      </c>
      <c r="R490" t="s">
        <v>68</v>
      </c>
      <c r="S490" t="s">
        <v>130</v>
      </c>
    </row>
    <row r="491" spans="1:19" x14ac:dyDescent="0.35">
      <c r="A491">
        <v>91397</v>
      </c>
      <c r="B491" t="str">
        <f>"091397"</f>
        <v>091397</v>
      </c>
      <c r="C491" t="s">
        <v>2282</v>
      </c>
      <c r="D491" t="s">
        <v>49</v>
      </c>
      <c r="E491" t="s">
        <v>50</v>
      </c>
      <c r="F491" t="s">
        <v>51</v>
      </c>
      <c r="G491" t="s">
        <v>362</v>
      </c>
      <c r="H491" t="s">
        <v>2283</v>
      </c>
      <c r="I491" t="s">
        <v>2284</v>
      </c>
      <c r="J491" t="s">
        <v>2285</v>
      </c>
      <c r="K491" t="s">
        <v>55</v>
      </c>
      <c r="L491" t="s">
        <v>2286</v>
      </c>
      <c r="M491" t="s">
        <v>57</v>
      </c>
      <c r="N491" t="str">
        <f>"049254"</f>
        <v>049254</v>
      </c>
      <c r="O491" t="s">
        <v>367</v>
      </c>
      <c r="P491" t="s">
        <v>76</v>
      </c>
      <c r="Q491">
        <v>31.5</v>
      </c>
      <c r="R491">
        <v>4.7000000000000028</v>
      </c>
      <c r="S491" t="s">
        <v>180</v>
      </c>
    </row>
    <row r="492" spans="1:19" x14ac:dyDescent="0.35">
      <c r="A492">
        <v>46599</v>
      </c>
      <c r="B492" t="str">
        <f>"046599"</f>
        <v>046599</v>
      </c>
      <c r="C492" t="s">
        <v>2287</v>
      </c>
      <c r="D492" t="s">
        <v>49</v>
      </c>
      <c r="E492" t="s">
        <v>50</v>
      </c>
      <c r="F492" t="s">
        <v>51</v>
      </c>
      <c r="G492" t="s">
        <v>63</v>
      </c>
      <c r="H492" t="s">
        <v>2288</v>
      </c>
      <c r="I492" t="s">
        <v>2289</v>
      </c>
      <c r="J492" t="s">
        <v>2290</v>
      </c>
      <c r="K492" t="s">
        <v>55</v>
      </c>
      <c r="L492" t="s">
        <v>2291</v>
      </c>
      <c r="M492" t="s">
        <v>57</v>
      </c>
      <c r="N492" t="str">
        <f>"046532"</f>
        <v>046532</v>
      </c>
      <c r="O492" t="s">
        <v>509</v>
      </c>
      <c r="P492" t="s">
        <v>59</v>
      </c>
      <c r="Q492">
        <v>68.099999999999994</v>
      </c>
      <c r="R492">
        <v>97.4</v>
      </c>
      <c r="S492" t="s">
        <v>69</v>
      </c>
    </row>
    <row r="493" spans="1:19" x14ac:dyDescent="0.35">
      <c r="A493">
        <v>46896</v>
      </c>
      <c r="B493" t="str">
        <f>"046896"</f>
        <v>046896</v>
      </c>
      <c r="C493" t="s">
        <v>2292</v>
      </c>
      <c r="D493" t="s">
        <v>49</v>
      </c>
      <c r="E493" t="s">
        <v>50</v>
      </c>
      <c r="F493" t="s">
        <v>51</v>
      </c>
      <c r="G493" t="s">
        <v>92</v>
      </c>
      <c r="H493" t="s">
        <v>2293</v>
      </c>
      <c r="I493" t="s">
        <v>2294</v>
      </c>
      <c r="J493" t="s">
        <v>2295</v>
      </c>
      <c r="K493" t="s">
        <v>55</v>
      </c>
      <c r="L493" t="s">
        <v>2296</v>
      </c>
      <c r="M493" t="s">
        <v>57</v>
      </c>
      <c r="N493" t="str">
        <f>"046839"</f>
        <v>046839</v>
      </c>
      <c r="O493" t="s">
        <v>97</v>
      </c>
      <c r="P493" t="s">
        <v>59</v>
      </c>
      <c r="Q493">
        <v>30.9</v>
      </c>
      <c r="R493">
        <v>53.7</v>
      </c>
      <c r="S493" t="s">
        <v>60</v>
      </c>
    </row>
    <row r="494" spans="1:19" x14ac:dyDescent="0.35">
      <c r="A494">
        <v>46920</v>
      </c>
      <c r="B494" t="str">
        <f>"046920"</f>
        <v>046920</v>
      </c>
      <c r="C494" t="s">
        <v>2297</v>
      </c>
      <c r="D494" t="s">
        <v>49</v>
      </c>
      <c r="E494" t="s">
        <v>50</v>
      </c>
      <c r="F494" t="s">
        <v>51</v>
      </c>
      <c r="G494" t="s">
        <v>2298</v>
      </c>
      <c r="H494" t="s">
        <v>2299</v>
      </c>
      <c r="I494" t="s">
        <v>2300</v>
      </c>
      <c r="J494" t="s">
        <v>2301</v>
      </c>
      <c r="K494" t="s">
        <v>55</v>
      </c>
      <c r="L494" t="s">
        <v>2302</v>
      </c>
      <c r="M494" t="s">
        <v>57</v>
      </c>
      <c r="N494" t="str">
        <f>"046375"</f>
        <v>046375</v>
      </c>
      <c r="O494" t="s">
        <v>255</v>
      </c>
      <c r="P494" t="s">
        <v>76</v>
      </c>
      <c r="Q494">
        <v>40.5</v>
      </c>
      <c r="R494">
        <v>10.700000000000003</v>
      </c>
      <c r="S494" t="s">
        <v>60</v>
      </c>
    </row>
    <row r="495" spans="1:19" x14ac:dyDescent="0.35">
      <c r="A495">
        <v>45419</v>
      </c>
      <c r="B495" t="str">
        <f>"045419"</f>
        <v>045419</v>
      </c>
      <c r="C495" t="s">
        <v>2303</v>
      </c>
      <c r="D495" t="s">
        <v>49</v>
      </c>
      <c r="E495" t="s">
        <v>50</v>
      </c>
      <c r="F495" t="s">
        <v>51</v>
      </c>
      <c r="G495" t="s">
        <v>2304</v>
      </c>
      <c r="H495" t="s">
        <v>2305</v>
      </c>
      <c r="I495" t="s">
        <v>2306</v>
      </c>
      <c r="J495" t="s">
        <v>2307</v>
      </c>
      <c r="K495" t="s">
        <v>55</v>
      </c>
      <c r="L495" t="s">
        <v>2308</v>
      </c>
      <c r="M495" t="s">
        <v>57</v>
      </c>
      <c r="N495" t="str">
        <f t="shared" ref="N495:N502" si="0">"050765"</f>
        <v>050765</v>
      </c>
      <c r="O495" t="s">
        <v>58</v>
      </c>
      <c r="P495" t="s">
        <v>76</v>
      </c>
      <c r="Q495">
        <v>34.299999999999997</v>
      </c>
      <c r="R495">
        <v>12</v>
      </c>
      <c r="S495" t="s">
        <v>156</v>
      </c>
    </row>
    <row r="496" spans="1:19" x14ac:dyDescent="0.35">
      <c r="A496">
        <v>46144</v>
      </c>
      <c r="B496" t="str">
        <f>"046144"</f>
        <v>046144</v>
      </c>
      <c r="C496" t="s">
        <v>2309</v>
      </c>
      <c r="D496" t="s">
        <v>49</v>
      </c>
      <c r="E496" t="s">
        <v>50</v>
      </c>
      <c r="F496" t="s">
        <v>51</v>
      </c>
      <c r="G496" t="s">
        <v>244</v>
      </c>
      <c r="H496" t="s">
        <v>2310</v>
      </c>
      <c r="I496" t="s">
        <v>2311</v>
      </c>
      <c r="J496" t="s">
        <v>212</v>
      </c>
      <c r="K496" t="s">
        <v>55</v>
      </c>
      <c r="L496" t="s">
        <v>2312</v>
      </c>
      <c r="M496" t="s">
        <v>57</v>
      </c>
      <c r="N496" t="str">
        <f t="shared" si="0"/>
        <v>050765</v>
      </c>
      <c r="O496" t="s">
        <v>58</v>
      </c>
      <c r="P496" t="s">
        <v>84</v>
      </c>
      <c r="Q496">
        <v>28.3</v>
      </c>
      <c r="R496">
        <v>3.9000000000000057</v>
      </c>
      <c r="S496" t="s">
        <v>217</v>
      </c>
    </row>
    <row r="497" spans="1:19" x14ac:dyDescent="0.35">
      <c r="A497">
        <v>46573</v>
      </c>
      <c r="B497" t="str">
        <f>"046573"</f>
        <v>046573</v>
      </c>
      <c r="C497" t="s">
        <v>2313</v>
      </c>
      <c r="D497" t="s">
        <v>49</v>
      </c>
      <c r="E497" t="s">
        <v>50</v>
      </c>
      <c r="F497" t="s">
        <v>51</v>
      </c>
      <c r="G497" t="s">
        <v>63</v>
      </c>
      <c r="H497" t="s">
        <v>2314</v>
      </c>
      <c r="I497" t="s">
        <v>2315</v>
      </c>
      <c r="J497" t="s">
        <v>2316</v>
      </c>
      <c r="K497" t="s">
        <v>55</v>
      </c>
      <c r="L497" t="s">
        <v>2317</v>
      </c>
      <c r="M497" t="s">
        <v>57</v>
      </c>
      <c r="N497" t="str">
        <f t="shared" si="0"/>
        <v>050765</v>
      </c>
      <c r="O497" t="s">
        <v>58</v>
      </c>
      <c r="P497" t="s">
        <v>59</v>
      </c>
      <c r="Q497">
        <v>16.8</v>
      </c>
      <c r="R497">
        <v>12.700000000000003</v>
      </c>
      <c r="S497" t="s">
        <v>69</v>
      </c>
    </row>
    <row r="498" spans="1:19" x14ac:dyDescent="0.35">
      <c r="A498">
        <v>44081</v>
      </c>
      <c r="B498" t="str">
        <f>"044081"</f>
        <v>044081</v>
      </c>
      <c r="C498" t="s">
        <v>2318</v>
      </c>
      <c r="D498" t="s">
        <v>49</v>
      </c>
      <c r="E498" t="s">
        <v>50</v>
      </c>
      <c r="F498" t="s">
        <v>51</v>
      </c>
      <c r="G498" t="s">
        <v>212</v>
      </c>
      <c r="H498" t="s">
        <v>2319</v>
      </c>
      <c r="I498" t="s">
        <v>2320</v>
      </c>
      <c r="J498" t="s">
        <v>215</v>
      </c>
      <c r="K498" t="s">
        <v>55</v>
      </c>
      <c r="L498" t="s">
        <v>2321</v>
      </c>
      <c r="M498" t="s">
        <v>57</v>
      </c>
      <c r="N498" t="str">
        <f t="shared" si="0"/>
        <v>050765</v>
      </c>
      <c r="O498" t="s">
        <v>58</v>
      </c>
      <c r="P498" t="s">
        <v>281</v>
      </c>
      <c r="Q498">
        <v>74.2</v>
      </c>
      <c r="R498">
        <v>92.5</v>
      </c>
      <c r="S498" t="s">
        <v>217</v>
      </c>
    </row>
    <row r="499" spans="1:19" x14ac:dyDescent="0.35">
      <c r="A499">
        <v>44578</v>
      </c>
      <c r="B499" t="str">
        <f>"044578"</f>
        <v>044578</v>
      </c>
      <c r="C499" t="s">
        <v>2322</v>
      </c>
      <c r="D499" t="s">
        <v>49</v>
      </c>
      <c r="E499" t="s">
        <v>50</v>
      </c>
      <c r="F499" t="s">
        <v>51</v>
      </c>
      <c r="G499" t="s">
        <v>212</v>
      </c>
      <c r="H499" t="s">
        <v>2323</v>
      </c>
      <c r="I499" t="s">
        <v>2324</v>
      </c>
      <c r="J499" t="s">
        <v>2325</v>
      </c>
      <c r="K499" t="s">
        <v>55</v>
      </c>
      <c r="L499" t="s">
        <v>2326</v>
      </c>
      <c r="M499" t="s">
        <v>57</v>
      </c>
      <c r="N499" t="str">
        <f t="shared" si="0"/>
        <v>050765</v>
      </c>
      <c r="O499" t="s">
        <v>58</v>
      </c>
      <c r="P499" t="s">
        <v>281</v>
      </c>
      <c r="Q499">
        <v>98.5</v>
      </c>
      <c r="R499">
        <v>36.4</v>
      </c>
      <c r="S499" t="s">
        <v>217</v>
      </c>
    </row>
    <row r="500" spans="1:19" x14ac:dyDescent="0.35">
      <c r="A500">
        <v>45286</v>
      </c>
      <c r="B500" t="str">
        <f>"045286"</f>
        <v>045286</v>
      </c>
      <c r="C500" t="s">
        <v>2327</v>
      </c>
      <c r="D500" t="s">
        <v>49</v>
      </c>
      <c r="E500" t="s">
        <v>50</v>
      </c>
      <c r="F500" t="s">
        <v>51</v>
      </c>
      <c r="G500" t="s">
        <v>63</v>
      </c>
      <c r="H500" t="s">
        <v>2328</v>
      </c>
      <c r="I500" t="s">
        <v>2329</v>
      </c>
      <c r="J500" t="s">
        <v>1049</v>
      </c>
      <c r="K500" t="s">
        <v>55</v>
      </c>
      <c r="L500" t="s">
        <v>2330</v>
      </c>
      <c r="M500" t="s">
        <v>57</v>
      </c>
      <c r="N500" t="str">
        <f t="shared" si="0"/>
        <v>050765</v>
      </c>
      <c r="O500" t="s">
        <v>58</v>
      </c>
      <c r="P500" t="s">
        <v>59</v>
      </c>
      <c r="Q500">
        <v>3.8</v>
      </c>
      <c r="R500">
        <v>9.4000000000000057</v>
      </c>
      <c r="S500" t="s">
        <v>69</v>
      </c>
    </row>
    <row r="501" spans="1:19" x14ac:dyDescent="0.35">
      <c r="A501">
        <v>44792</v>
      </c>
      <c r="B501" t="str">
        <f>"044792"</f>
        <v>044792</v>
      </c>
      <c r="C501" t="s">
        <v>2331</v>
      </c>
      <c r="D501" t="s">
        <v>49</v>
      </c>
      <c r="E501" t="s">
        <v>50</v>
      </c>
      <c r="F501" t="s">
        <v>51</v>
      </c>
      <c r="G501" t="s">
        <v>63</v>
      </c>
      <c r="H501" t="s">
        <v>2332</v>
      </c>
      <c r="I501" t="s">
        <v>2333</v>
      </c>
      <c r="J501" t="s">
        <v>2334</v>
      </c>
      <c r="K501" t="s">
        <v>55</v>
      </c>
      <c r="L501" t="s">
        <v>286</v>
      </c>
      <c r="M501" t="s">
        <v>57</v>
      </c>
      <c r="N501" t="str">
        <f t="shared" si="0"/>
        <v>050765</v>
      </c>
      <c r="O501" t="s">
        <v>58</v>
      </c>
      <c r="P501" t="s">
        <v>59</v>
      </c>
      <c r="Q501">
        <v>58.7</v>
      </c>
      <c r="R501">
        <v>87.5</v>
      </c>
      <c r="S501" t="s">
        <v>69</v>
      </c>
    </row>
    <row r="502" spans="1:19" x14ac:dyDescent="0.35">
      <c r="A502">
        <v>62026</v>
      </c>
      <c r="B502" t="str">
        <f>"062026"</f>
        <v>062026</v>
      </c>
      <c r="C502" t="s">
        <v>2335</v>
      </c>
      <c r="D502" t="s">
        <v>49</v>
      </c>
      <c r="E502" t="s">
        <v>163</v>
      </c>
      <c r="F502" t="s">
        <v>51</v>
      </c>
      <c r="G502" t="s">
        <v>117</v>
      </c>
      <c r="H502" t="s">
        <v>1892</v>
      </c>
      <c r="I502" t="s">
        <v>1893</v>
      </c>
      <c r="J502" t="s">
        <v>977</v>
      </c>
      <c r="K502" t="s">
        <v>55</v>
      </c>
      <c r="L502" t="s">
        <v>978</v>
      </c>
      <c r="M502" t="s">
        <v>57</v>
      </c>
      <c r="N502" t="str">
        <f t="shared" si="0"/>
        <v>050765</v>
      </c>
      <c r="O502" t="s">
        <v>58</v>
      </c>
      <c r="P502" t="s">
        <v>68</v>
      </c>
      <c r="Q502" t="s">
        <v>68</v>
      </c>
      <c r="R502" t="s">
        <v>68</v>
      </c>
      <c r="S502" t="s">
        <v>77</v>
      </c>
    </row>
    <row r="503" spans="1:19" x14ac:dyDescent="0.35">
      <c r="A503">
        <v>46995</v>
      </c>
      <c r="B503" t="str">
        <f>"046995"</f>
        <v>046995</v>
      </c>
      <c r="C503" t="s">
        <v>2336</v>
      </c>
      <c r="D503" t="s">
        <v>49</v>
      </c>
      <c r="E503" t="s">
        <v>50</v>
      </c>
      <c r="F503" t="s">
        <v>51</v>
      </c>
      <c r="G503" t="s">
        <v>600</v>
      </c>
      <c r="H503" t="s">
        <v>2337</v>
      </c>
      <c r="I503" t="s">
        <v>2338</v>
      </c>
      <c r="J503" t="s">
        <v>2339</v>
      </c>
      <c r="K503" t="s">
        <v>55</v>
      </c>
      <c r="L503" t="s">
        <v>2340</v>
      </c>
      <c r="M503" t="s">
        <v>57</v>
      </c>
      <c r="N503" t="str">
        <f>"046938"</f>
        <v>046938</v>
      </c>
      <c r="O503" t="s">
        <v>1029</v>
      </c>
      <c r="P503" t="s">
        <v>59</v>
      </c>
      <c r="Q503">
        <v>9.6999999999999993</v>
      </c>
      <c r="R503">
        <v>36</v>
      </c>
      <c r="S503" t="s">
        <v>60</v>
      </c>
    </row>
    <row r="504" spans="1:19" x14ac:dyDescent="0.35">
      <c r="A504">
        <v>48801</v>
      </c>
      <c r="B504" t="str">
        <f>"048801"</f>
        <v>048801</v>
      </c>
      <c r="C504" t="s">
        <v>405</v>
      </c>
      <c r="D504" t="s">
        <v>49</v>
      </c>
      <c r="E504" t="s">
        <v>50</v>
      </c>
      <c r="F504" t="s">
        <v>51</v>
      </c>
      <c r="G504" t="s">
        <v>1359</v>
      </c>
      <c r="H504" t="s">
        <v>2341</v>
      </c>
      <c r="I504" t="s">
        <v>2342</v>
      </c>
      <c r="J504" t="s">
        <v>2343</v>
      </c>
      <c r="K504" t="s">
        <v>55</v>
      </c>
      <c r="L504" t="s">
        <v>2344</v>
      </c>
      <c r="M504" t="s">
        <v>57</v>
      </c>
      <c r="N504" t="str">
        <f>"123521"</f>
        <v>123521</v>
      </c>
      <c r="O504" t="s">
        <v>570</v>
      </c>
      <c r="P504" t="s">
        <v>76</v>
      </c>
      <c r="Q504">
        <v>25.9</v>
      </c>
      <c r="R504">
        <v>6.4000000000000057</v>
      </c>
      <c r="S504" t="s">
        <v>60</v>
      </c>
    </row>
    <row r="505" spans="1:19" x14ac:dyDescent="0.35">
      <c r="A505">
        <v>44420</v>
      </c>
      <c r="B505" t="str">
        <f>"044420"</f>
        <v>044420</v>
      </c>
      <c r="C505" t="s">
        <v>2345</v>
      </c>
      <c r="D505" t="s">
        <v>49</v>
      </c>
      <c r="E505" t="s">
        <v>50</v>
      </c>
      <c r="F505" t="s">
        <v>51</v>
      </c>
      <c r="G505" t="s">
        <v>901</v>
      </c>
      <c r="H505" t="s">
        <v>2346</v>
      </c>
      <c r="I505" t="s">
        <v>2347</v>
      </c>
      <c r="J505" t="s">
        <v>904</v>
      </c>
      <c r="K505" t="s">
        <v>55</v>
      </c>
      <c r="L505" t="s">
        <v>905</v>
      </c>
      <c r="M505" t="s">
        <v>57</v>
      </c>
      <c r="N505" t="str">
        <f>"050765"</f>
        <v>050765</v>
      </c>
      <c r="O505" t="s">
        <v>58</v>
      </c>
      <c r="P505" t="s">
        <v>84</v>
      </c>
      <c r="Q505">
        <v>48.4</v>
      </c>
      <c r="R505">
        <v>9.7999999999999972</v>
      </c>
      <c r="S505" t="s">
        <v>60</v>
      </c>
    </row>
    <row r="506" spans="1:19" x14ac:dyDescent="0.35">
      <c r="A506">
        <v>44735</v>
      </c>
      <c r="B506" t="str">
        <f>"044735"</f>
        <v>044735</v>
      </c>
      <c r="C506" t="s">
        <v>2348</v>
      </c>
      <c r="D506" t="s">
        <v>49</v>
      </c>
      <c r="E506" t="s">
        <v>50</v>
      </c>
      <c r="F506" t="s">
        <v>51</v>
      </c>
      <c r="G506" t="s">
        <v>536</v>
      </c>
      <c r="H506" t="s">
        <v>2349</v>
      </c>
      <c r="I506" t="s">
        <v>2350</v>
      </c>
      <c r="J506" t="s">
        <v>2351</v>
      </c>
      <c r="K506" t="s">
        <v>55</v>
      </c>
      <c r="L506" t="s">
        <v>2352</v>
      </c>
      <c r="M506" t="s">
        <v>57</v>
      </c>
      <c r="N506" t="str">
        <f>"050765"</f>
        <v>050765</v>
      </c>
      <c r="O506" t="s">
        <v>58</v>
      </c>
      <c r="P506" t="s">
        <v>84</v>
      </c>
      <c r="Q506">
        <v>74.099999999999994</v>
      </c>
      <c r="R506">
        <v>14.200000000000003</v>
      </c>
      <c r="S506" t="s">
        <v>77</v>
      </c>
    </row>
    <row r="507" spans="1:19" x14ac:dyDescent="0.35">
      <c r="A507">
        <v>45971</v>
      </c>
      <c r="B507" t="str">
        <f>"045971"</f>
        <v>045971</v>
      </c>
      <c r="C507" t="s">
        <v>2353</v>
      </c>
      <c r="D507" t="s">
        <v>49</v>
      </c>
      <c r="E507" t="s">
        <v>50</v>
      </c>
      <c r="F507" t="s">
        <v>51</v>
      </c>
      <c r="G507" t="s">
        <v>554</v>
      </c>
      <c r="H507" t="s">
        <v>2354</v>
      </c>
      <c r="I507" t="s">
        <v>2355</v>
      </c>
      <c r="J507" t="s">
        <v>2356</v>
      </c>
      <c r="K507" t="s">
        <v>55</v>
      </c>
      <c r="L507" t="s">
        <v>2357</v>
      </c>
      <c r="M507" t="s">
        <v>57</v>
      </c>
      <c r="N507" t="str">
        <f>"045930"</f>
        <v>045930</v>
      </c>
      <c r="O507" t="s">
        <v>559</v>
      </c>
      <c r="P507" t="s">
        <v>76</v>
      </c>
      <c r="Q507">
        <v>18.2</v>
      </c>
      <c r="R507">
        <v>3.7999999999999972</v>
      </c>
      <c r="S507" t="s">
        <v>156</v>
      </c>
    </row>
    <row r="508" spans="1:19" x14ac:dyDescent="0.35">
      <c r="A508">
        <v>46441</v>
      </c>
      <c r="B508" t="str">
        <f>"046441"</f>
        <v>046441</v>
      </c>
      <c r="C508" t="s">
        <v>2238</v>
      </c>
      <c r="D508" t="s">
        <v>49</v>
      </c>
      <c r="E508" t="s">
        <v>50</v>
      </c>
      <c r="F508" t="s">
        <v>51</v>
      </c>
      <c r="G508" t="s">
        <v>536</v>
      </c>
      <c r="H508" t="s">
        <v>2358</v>
      </c>
      <c r="I508" t="s">
        <v>2359</v>
      </c>
      <c r="J508" t="s">
        <v>2360</v>
      </c>
      <c r="K508" t="s">
        <v>55</v>
      </c>
      <c r="L508" t="s">
        <v>2361</v>
      </c>
      <c r="M508" t="s">
        <v>57</v>
      </c>
      <c r="N508" t="str">
        <f>"046417"</f>
        <v>046417</v>
      </c>
      <c r="O508" t="s">
        <v>541</v>
      </c>
      <c r="P508" t="s">
        <v>76</v>
      </c>
      <c r="Q508">
        <v>100</v>
      </c>
      <c r="R508">
        <v>6.5</v>
      </c>
      <c r="S508" t="s">
        <v>77</v>
      </c>
    </row>
    <row r="509" spans="1:19" x14ac:dyDescent="0.35">
      <c r="A509">
        <v>46714</v>
      </c>
      <c r="B509" t="str">
        <f>"046714"</f>
        <v>046714</v>
      </c>
      <c r="C509" t="s">
        <v>2362</v>
      </c>
      <c r="D509" t="s">
        <v>49</v>
      </c>
      <c r="E509" t="s">
        <v>50</v>
      </c>
      <c r="F509" t="s">
        <v>51</v>
      </c>
      <c r="G509" t="s">
        <v>2304</v>
      </c>
      <c r="H509" t="s">
        <v>2363</v>
      </c>
      <c r="I509" t="s">
        <v>2364</v>
      </c>
      <c r="J509" t="s">
        <v>2365</v>
      </c>
      <c r="K509" t="s">
        <v>55</v>
      </c>
      <c r="L509" t="s">
        <v>2366</v>
      </c>
      <c r="M509" t="s">
        <v>57</v>
      </c>
      <c r="N509" t="str">
        <f>"124297"</f>
        <v>124297</v>
      </c>
      <c r="O509" t="s">
        <v>349</v>
      </c>
      <c r="P509" t="s">
        <v>76</v>
      </c>
      <c r="Q509">
        <v>34</v>
      </c>
      <c r="R509">
        <v>10.599999999999994</v>
      </c>
      <c r="S509" t="s">
        <v>156</v>
      </c>
    </row>
    <row r="510" spans="1:19" x14ac:dyDescent="0.35">
      <c r="A510">
        <v>46722</v>
      </c>
      <c r="B510" t="str">
        <f>"046722"</f>
        <v>046722</v>
      </c>
      <c r="C510" t="s">
        <v>776</v>
      </c>
      <c r="D510" t="s">
        <v>49</v>
      </c>
      <c r="E510" t="s">
        <v>50</v>
      </c>
      <c r="F510" t="s">
        <v>51</v>
      </c>
      <c r="G510" t="s">
        <v>2304</v>
      </c>
      <c r="H510" t="s">
        <v>2367</v>
      </c>
      <c r="I510" t="s">
        <v>2368</v>
      </c>
      <c r="J510" t="s">
        <v>2304</v>
      </c>
      <c r="K510" t="s">
        <v>55</v>
      </c>
      <c r="L510" t="s">
        <v>2369</v>
      </c>
      <c r="M510" t="s">
        <v>57</v>
      </c>
      <c r="N510" t="str">
        <f>"124297"</f>
        <v>124297</v>
      </c>
      <c r="O510" t="s">
        <v>349</v>
      </c>
      <c r="P510" t="s">
        <v>84</v>
      </c>
      <c r="Q510">
        <v>20.100000000000001</v>
      </c>
      <c r="R510">
        <v>12.599999999999994</v>
      </c>
      <c r="S510" t="s">
        <v>156</v>
      </c>
    </row>
    <row r="511" spans="1:19" x14ac:dyDescent="0.35">
      <c r="A511">
        <v>47548</v>
      </c>
      <c r="B511" t="str">
        <f>"047548"</f>
        <v>047548</v>
      </c>
      <c r="C511" t="s">
        <v>2370</v>
      </c>
      <c r="D511" t="s">
        <v>49</v>
      </c>
      <c r="E511" t="s">
        <v>50</v>
      </c>
      <c r="F511" t="s">
        <v>51</v>
      </c>
      <c r="G511" t="s">
        <v>1187</v>
      </c>
      <c r="H511" t="s">
        <v>2371</v>
      </c>
      <c r="I511" t="s">
        <v>2372</v>
      </c>
      <c r="J511" t="s">
        <v>2373</v>
      </c>
      <c r="K511" t="s">
        <v>55</v>
      </c>
      <c r="L511" t="s">
        <v>2374</v>
      </c>
      <c r="M511" t="s">
        <v>57</v>
      </c>
      <c r="N511" t="str">
        <f>"050260"</f>
        <v>050260</v>
      </c>
      <c r="O511" t="s">
        <v>1170</v>
      </c>
      <c r="P511" t="s">
        <v>76</v>
      </c>
      <c r="Q511">
        <v>53.7</v>
      </c>
      <c r="R511">
        <v>0.79999999999999716</v>
      </c>
      <c r="S511" t="s">
        <v>130</v>
      </c>
    </row>
    <row r="512" spans="1:19" x14ac:dyDescent="0.35">
      <c r="A512">
        <v>49452</v>
      </c>
      <c r="B512" t="str">
        <f>"049452"</f>
        <v>049452</v>
      </c>
      <c r="C512" t="s">
        <v>1934</v>
      </c>
      <c r="D512" t="s">
        <v>49</v>
      </c>
      <c r="E512" t="s">
        <v>50</v>
      </c>
      <c r="F512" t="s">
        <v>51</v>
      </c>
      <c r="G512" t="s">
        <v>663</v>
      </c>
      <c r="H512" t="s">
        <v>1992</v>
      </c>
      <c r="I512" t="s">
        <v>1993</v>
      </c>
      <c r="J512" t="s">
        <v>666</v>
      </c>
      <c r="K512" t="s">
        <v>55</v>
      </c>
      <c r="L512" t="s">
        <v>1994</v>
      </c>
      <c r="M512" t="s">
        <v>57</v>
      </c>
      <c r="N512" t="str">
        <f>"123521"</f>
        <v>123521</v>
      </c>
      <c r="O512" t="s">
        <v>570</v>
      </c>
      <c r="P512" t="s">
        <v>84</v>
      </c>
      <c r="Q512">
        <v>56.6</v>
      </c>
      <c r="R512">
        <v>17.200000000000003</v>
      </c>
      <c r="S512" t="s">
        <v>77</v>
      </c>
    </row>
    <row r="513" spans="1:19" x14ac:dyDescent="0.35">
      <c r="A513">
        <v>46474</v>
      </c>
      <c r="B513" t="str">
        <f>"046474"</f>
        <v>046474</v>
      </c>
      <c r="C513" t="s">
        <v>2375</v>
      </c>
      <c r="D513" t="s">
        <v>49</v>
      </c>
      <c r="E513" t="s">
        <v>50</v>
      </c>
      <c r="F513" t="s">
        <v>51</v>
      </c>
      <c r="G513" t="s">
        <v>1613</v>
      </c>
      <c r="H513" t="s">
        <v>2376</v>
      </c>
      <c r="I513" t="s">
        <v>2377</v>
      </c>
      <c r="J513" t="s">
        <v>2378</v>
      </c>
      <c r="K513" t="s">
        <v>55</v>
      </c>
      <c r="L513" t="s">
        <v>2379</v>
      </c>
      <c r="M513" t="s">
        <v>57</v>
      </c>
      <c r="N513" t="str">
        <f>"125252"</f>
        <v>125252</v>
      </c>
      <c r="O513" t="s">
        <v>90</v>
      </c>
      <c r="P513" t="s">
        <v>76</v>
      </c>
      <c r="Q513">
        <v>51.3</v>
      </c>
      <c r="R513">
        <v>5.2999999999999972</v>
      </c>
      <c r="S513" t="s">
        <v>130</v>
      </c>
    </row>
    <row r="514" spans="1:19" x14ac:dyDescent="0.35">
      <c r="A514">
        <v>45179</v>
      </c>
      <c r="B514" t="str">
        <f>"045179"</f>
        <v>045179</v>
      </c>
      <c r="C514" t="s">
        <v>2380</v>
      </c>
      <c r="D514" t="s">
        <v>49</v>
      </c>
      <c r="E514" t="s">
        <v>50</v>
      </c>
      <c r="F514" t="s">
        <v>51</v>
      </c>
      <c r="G514" t="s">
        <v>674</v>
      </c>
      <c r="H514" t="s">
        <v>2381</v>
      </c>
      <c r="I514" t="s">
        <v>2382</v>
      </c>
      <c r="J514" t="s">
        <v>927</v>
      </c>
      <c r="K514" t="s">
        <v>55</v>
      </c>
      <c r="L514" t="s">
        <v>928</v>
      </c>
      <c r="M514" t="s">
        <v>57</v>
      </c>
      <c r="N514" t="str">
        <f>"050765"</f>
        <v>050765</v>
      </c>
      <c r="O514" t="s">
        <v>58</v>
      </c>
      <c r="P514" t="s">
        <v>281</v>
      </c>
      <c r="Q514">
        <v>99.6</v>
      </c>
      <c r="R514">
        <v>35.099999999999994</v>
      </c>
      <c r="S514" t="s">
        <v>130</v>
      </c>
    </row>
    <row r="515" spans="1:19" x14ac:dyDescent="0.35">
      <c r="A515">
        <v>46318</v>
      </c>
      <c r="B515" t="str">
        <f>"046318"</f>
        <v>046318</v>
      </c>
      <c r="C515" t="s">
        <v>2383</v>
      </c>
      <c r="D515" t="s">
        <v>49</v>
      </c>
      <c r="E515" t="s">
        <v>50</v>
      </c>
      <c r="F515" t="s">
        <v>51</v>
      </c>
      <c r="G515" t="s">
        <v>1041</v>
      </c>
      <c r="H515" t="s">
        <v>2384</v>
      </c>
      <c r="I515" t="s">
        <v>2385</v>
      </c>
      <c r="J515" t="s">
        <v>2157</v>
      </c>
      <c r="K515" t="s">
        <v>55</v>
      </c>
      <c r="L515" t="s">
        <v>2158</v>
      </c>
      <c r="M515" t="s">
        <v>57</v>
      </c>
      <c r="N515" t="str">
        <f>"046292"</f>
        <v>046292</v>
      </c>
      <c r="O515" t="s">
        <v>1045</v>
      </c>
      <c r="P515" t="s">
        <v>76</v>
      </c>
      <c r="Q515">
        <v>42.3</v>
      </c>
      <c r="R515">
        <v>8</v>
      </c>
      <c r="S515" t="s">
        <v>217</v>
      </c>
    </row>
    <row r="516" spans="1:19" x14ac:dyDescent="0.35">
      <c r="A516">
        <v>200119</v>
      </c>
      <c r="B516" t="str">
        <f>"200119"</f>
        <v>200119</v>
      </c>
      <c r="C516" t="s">
        <v>2386</v>
      </c>
      <c r="D516" t="s">
        <v>49</v>
      </c>
      <c r="E516" t="s">
        <v>62</v>
      </c>
      <c r="F516" t="s">
        <v>51</v>
      </c>
      <c r="G516" t="s">
        <v>92</v>
      </c>
      <c r="H516" t="s">
        <v>2387</v>
      </c>
      <c r="I516" t="s">
        <v>2388</v>
      </c>
      <c r="J516" t="s">
        <v>1940</v>
      </c>
      <c r="K516" t="s">
        <v>55</v>
      </c>
      <c r="L516" t="s">
        <v>1941</v>
      </c>
      <c r="M516" t="s">
        <v>57</v>
      </c>
      <c r="N516" t="str">
        <f>"N/A"</f>
        <v>N/A</v>
      </c>
      <c r="O516" t="s">
        <v>49</v>
      </c>
      <c r="P516" t="s">
        <v>68</v>
      </c>
      <c r="Q516" t="s">
        <v>68</v>
      </c>
      <c r="R516" t="s">
        <v>68</v>
      </c>
      <c r="S516" t="s">
        <v>60</v>
      </c>
    </row>
    <row r="517" spans="1:19" x14ac:dyDescent="0.35">
      <c r="A517">
        <v>46045</v>
      </c>
      <c r="B517" t="str">
        <f>"046045"</f>
        <v>046045</v>
      </c>
      <c r="C517" t="s">
        <v>2389</v>
      </c>
      <c r="D517" t="s">
        <v>49</v>
      </c>
      <c r="E517" t="s">
        <v>50</v>
      </c>
      <c r="F517" t="s">
        <v>51</v>
      </c>
      <c r="G517" t="s">
        <v>19</v>
      </c>
      <c r="H517" t="s">
        <v>2390</v>
      </c>
      <c r="I517" t="s">
        <v>2391</v>
      </c>
      <c r="J517" t="s">
        <v>2392</v>
      </c>
      <c r="K517" t="s">
        <v>55</v>
      </c>
      <c r="L517" t="s">
        <v>2393</v>
      </c>
      <c r="M517" t="s">
        <v>57</v>
      </c>
      <c r="N517" t="str">
        <f>"046029"</f>
        <v>046029</v>
      </c>
      <c r="O517" t="s">
        <v>565</v>
      </c>
      <c r="P517" t="s">
        <v>76</v>
      </c>
      <c r="Q517">
        <v>42</v>
      </c>
      <c r="R517">
        <v>5.0999999999999943</v>
      </c>
      <c r="S517" t="s">
        <v>217</v>
      </c>
    </row>
    <row r="518" spans="1:19" x14ac:dyDescent="0.35">
      <c r="A518">
        <v>46300</v>
      </c>
      <c r="B518" t="str">
        <f>"046300"</f>
        <v>046300</v>
      </c>
      <c r="C518" t="s">
        <v>2394</v>
      </c>
      <c r="D518" t="s">
        <v>49</v>
      </c>
      <c r="E518" t="s">
        <v>50</v>
      </c>
      <c r="F518" t="s">
        <v>51</v>
      </c>
      <c r="G518" t="s">
        <v>1041</v>
      </c>
      <c r="H518" t="s">
        <v>2395</v>
      </c>
      <c r="I518" t="s">
        <v>2396</v>
      </c>
      <c r="J518" t="s">
        <v>2025</v>
      </c>
      <c r="K518" t="s">
        <v>55</v>
      </c>
      <c r="L518" t="s">
        <v>2026</v>
      </c>
      <c r="M518" t="s">
        <v>57</v>
      </c>
      <c r="N518" t="str">
        <f>"046292"</f>
        <v>046292</v>
      </c>
      <c r="O518" t="s">
        <v>1045</v>
      </c>
      <c r="P518" t="s">
        <v>84</v>
      </c>
      <c r="Q518">
        <v>40.6</v>
      </c>
      <c r="R518">
        <v>15.5</v>
      </c>
      <c r="S518" t="s">
        <v>217</v>
      </c>
    </row>
    <row r="519" spans="1:19" x14ac:dyDescent="0.35">
      <c r="A519">
        <v>49270</v>
      </c>
      <c r="B519" t="str">
        <f>"049270"</f>
        <v>049270</v>
      </c>
      <c r="C519" t="s">
        <v>2397</v>
      </c>
      <c r="D519" t="s">
        <v>49</v>
      </c>
      <c r="E519" t="s">
        <v>50</v>
      </c>
      <c r="F519" t="s">
        <v>51</v>
      </c>
      <c r="G519" t="s">
        <v>362</v>
      </c>
      <c r="H519" t="s">
        <v>2398</v>
      </c>
      <c r="I519" t="s">
        <v>2399</v>
      </c>
      <c r="J519" t="s">
        <v>2400</v>
      </c>
      <c r="K519" t="s">
        <v>55</v>
      </c>
      <c r="L519" t="s">
        <v>2401</v>
      </c>
      <c r="M519" t="s">
        <v>57</v>
      </c>
      <c r="N519" t="str">
        <f>"049254"</f>
        <v>049254</v>
      </c>
      <c r="O519" t="s">
        <v>367</v>
      </c>
      <c r="P519" t="s">
        <v>76</v>
      </c>
      <c r="Q519">
        <v>46.2</v>
      </c>
      <c r="R519">
        <v>5.9000000000000057</v>
      </c>
      <c r="S519" t="s">
        <v>180</v>
      </c>
    </row>
    <row r="520" spans="1:19" x14ac:dyDescent="0.35">
      <c r="A520">
        <v>200084</v>
      </c>
      <c r="B520" t="str">
        <f>"200084"</f>
        <v>200084</v>
      </c>
      <c r="C520" t="s">
        <v>2402</v>
      </c>
      <c r="D520" t="s">
        <v>49</v>
      </c>
      <c r="E520" t="s">
        <v>62</v>
      </c>
      <c r="F520" t="s">
        <v>51</v>
      </c>
      <c r="G520" t="s">
        <v>318</v>
      </c>
      <c r="H520" t="s">
        <v>2403</v>
      </c>
      <c r="I520" t="s">
        <v>2404</v>
      </c>
      <c r="J520" t="s">
        <v>321</v>
      </c>
      <c r="K520" t="s">
        <v>55</v>
      </c>
      <c r="L520" t="s">
        <v>322</v>
      </c>
      <c r="M520" t="s">
        <v>57</v>
      </c>
      <c r="N520" t="str">
        <f>"N/A"</f>
        <v>N/A</v>
      </c>
      <c r="O520" t="s">
        <v>49</v>
      </c>
      <c r="P520" t="s">
        <v>68</v>
      </c>
      <c r="Q520" t="s">
        <v>68</v>
      </c>
      <c r="R520" t="s">
        <v>68</v>
      </c>
      <c r="S520" t="s">
        <v>130</v>
      </c>
    </row>
    <row r="521" spans="1:19" x14ac:dyDescent="0.35">
      <c r="A521">
        <v>200063</v>
      </c>
      <c r="B521" t="str">
        <f>"200063"</f>
        <v>200063</v>
      </c>
      <c r="C521" t="s">
        <v>2405</v>
      </c>
      <c r="D521" t="s">
        <v>49</v>
      </c>
      <c r="E521" t="s">
        <v>62</v>
      </c>
      <c r="F521" t="s">
        <v>51</v>
      </c>
      <c r="G521" t="s">
        <v>383</v>
      </c>
      <c r="H521" t="s">
        <v>2075</v>
      </c>
      <c r="I521" t="s">
        <v>2076</v>
      </c>
      <c r="J521" t="s">
        <v>1069</v>
      </c>
      <c r="K521" t="s">
        <v>55</v>
      </c>
      <c r="L521" t="s">
        <v>1070</v>
      </c>
      <c r="M521" t="s">
        <v>57</v>
      </c>
      <c r="N521" t="str">
        <f>"N/A"</f>
        <v>N/A</v>
      </c>
      <c r="O521" t="s">
        <v>49</v>
      </c>
      <c r="P521" t="s">
        <v>68</v>
      </c>
      <c r="Q521" t="s">
        <v>68</v>
      </c>
      <c r="R521" t="s">
        <v>68</v>
      </c>
      <c r="S521" t="s">
        <v>77</v>
      </c>
    </row>
    <row r="522" spans="1:19" x14ac:dyDescent="0.35">
      <c r="A522">
        <v>48017</v>
      </c>
      <c r="B522" t="str">
        <f>"048017"</f>
        <v>048017</v>
      </c>
      <c r="C522" t="s">
        <v>2406</v>
      </c>
      <c r="D522" t="s">
        <v>49</v>
      </c>
      <c r="E522" t="s">
        <v>50</v>
      </c>
      <c r="F522" t="s">
        <v>51</v>
      </c>
      <c r="G522" t="s">
        <v>110</v>
      </c>
      <c r="H522" t="s">
        <v>2407</v>
      </c>
      <c r="I522" t="s">
        <v>2408</v>
      </c>
      <c r="J522" t="s">
        <v>671</v>
      </c>
      <c r="K522" t="s">
        <v>55</v>
      </c>
      <c r="L522" t="s">
        <v>672</v>
      </c>
      <c r="M522" t="s">
        <v>57</v>
      </c>
      <c r="N522" t="str">
        <f>"047977"</f>
        <v>047977</v>
      </c>
      <c r="O522" t="s">
        <v>115</v>
      </c>
      <c r="P522" t="s">
        <v>84</v>
      </c>
      <c r="Q522">
        <v>33.700000000000003</v>
      </c>
      <c r="R522">
        <v>5.2999999999999972</v>
      </c>
      <c r="S522" t="s">
        <v>60</v>
      </c>
    </row>
    <row r="523" spans="1:19" x14ac:dyDescent="0.35">
      <c r="A523">
        <v>50641</v>
      </c>
      <c r="B523" t="str">
        <f>"050641"</f>
        <v>050641</v>
      </c>
      <c r="C523" t="s">
        <v>2409</v>
      </c>
      <c r="D523" t="s">
        <v>49</v>
      </c>
      <c r="E523" t="s">
        <v>50</v>
      </c>
      <c r="F523" t="s">
        <v>51</v>
      </c>
      <c r="G523" t="s">
        <v>1118</v>
      </c>
      <c r="H523" t="s">
        <v>2410</v>
      </c>
      <c r="I523" t="s">
        <v>2411</v>
      </c>
      <c r="J523" t="s">
        <v>2412</v>
      </c>
      <c r="K523" t="s">
        <v>55</v>
      </c>
      <c r="L523" t="s">
        <v>2413</v>
      </c>
      <c r="M523" t="s">
        <v>57</v>
      </c>
      <c r="N523" t="str">
        <f>"124297"</f>
        <v>124297</v>
      </c>
      <c r="O523" t="s">
        <v>349</v>
      </c>
      <c r="P523" t="s">
        <v>76</v>
      </c>
      <c r="Q523">
        <v>24</v>
      </c>
      <c r="R523">
        <v>11.700000000000003</v>
      </c>
      <c r="S523" t="s">
        <v>156</v>
      </c>
    </row>
    <row r="524" spans="1:19" x14ac:dyDescent="0.35">
      <c r="A524">
        <v>200062</v>
      </c>
      <c r="B524" t="str">
        <f>"200062"</f>
        <v>200062</v>
      </c>
      <c r="C524" t="s">
        <v>2414</v>
      </c>
      <c r="D524" t="s">
        <v>49</v>
      </c>
      <c r="E524" t="s">
        <v>62</v>
      </c>
      <c r="F524" t="s">
        <v>51</v>
      </c>
      <c r="G524" t="s">
        <v>200</v>
      </c>
      <c r="H524" t="s">
        <v>1554</v>
      </c>
      <c r="I524" t="s">
        <v>1555</v>
      </c>
      <c r="J524" t="s">
        <v>304</v>
      </c>
      <c r="K524" t="s">
        <v>55</v>
      </c>
      <c r="L524" t="s">
        <v>305</v>
      </c>
      <c r="M524" t="s">
        <v>57</v>
      </c>
      <c r="N524" t="str">
        <f>"N/A"</f>
        <v>N/A</v>
      </c>
      <c r="O524" t="s">
        <v>49</v>
      </c>
      <c r="P524" t="s">
        <v>68</v>
      </c>
      <c r="Q524" t="s">
        <v>68</v>
      </c>
      <c r="R524" t="s">
        <v>68</v>
      </c>
      <c r="S524" t="s">
        <v>156</v>
      </c>
    </row>
    <row r="525" spans="1:19" x14ac:dyDescent="0.35">
      <c r="A525">
        <v>44867</v>
      </c>
      <c r="B525" t="str">
        <f>"044867"</f>
        <v>044867</v>
      </c>
      <c r="C525" t="s">
        <v>2415</v>
      </c>
      <c r="D525" t="s">
        <v>49</v>
      </c>
      <c r="E525" t="s">
        <v>50</v>
      </c>
      <c r="F525" t="s">
        <v>51</v>
      </c>
      <c r="G525" t="s">
        <v>212</v>
      </c>
      <c r="H525" t="s">
        <v>2416</v>
      </c>
      <c r="I525" t="s">
        <v>2417</v>
      </c>
      <c r="J525" t="s">
        <v>2418</v>
      </c>
      <c r="K525" t="s">
        <v>55</v>
      </c>
      <c r="L525" t="s">
        <v>2419</v>
      </c>
      <c r="M525" t="s">
        <v>57</v>
      </c>
      <c r="N525" t="str">
        <f>"050765"</f>
        <v>050765</v>
      </c>
      <c r="O525" t="s">
        <v>58</v>
      </c>
      <c r="P525" t="s">
        <v>59</v>
      </c>
      <c r="Q525">
        <v>12</v>
      </c>
      <c r="R525">
        <v>37.700000000000003</v>
      </c>
      <c r="S525" t="s">
        <v>217</v>
      </c>
    </row>
    <row r="526" spans="1:19" x14ac:dyDescent="0.35">
      <c r="A526">
        <v>46102</v>
      </c>
      <c r="B526" t="str">
        <f>"046102"</f>
        <v>046102</v>
      </c>
      <c r="C526" t="s">
        <v>2420</v>
      </c>
      <c r="D526" t="s">
        <v>49</v>
      </c>
      <c r="E526" t="s">
        <v>50</v>
      </c>
      <c r="F526" t="s">
        <v>51</v>
      </c>
      <c r="G526" t="s">
        <v>244</v>
      </c>
      <c r="H526" t="s">
        <v>2421</v>
      </c>
      <c r="I526" t="s">
        <v>2422</v>
      </c>
      <c r="J526" t="s">
        <v>92</v>
      </c>
      <c r="K526" t="s">
        <v>55</v>
      </c>
      <c r="L526" t="s">
        <v>2423</v>
      </c>
      <c r="M526" t="s">
        <v>57</v>
      </c>
      <c r="N526" t="str">
        <f>"050765"</f>
        <v>050765</v>
      </c>
      <c r="O526" t="s">
        <v>58</v>
      </c>
      <c r="P526" t="s">
        <v>59</v>
      </c>
      <c r="Q526">
        <v>48.1</v>
      </c>
      <c r="R526">
        <v>54.8</v>
      </c>
      <c r="S526" t="s">
        <v>217</v>
      </c>
    </row>
    <row r="527" spans="1:19" x14ac:dyDescent="0.35">
      <c r="A527">
        <v>48041</v>
      </c>
      <c r="B527" t="str">
        <f>"048041"</f>
        <v>048041</v>
      </c>
      <c r="C527" t="s">
        <v>2424</v>
      </c>
      <c r="D527" t="s">
        <v>49</v>
      </c>
      <c r="E527" t="s">
        <v>50</v>
      </c>
      <c r="F527" t="s">
        <v>51</v>
      </c>
      <c r="G527" t="s">
        <v>110</v>
      </c>
      <c r="H527" t="s">
        <v>2425</v>
      </c>
      <c r="I527" t="s">
        <v>2426</v>
      </c>
      <c r="J527" t="s">
        <v>1027</v>
      </c>
      <c r="K527" t="s">
        <v>55</v>
      </c>
      <c r="L527" t="s">
        <v>1028</v>
      </c>
      <c r="M527" t="s">
        <v>57</v>
      </c>
      <c r="N527" t="str">
        <f>"047977"</f>
        <v>047977</v>
      </c>
      <c r="O527" t="s">
        <v>115</v>
      </c>
      <c r="P527" t="s">
        <v>59</v>
      </c>
      <c r="Q527">
        <v>30.9</v>
      </c>
      <c r="R527">
        <v>25.200000000000003</v>
      </c>
      <c r="S527" t="s">
        <v>60</v>
      </c>
    </row>
    <row r="528" spans="1:19" x14ac:dyDescent="0.35">
      <c r="A528">
        <v>51144</v>
      </c>
      <c r="B528" t="str">
        <f>"051144"</f>
        <v>051144</v>
      </c>
      <c r="C528" t="s">
        <v>2427</v>
      </c>
      <c r="D528" t="s">
        <v>49</v>
      </c>
      <c r="E528" t="s">
        <v>163</v>
      </c>
      <c r="F528" t="s">
        <v>51</v>
      </c>
      <c r="G528" t="s">
        <v>901</v>
      </c>
      <c r="H528" t="s">
        <v>902</v>
      </c>
      <c r="I528" t="s">
        <v>903</v>
      </c>
      <c r="J528" t="s">
        <v>904</v>
      </c>
      <c r="K528" t="s">
        <v>55</v>
      </c>
      <c r="L528" t="s">
        <v>905</v>
      </c>
      <c r="M528" t="s">
        <v>57</v>
      </c>
      <c r="N528" t="str">
        <f>"050765"</f>
        <v>050765</v>
      </c>
      <c r="O528" t="s">
        <v>58</v>
      </c>
      <c r="P528" t="s">
        <v>68</v>
      </c>
      <c r="Q528" t="s">
        <v>68</v>
      </c>
      <c r="R528" t="s">
        <v>68</v>
      </c>
      <c r="S528" t="s">
        <v>60</v>
      </c>
    </row>
    <row r="529" spans="1:19" x14ac:dyDescent="0.35">
      <c r="A529">
        <v>200006</v>
      </c>
      <c r="B529" t="str">
        <f>"200006"</f>
        <v>200006</v>
      </c>
      <c r="C529" t="s">
        <v>2428</v>
      </c>
      <c r="D529" t="s">
        <v>49</v>
      </c>
      <c r="E529" t="s">
        <v>62</v>
      </c>
      <c r="F529" t="s">
        <v>51</v>
      </c>
      <c r="G529" t="s">
        <v>233</v>
      </c>
      <c r="H529" t="s">
        <v>2429</v>
      </c>
      <c r="I529" t="s">
        <v>2430</v>
      </c>
      <c r="J529" t="s">
        <v>236</v>
      </c>
      <c r="K529" t="s">
        <v>55</v>
      </c>
      <c r="L529" t="s">
        <v>237</v>
      </c>
      <c r="M529" t="s">
        <v>57</v>
      </c>
      <c r="N529" t="str">
        <f>"N/A"</f>
        <v>N/A</v>
      </c>
      <c r="O529" t="s">
        <v>49</v>
      </c>
      <c r="P529" t="s">
        <v>68</v>
      </c>
      <c r="Q529" t="s">
        <v>68</v>
      </c>
      <c r="R529" t="s">
        <v>68</v>
      </c>
      <c r="S529" t="s">
        <v>130</v>
      </c>
    </row>
    <row r="530" spans="1:19" x14ac:dyDescent="0.35">
      <c r="A530">
        <v>44917</v>
      </c>
      <c r="B530" t="str">
        <f>"044917"</f>
        <v>044917</v>
      </c>
      <c r="C530" t="s">
        <v>2431</v>
      </c>
      <c r="D530" t="s">
        <v>49</v>
      </c>
      <c r="E530" t="s">
        <v>50</v>
      </c>
      <c r="F530" t="s">
        <v>51</v>
      </c>
      <c r="G530" t="s">
        <v>135</v>
      </c>
      <c r="H530" t="s">
        <v>2432</v>
      </c>
      <c r="I530" t="s">
        <v>2433</v>
      </c>
      <c r="J530" t="s">
        <v>2434</v>
      </c>
      <c r="K530" t="s">
        <v>55</v>
      </c>
      <c r="L530" t="s">
        <v>2435</v>
      </c>
      <c r="M530" t="s">
        <v>57</v>
      </c>
      <c r="N530" t="str">
        <f>"050765"</f>
        <v>050765</v>
      </c>
      <c r="O530" t="s">
        <v>58</v>
      </c>
      <c r="P530" t="s">
        <v>84</v>
      </c>
      <c r="Q530">
        <v>47.2</v>
      </c>
      <c r="R530">
        <v>9.7000000000000028</v>
      </c>
      <c r="S530" t="s">
        <v>130</v>
      </c>
    </row>
    <row r="531" spans="1:19" x14ac:dyDescent="0.35">
      <c r="A531">
        <v>49106</v>
      </c>
      <c r="B531" t="str">
        <f>"049106"</f>
        <v>049106</v>
      </c>
      <c r="C531" t="s">
        <v>2436</v>
      </c>
      <c r="D531" t="s">
        <v>49</v>
      </c>
      <c r="E531" t="s">
        <v>50</v>
      </c>
      <c r="F531" t="s">
        <v>51</v>
      </c>
      <c r="G531" t="s">
        <v>1567</v>
      </c>
      <c r="H531" t="s">
        <v>2437</v>
      </c>
      <c r="I531" t="s">
        <v>2438</v>
      </c>
      <c r="J531" t="s">
        <v>2439</v>
      </c>
      <c r="K531" t="s">
        <v>55</v>
      </c>
      <c r="L531" t="s">
        <v>2440</v>
      </c>
      <c r="M531" t="s">
        <v>57</v>
      </c>
      <c r="N531" t="str">
        <f>"049072"</f>
        <v>049072</v>
      </c>
      <c r="O531" t="s">
        <v>1572</v>
      </c>
      <c r="P531" t="s">
        <v>76</v>
      </c>
      <c r="Q531">
        <v>41</v>
      </c>
      <c r="R531">
        <v>5.7999999999999972</v>
      </c>
      <c r="S531" t="s">
        <v>60</v>
      </c>
    </row>
    <row r="532" spans="1:19" x14ac:dyDescent="0.35">
      <c r="A532">
        <v>44289</v>
      </c>
      <c r="B532" t="str">
        <f>"044289"</f>
        <v>044289</v>
      </c>
      <c r="C532" t="s">
        <v>2441</v>
      </c>
      <c r="D532" t="s">
        <v>49</v>
      </c>
      <c r="E532" t="s">
        <v>50</v>
      </c>
      <c r="F532" t="s">
        <v>51</v>
      </c>
      <c r="G532" t="s">
        <v>212</v>
      </c>
      <c r="H532" t="s">
        <v>2442</v>
      </c>
      <c r="I532" t="s">
        <v>2443</v>
      </c>
      <c r="J532" t="s">
        <v>215</v>
      </c>
      <c r="K532" t="s">
        <v>55</v>
      </c>
      <c r="L532" t="s">
        <v>216</v>
      </c>
      <c r="M532" t="s">
        <v>57</v>
      </c>
      <c r="N532" t="str">
        <f>"050765"</f>
        <v>050765</v>
      </c>
      <c r="O532" t="s">
        <v>58</v>
      </c>
      <c r="P532" t="s">
        <v>59</v>
      </c>
      <c r="Q532">
        <v>6.3</v>
      </c>
      <c r="R532">
        <v>14.799999999999997</v>
      </c>
      <c r="S532" t="s">
        <v>217</v>
      </c>
    </row>
    <row r="533" spans="1:19" x14ac:dyDescent="0.35">
      <c r="A533">
        <v>47241</v>
      </c>
      <c r="B533" t="str">
        <f>"047241"</f>
        <v>047241</v>
      </c>
      <c r="C533" t="s">
        <v>2444</v>
      </c>
      <c r="D533" t="s">
        <v>49</v>
      </c>
      <c r="E533" t="s">
        <v>50</v>
      </c>
      <c r="F533" t="s">
        <v>51</v>
      </c>
      <c r="G533" t="s">
        <v>642</v>
      </c>
      <c r="H533" t="s">
        <v>2445</v>
      </c>
      <c r="I533" t="s">
        <v>2446</v>
      </c>
      <c r="J533" t="s">
        <v>2447</v>
      </c>
      <c r="K533" t="s">
        <v>55</v>
      </c>
      <c r="L533" t="s">
        <v>688</v>
      </c>
      <c r="M533" t="s">
        <v>57</v>
      </c>
      <c r="N533" t="str">
        <f>"050765"</f>
        <v>050765</v>
      </c>
      <c r="O533" t="s">
        <v>58</v>
      </c>
      <c r="P533" t="s">
        <v>59</v>
      </c>
      <c r="Q533">
        <v>14.3</v>
      </c>
      <c r="R533">
        <v>19.700000000000003</v>
      </c>
      <c r="S533" t="s">
        <v>180</v>
      </c>
    </row>
    <row r="534" spans="1:19" x14ac:dyDescent="0.35">
      <c r="A534">
        <v>48306</v>
      </c>
      <c r="B534" t="str">
        <f>"048306"</f>
        <v>048306</v>
      </c>
      <c r="C534" t="s">
        <v>2448</v>
      </c>
      <c r="D534" t="s">
        <v>49</v>
      </c>
      <c r="E534" t="s">
        <v>50</v>
      </c>
      <c r="F534" t="s">
        <v>51</v>
      </c>
      <c r="G534" t="s">
        <v>383</v>
      </c>
      <c r="H534" t="s">
        <v>2449</v>
      </c>
      <c r="I534" t="s">
        <v>2450</v>
      </c>
      <c r="J534" t="s">
        <v>1215</v>
      </c>
      <c r="K534" t="s">
        <v>55</v>
      </c>
      <c r="L534" t="s">
        <v>2451</v>
      </c>
      <c r="M534" t="s">
        <v>57</v>
      </c>
      <c r="N534" t="str">
        <f>"048280"</f>
        <v>048280</v>
      </c>
      <c r="O534" t="s">
        <v>388</v>
      </c>
      <c r="P534" t="s">
        <v>59</v>
      </c>
      <c r="Q534">
        <v>47.6</v>
      </c>
      <c r="R534">
        <v>29.700000000000003</v>
      </c>
      <c r="S534" t="s">
        <v>77</v>
      </c>
    </row>
    <row r="535" spans="1:19" x14ac:dyDescent="0.35">
      <c r="A535">
        <v>50922</v>
      </c>
      <c r="B535" t="str">
        <f>"050922"</f>
        <v>050922</v>
      </c>
      <c r="C535" t="s">
        <v>2452</v>
      </c>
      <c r="D535" t="s">
        <v>49</v>
      </c>
      <c r="E535" t="s">
        <v>163</v>
      </c>
      <c r="F535" t="s">
        <v>51</v>
      </c>
      <c r="G535" t="s">
        <v>63</v>
      </c>
      <c r="H535" t="s">
        <v>764</v>
      </c>
      <c r="I535" t="s">
        <v>765</v>
      </c>
      <c r="J535" t="s">
        <v>140</v>
      </c>
      <c r="K535" t="s">
        <v>55</v>
      </c>
      <c r="L535" t="s">
        <v>141</v>
      </c>
      <c r="M535" t="s">
        <v>57</v>
      </c>
      <c r="N535" t="str">
        <f>"050765"</f>
        <v>050765</v>
      </c>
      <c r="O535" t="s">
        <v>58</v>
      </c>
      <c r="P535" t="s">
        <v>68</v>
      </c>
      <c r="Q535" t="s">
        <v>68</v>
      </c>
      <c r="R535" t="s">
        <v>68</v>
      </c>
      <c r="S535" t="s">
        <v>69</v>
      </c>
    </row>
    <row r="536" spans="1:19" x14ac:dyDescent="0.35">
      <c r="A536">
        <v>44339</v>
      </c>
      <c r="B536" t="str">
        <f>"044339"</f>
        <v>044339</v>
      </c>
      <c r="C536" t="s">
        <v>2453</v>
      </c>
      <c r="D536" t="s">
        <v>49</v>
      </c>
      <c r="E536" t="s">
        <v>50</v>
      </c>
      <c r="F536" t="s">
        <v>51</v>
      </c>
      <c r="G536" t="s">
        <v>312</v>
      </c>
      <c r="H536" t="s">
        <v>2454</v>
      </c>
      <c r="I536" t="s">
        <v>2455</v>
      </c>
      <c r="J536" t="s">
        <v>312</v>
      </c>
      <c r="K536" t="s">
        <v>55</v>
      </c>
      <c r="L536" t="s">
        <v>315</v>
      </c>
      <c r="M536" t="s">
        <v>57</v>
      </c>
      <c r="N536" t="str">
        <f>"050765"</f>
        <v>050765</v>
      </c>
      <c r="O536" t="s">
        <v>58</v>
      </c>
      <c r="P536" t="s">
        <v>281</v>
      </c>
      <c r="Q536">
        <v>100</v>
      </c>
      <c r="R536">
        <v>28.299999999999997</v>
      </c>
      <c r="S536" t="s">
        <v>156</v>
      </c>
    </row>
    <row r="537" spans="1:19" x14ac:dyDescent="0.35">
      <c r="A537">
        <v>44370</v>
      </c>
      <c r="B537" t="str">
        <f>"044370"</f>
        <v>044370</v>
      </c>
      <c r="C537" t="s">
        <v>2456</v>
      </c>
      <c r="D537" t="s">
        <v>49</v>
      </c>
      <c r="E537" t="s">
        <v>50</v>
      </c>
      <c r="F537" t="s">
        <v>51</v>
      </c>
      <c r="G537" t="s">
        <v>63</v>
      </c>
      <c r="H537" t="s">
        <v>2457</v>
      </c>
      <c r="I537" t="s">
        <v>2458</v>
      </c>
      <c r="J537" t="s">
        <v>2459</v>
      </c>
      <c r="K537" t="s">
        <v>55</v>
      </c>
      <c r="L537" t="s">
        <v>286</v>
      </c>
      <c r="M537" t="s">
        <v>57</v>
      </c>
      <c r="N537" t="str">
        <f>"050765"</f>
        <v>050765</v>
      </c>
      <c r="O537" t="s">
        <v>58</v>
      </c>
      <c r="P537" t="s">
        <v>59</v>
      </c>
      <c r="Q537">
        <v>28.2</v>
      </c>
      <c r="R537">
        <v>40.6</v>
      </c>
      <c r="S537" t="s">
        <v>69</v>
      </c>
    </row>
    <row r="538" spans="1:19" x14ac:dyDescent="0.35">
      <c r="A538">
        <v>49940</v>
      </c>
      <c r="B538" t="str">
        <f>"049940"</f>
        <v>049940</v>
      </c>
      <c r="C538" t="s">
        <v>2460</v>
      </c>
      <c r="D538" t="s">
        <v>49</v>
      </c>
      <c r="E538" t="s">
        <v>50</v>
      </c>
      <c r="F538" t="s">
        <v>51</v>
      </c>
      <c r="G538" t="s">
        <v>117</v>
      </c>
      <c r="H538" t="s">
        <v>2461</v>
      </c>
      <c r="I538" t="s">
        <v>2462</v>
      </c>
      <c r="J538" t="s">
        <v>2463</v>
      </c>
      <c r="K538" t="s">
        <v>55</v>
      </c>
      <c r="L538" t="s">
        <v>2464</v>
      </c>
      <c r="M538" t="s">
        <v>57</v>
      </c>
      <c r="N538" t="str">
        <f>"049825"</f>
        <v>049825</v>
      </c>
      <c r="O538" t="s">
        <v>122</v>
      </c>
      <c r="P538" t="s">
        <v>76</v>
      </c>
      <c r="Q538">
        <v>43.8</v>
      </c>
      <c r="R538">
        <v>5.9000000000000057</v>
      </c>
      <c r="S538" t="s">
        <v>77</v>
      </c>
    </row>
    <row r="539" spans="1:19" x14ac:dyDescent="0.35">
      <c r="A539">
        <v>52514</v>
      </c>
      <c r="B539" t="str">
        <f>"052514"</f>
        <v>052514</v>
      </c>
      <c r="C539" t="s">
        <v>2465</v>
      </c>
      <c r="D539" t="s">
        <v>49</v>
      </c>
      <c r="E539" t="s">
        <v>606</v>
      </c>
      <c r="F539" t="s">
        <v>51</v>
      </c>
      <c r="G539" t="s">
        <v>212</v>
      </c>
      <c r="H539" t="s">
        <v>2466</v>
      </c>
      <c r="I539" t="s">
        <v>2467</v>
      </c>
      <c r="J539" t="s">
        <v>215</v>
      </c>
      <c r="K539" t="s">
        <v>55</v>
      </c>
      <c r="L539" t="s">
        <v>2468</v>
      </c>
      <c r="M539" t="s">
        <v>57</v>
      </c>
      <c r="N539" t="str">
        <f>"052506"</f>
        <v>052506</v>
      </c>
      <c r="O539" t="s">
        <v>610</v>
      </c>
      <c r="P539" t="s">
        <v>68</v>
      </c>
      <c r="Q539" t="s">
        <v>68</v>
      </c>
      <c r="R539" t="s">
        <v>68</v>
      </c>
      <c r="S539" t="s">
        <v>217</v>
      </c>
    </row>
    <row r="540" spans="1:19" x14ac:dyDescent="0.35">
      <c r="A540">
        <v>200115</v>
      </c>
      <c r="B540" t="str">
        <f>"200115"</f>
        <v>200115</v>
      </c>
      <c r="C540" t="s">
        <v>2469</v>
      </c>
      <c r="D540" t="s">
        <v>49</v>
      </c>
      <c r="E540" t="s">
        <v>62</v>
      </c>
      <c r="F540" t="s">
        <v>51</v>
      </c>
      <c r="G540" t="s">
        <v>117</v>
      </c>
      <c r="H540" t="s">
        <v>2470</v>
      </c>
      <c r="I540" t="s">
        <v>2471</v>
      </c>
      <c r="J540" t="s">
        <v>1409</v>
      </c>
      <c r="K540" t="s">
        <v>55</v>
      </c>
      <c r="L540" t="s">
        <v>1986</v>
      </c>
      <c r="M540" t="s">
        <v>57</v>
      </c>
      <c r="N540" t="str">
        <f>"N/A"</f>
        <v>N/A</v>
      </c>
      <c r="O540" t="s">
        <v>49</v>
      </c>
      <c r="P540" t="s">
        <v>68</v>
      </c>
      <c r="Q540" t="s">
        <v>68</v>
      </c>
      <c r="R540" t="s">
        <v>68</v>
      </c>
      <c r="S540" t="s">
        <v>77</v>
      </c>
    </row>
    <row r="541" spans="1:19" x14ac:dyDescent="0.35">
      <c r="A541">
        <v>200064</v>
      </c>
      <c r="B541" t="str">
        <f>"200064"</f>
        <v>200064</v>
      </c>
      <c r="C541" t="s">
        <v>2472</v>
      </c>
      <c r="D541" t="s">
        <v>49</v>
      </c>
      <c r="E541" t="s">
        <v>62</v>
      </c>
      <c r="F541" t="s">
        <v>51</v>
      </c>
      <c r="G541" t="s">
        <v>383</v>
      </c>
      <c r="H541" t="s">
        <v>2473</v>
      </c>
      <c r="I541" t="s">
        <v>2474</v>
      </c>
      <c r="J541" t="s">
        <v>1215</v>
      </c>
      <c r="K541" t="s">
        <v>55</v>
      </c>
      <c r="L541" t="s">
        <v>1738</v>
      </c>
      <c r="M541" t="s">
        <v>57</v>
      </c>
      <c r="N541" t="str">
        <f>"N/A"</f>
        <v>N/A</v>
      </c>
      <c r="O541" t="s">
        <v>49</v>
      </c>
      <c r="P541" t="s">
        <v>68</v>
      </c>
      <c r="Q541" t="s">
        <v>68</v>
      </c>
      <c r="R541" t="s">
        <v>68</v>
      </c>
      <c r="S541" t="s">
        <v>77</v>
      </c>
    </row>
    <row r="542" spans="1:19" x14ac:dyDescent="0.35">
      <c r="A542">
        <v>50617</v>
      </c>
      <c r="B542" t="str">
        <f>"050617"</f>
        <v>050617</v>
      </c>
      <c r="C542" t="s">
        <v>2475</v>
      </c>
      <c r="D542" t="s">
        <v>49</v>
      </c>
      <c r="E542" t="s">
        <v>50</v>
      </c>
      <c r="F542" t="s">
        <v>51</v>
      </c>
      <c r="G542" t="s">
        <v>1118</v>
      </c>
      <c r="H542" t="s">
        <v>2476</v>
      </c>
      <c r="I542" t="s">
        <v>2477</v>
      </c>
      <c r="J542" t="s">
        <v>2478</v>
      </c>
      <c r="K542" t="s">
        <v>55</v>
      </c>
      <c r="L542" t="s">
        <v>2479</v>
      </c>
      <c r="M542" t="s">
        <v>57</v>
      </c>
      <c r="N542" t="str">
        <f>"124297"</f>
        <v>124297</v>
      </c>
      <c r="O542" t="s">
        <v>349</v>
      </c>
      <c r="P542" t="s">
        <v>76</v>
      </c>
      <c r="Q542">
        <v>34.299999999999997</v>
      </c>
      <c r="R542">
        <v>8.2000000000000028</v>
      </c>
      <c r="S542" t="s">
        <v>156</v>
      </c>
    </row>
    <row r="543" spans="1:19" x14ac:dyDescent="0.35">
      <c r="A543">
        <v>46219</v>
      </c>
      <c r="B543" t="str">
        <f>"046219"</f>
        <v>046219</v>
      </c>
      <c r="C543" t="s">
        <v>2480</v>
      </c>
      <c r="D543" t="s">
        <v>49</v>
      </c>
      <c r="E543" t="s">
        <v>50</v>
      </c>
      <c r="F543" t="s">
        <v>51</v>
      </c>
      <c r="G543" t="s">
        <v>206</v>
      </c>
      <c r="H543" t="s">
        <v>2481</v>
      </c>
      <c r="I543" t="s">
        <v>2482</v>
      </c>
      <c r="J543" t="s">
        <v>2483</v>
      </c>
      <c r="K543" t="s">
        <v>55</v>
      </c>
      <c r="L543" t="s">
        <v>2484</v>
      </c>
      <c r="M543" t="s">
        <v>57</v>
      </c>
      <c r="N543" t="str">
        <f>"137364"</f>
        <v>137364</v>
      </c>
      <c r="O543" t="s">
        <v>593</v>
      </c>
      <c r="P543" t="s">
        <v>84</v>
      </c>
      <c r="Q543">
        <v>21.9</v>
      </c>
      <c r="R543">
        <v>6.5999999999999943</v>
      </c>
      <c r="S543" t="s">
        <v>180</v>
      </c>
    </row>
    <row r="544" spans="1:19" x14ac:dyDescent="0.35">
      <c r="A544">
        <v>47092</v>
      </c>
      <c r="B544" t="str">
        <f>"047092"</f>
        <v>047092</v>
      </c>
      <c r="C544" t="s">
        <v>2485</v>
      </c>
      <c r="D544" t="s">
        <v>49</v>
      </c>
      <c r="E544" t="s">
        <v>50</v>
      </c>
      <c r="F544" t="s">
        <v>51</v>
      </c>
      <c r="G544" t="s">
        <v>344</v>
      </c>
      <c r="H544" t="s">
        <v>2486</v>
      </c>
      <c r="I544" t="s">
        <v>2487</v>
      </c>
      <c r="J544" t="s">
        <v>2488</v>
      </c>
      <c r="K544" t="s">
        <v>55</v>
      </c>
      <c r="L544" t="s">
        <v>2489</v>
      </c>
      <c r="M544" t="s">
        <v>57</v>
      </c>
      <c r="N544" t="str">
        <f>"124297"</f>
        <v>124297</v>
      </c>
      <c r="O544" t="s">
        <v>349</v>
      </c>
      <c r="P544" t="s">
        <v>84</v>
      </c>
      <c r="Q544">
        <v>33.700000000000003</v>
      </c>
      <c r="R544">
        <v>13.799999999999997</v>
      </c>
      <c r="S544" t="s">
        <v>156</v>
      </c>
    </row>
    <row r="545" spans="1:19" x14ac:dyDescent="0.35">
      <c r="A545">
        <v>49858</v>
      </c>
      <c r="B545" t="str">
        <f>"049858"</f>
        <v>049858</v>
      </c>
      <c r="C545" t="s">
        <v>2490</v>
      </c>
      <c r="D545" t="s">
        <v>49</v>
      </c>
      <c r="E545" t="s">
        <v>50</v>
      </c>
      <c r="F545" t="s">
        <v>51</v>
      </c>
      <c r="G545" t="s">
        <v>117</v>
      </c>
      <c r="H545" t="s">
        <v>2491</v>
      </c>
      <c r="I545" t="s">
        <v>2492</v>
      </c>
      <c r="J545" t="s">
        <v>977</v>
      </c>
      <c r="K545" t="s">
        <v>55</v>
      </c>
      <c r="L545" t="s">
        <v>978</v>
      </c>
      <c r="M545" t="s">
        <v>57</v>
      </c>
      <c r="N545" t="str">
        <f>"049825"</f>
        <v>049825</v>
      </c>
      <c r="O545" t="s">
        <v>122</v>
      </c>
      <c r="P545" t="s">
        <v>59</v>
      </c>
      <c r="Q545">
        <v>18.7</v>
      </c>
      <c r="R545">
        <v>16.299999999999997</v>
      </c>
      <c r="S545" t="s">
        <v>77</v>
      </c>
    </row>
    <row r="546" spans="1:19" x14ac:dyDescent="0.35">
      <c r="A546">
        <v>51391</v>
      </c>
      <c r="B546" t="str">
        <f>"051391"</f>
        <v>051391</v>
      </c>
      <c r="C546" t="s">
        <v>2493</v>
      </c>
      <c r="D546" t="s">
        <v>49</v>
      </c>
      <c r="E546" t="s">
        <v>163</v>
      </c>
      <c r="F546" t="s">
        <v>51</v>
      </c>
      <c r="G546" t="s">
        <v>295</v>
      </c>
      <c r="H546" t="s">
        <v>1762</v>
      </c>
      <c r="I546" t="s">
        <v>1763</v>
      </c>
      <c r="J546" t="s">
        <v>1764</v>
      </c>
      <c r="K546" t="s">
        <v>55</v>
      </c>
      <c r="L546" t="s">
        <v>1765</v>
      </c>
      <c r="M546" t="s">
        <v>57</v>
      </c>
      <c r="N546" t="str">
        <f>"050765"</f>
        <v>050765</v>
      </c>
      <c r="O546" t="s">
        <v>58</v>
      </c>
      <c r="P546" t="s">
        <v>68</v>
      </c>
      <c r="Q546" t="s">
        <v>68</v>
      </c>
      <c r="R546" t="s">
        <v>68</v>
      </c>
      <c r="S546" t="s">
        <v>77</v>
      </c>
    </row>
    <row r="547" spans="1:19" x14ac:dyDescent="0.35">
      <c r="A547">
        <v>43836</v>
      </c>
      <c r="B547" t="str">
        <f>"043836"</f>
        <v>043836</v>
      </c>
      <c r="C547" t="s">
        <v>2494</v>
      </c>
      <c r="D547" t="s">
        <v>49</v>
      </c>
      <c r="E547" t="s">
        <v>50</v>
      </c>
      <c r="F547" t="s">
        <v>51</v>
      </c>
      <c r="G547" t="s">
        <v>264</v>
      </c>
      <c r="H547" t="s">
        <v>2495</v>
      </c>
      <c r="I547" t="s">
        <v>2496</v>
      </c>
      <c r="J547" t="s">
        <v>2497</v>
      </c>
      <c r="K547" t="s">
        <v>55</v>
      </c>
      <c r="L547" t="s">
        <v>2498</v>
      </c>
      <c r="M547" t="s">
        <v>57</v>
      </c>
      <c r="N547" t="str">
        <f>"050765"</f>
        <v>050765</v>
      </c>
      <c r="O547" t="s">
        <v>58</v>
      </c>
      <c r="P547" t="s">
        <v>59</v>
      </c>
      <c r="Q547">
        <v>50.4</v>
      </c>
      <c r="R547">
        <v>27.799999999999997</v>
      </c>
      <c r="S547" t="s">
        <v>77</v>
      </c>
    </row>
    <row r="548" spans="1:19" x14ac:dyDescent="0.35">
      <c r="A548">
        <v>44677</v>
      </c>
      <c r="B548" t="str">
        <f>"044677"</f>
        <v>044677</v>
      </c>
      <c r="C548" t="s">
        <v>2499</v>
      </c>
      <c r="D548" t="s">
        <v>49</v>
      </c>
      <c r="E548" t="s">
        <v>50</v>
      </c>
      <c r="F548" t="s">
        <v>51</v>
      </c>
      <c r="G548" t="s">
        <v>212</v>
      </c>
      <c r="H548" t="s">
        <v>2500</v>
      </c>
      <c r="I548" t="s">
        <v>2501</v>
      </c>
      <c r="J548" t="s">
        <v>215</v>
      </c>
      <c r="K548" t="s">
        <v>55</v>
      </c>
      <c r="L548" t="s">
        <v>520</v>
      </c>
      <c r="M548" t="s">
        <v>57</v>
      </c>
      <c r="N548" t="str">
        <f>"050765"</f>
        <v>050765</v>
      </c>
      <c r="O548" t="s">
        <v>58</v>
      </c>
      <c r="P548" t="s">
        <v>59</v>
      </c>
      <c r="Q548">
        <v>70.8</v>
      </c>
      <c r="R548">
        <v>82.2</v>
      </c>
      <c r="S548" t="s">
        <v>217</v>
      </c>
    </row>
    <row r="549" spans="1:19" x14ac:dyDescent="0.35">
      <c r="A549">
        <v>45377</v>
      </c>
      <c r="B549" t="str">
        <f>"045377"</f>
        <v>045377</v>
      </c>
      <c r="C549" t="s">
        <v>2502</v>
      </c>
      <c r="D549" t="s">
        <v>49</v>
      </c>
      <c r="E549" t="s">
        <v>50</v>
      </c>
      <c r="F549" t="s">
        <v>51</v>
      </c>
      <c r="G549" t="s">
        <v>19</v>
      </c>
      <c r="H549" t="s">
        <v>2503</v>
      </c>
      <c r="I549" t="s">
        <v>2504</v>
      </c>
      <c r="J549" t="s">
        <v>1797</v>
      </c>
      <c r="K549" t="s">
        <v>55</v>
      </c>
      <c r="L549" t="s">
        <v>1798</v>
      </c>
      <c r="M549" t="s">
        <v>57</v>
      </c>
      <c r="N549" t="str">
        <f>"095869"</f>
        <v>095869</v>
      </c>
      <c r="O549" t="s">
        <v>2505</v>
      </c>
      <c r="P549" t="s">
        <v>76</v>
      </c>
      <c r="Q549">
        <v>46.3</v>
      </c>
      <c r="R549">
        <v>6.9000000000000057</v>
      </c>
      <c r="S549" t="s">
        <v>217</v>
      </c>
    </row>
    <row r="550" spans="1:19" x14ac:dyDescent="0.35">
      <c r="A550">
        <v>47829</v>
      </c>
      <c r="B550" t="str">
        <f>"047829"</f>
        <v>047829</v>
      </c>
      <c r="C550" t="s">
        <v>2506</v>
      </c>
      <c r="D550" t="s">
        <v>49</v>
      </c>
      <c r="E550" t="s">
        <v>50</v>
      </c>
      <c r="F550" t="s">
        <v>51</v>
      </c>
      <c r="G550" t="s">
        <v>901</v>
      </c>
      <c r="H550" t="s">
        <v>2507</v>
      </c>
      <c r="I550" t="s">
        <v>2508</v>
      </c>
      <c r="J550" t="s">
        <v>2509</v>
      </c>
      <c r="K550" t="s">
        <v>55</v>
      </c>
      <c r="L550" t="s">
        <v>2510</v>
      </c>
      <c r="M550" t="s">
        <v>57</v>
      </c>
      <c r="N550" t="str">
        <f>"047811"</f>
        <v>047811</v>
      </c>
      <c r="O550" t="s">
        <v>934</v>
      </c>
      <c r="P550" t="s">
        <v>84</v>
      </c>
      <c r="Q550">
        <v>21.4</v>
      </c>
      <c r="R550">
        <v>6.7999999999999972</v>
      </c>
      <c r="S550" t="s">
        <v>60</v>
      </c>
    </row>
    <row r="551" spans="1:19" x14ac:dyDescent="0.35">
      <c r="A551">
        <v>47340</v>
      </c>
      <c r="B551" t="str">
        <f>"047340"</f>
        <v>047340</v>
      </c>
      <c r="C551" t="s">
        <v>2511</v>
      </c>
      <c r="D551" t="s">
        <v>49</v>
      </c>
      <c r="E551" t="s">
        <v>50</v>
      </c>
      <c r="F551" t="s">
        <v>51</v>
      </c>
      <c r="G551" t="s">
        <v>212</v>
      </c>
      <c r="H551" t="s">
        <v>2512</v>
      </c>
      <c r="I551" t="s">
        <v>2513</v>
      </c>
      <c r="J551" t="s">
        <v>215</v>
      </c>
      <c r="K551" t="s">
        <v>55</v>
      </c>
      <c r="L551" t="s">
        <v>2514</v>
      </c>
      <c r="M551" t="s">
        <v>57</v>
      </c>
      <c r="N551" t="str">
        <f>"047324"</f>
        <v>047324</v>
      </c>
      <c r="O551" t="s">
        <v>491</v>
      </c>
      <c r="P551" t="s">
        <v>59</v>
      </c>
      <c r="Q551">
        <v>12.1</v>
      </c>
      <c r="R551">
        <v>14.799999999999997</v>
      </c>
      <c r="S551" t="s">
        <v>217</v>
      </c>
    </row>
    <row r="552" spans="1:19" x14ac:dyDescent="0.35">
      <c r="A552">
        <v>43745</v>
      </c>
      <c r="B552" t="str">
        <f>"043745"</f>
        <v>043745</v>
      </c>
      <c r="C552" t="s">
        <v>2515</v>
      </c>
      <c r="D552" t="s">
        <v>49</v>
      </c>
      <c r="E552" t="s">
        <v>50</v>
      </c>
      <c r="F552" t="s">
        <v>51</v>
      </c>
      <c r="G552" t="s">
        <v>318</v>
      </c>
      <c r="H552" t="s">
        <v>2516</v>
      </c>
      <c r="I552" t="s">
        <v>2517</v>
      </c>
      <c r="J552" t="s">
        <v>321</v>
      </c>
      <c r="K552" t="s">
        <v>55</v>
      </c>
      <c r="L552" t="s">
        <v>322</v>
      </c>
      <c r="M552" t="s">
        <v>57</v>
      </c>
      <c r="N552" t="str">
        <f>"050765"</f>
        <v>050765</v>
      </c>
      <c r="O552" t="s">
        <v>58</v>
      </c>
      <c r="P552" t="s">
        <v>84</v>
      </c>
      <c r="Q552">
        <v>100</v>
      </c>
      <c r="R552">
        <v>26.400000000000006</v>
      </c>
      <c r="S552" t="s">
        <v>130</v>
      </c>
    </row>
    <row r="553" spans="1:19" x14ac:dyDescent="0.35">
      <c r="A553">
        <v>44172</v>
      </c>
      <c r="B553" t="str">
        <f>"044172"</f>
        <v>044172</v>
      </c>
      <c r="C553" t="s">
        <v>2518</v>
      </c>
      <c r="D553" t="s">
        <v>49</v>
      </c>
      <c r="E553" t="s">
        <v>50</v>
      </c>
      <c r="F553" t="s">
        <v>51</v>
      </c>
      <c r="G553" t="s">
        <v>878</v>
      </c>
      <c r="H553" t="s">
        <v>2519</v>
      </c>
      <c r="I553" t="s">
        <v>2520</v>
      </c>
      <c r="J553" t="s">
        <v>2521</v>
      </c>
      <c r="K553" t="s">
        <v>55</v>
      </c>
      <c r="L553" t="s">
        <v>2522</v>
      </c>
      <c r="M553" t="s">
        <v>57</v>
      </c>
      <c r="N553" t="str">
        <f>"050765"</f>
        <v>050765</v>
      </c>
      <c r="O553" t="s">
        <v>58</v>
      </c>
      <c r="P553" t="s">
        <v>76</v>
      </c>
      <c r="Q553">
        <v>54.3</v>
      </c>
      <c r="R553">
        <v>8.7999999999999972</v>
      </c>
      <c r="S553" t="s">
        <v>156</v>
      </c>
    </row>
    <row r="554" spans="1:19" x14ac:dyDescent="0.35">
      <c r="A554">
        <v>45914</v>
      </c>
      <c r="B554" t="str">
        <f>"045914"</f>
        <v>045914</v>
      </c>
      <c r="C554" t="s">
        <v>2523</v>
      </c>
      <c r="D554" t="s">
        <v>49</v>
      </c>
      <c r="E554" t="s">
        <v>50</v>
      </c>
      <c r="F554" t="s">
        <v>51</v>
      </c>
      <c r="G554" t="s">
        <v>493</v>
      </c>
      <c r="H554" t="s">
        <v>2524</v>
      </c>
      <c r="I554" t="s">
        <v>2525</v>
      </c>
      <c r="J554" t="s">
        <v>2526</v>
      </c>
      <c r="K554" t="s">
        <v>55</v>
      </c>
      <c r="L554" t="s">
        <v>2527</v>
      </c>
      <c r="M554" t="s">
        <v>57</v>
      </c>
      <c r="N554" t="str">
        <f>"135145"</f>
        <v>135145</v>
      </c>
      <c r="O554" t="s">
        <v>503</v>
      </c>
      <c r="P554" t="s">
        <v>76</v>
      </c>
      <c r="Q554">
        <v>100</v>
      </c>
      <c r="R554">
        <v>5.9000000000000057</v>
      </c>
      <c r="S554" t="s">
        <v>130</v>
      </c>
    </row>
    <row r="555" spans="1:19" x14ac:dyDescent="0.35">
      <c r="A555">
        <v>48926</v>
      </c>
      <c r="B555" t="str">
        <f>"048926"</f>
        <v>048926</v>
      </c>
      <c r="C555" t="s">
        <v>2528</v>
      </c>
      <c r="D555" t="s">
        <v>49</v>
      </c>
      <c r="E555" t="s">
        <v>50</v>
      </c>
      <c r="F555" t="s">
        <v>51</v>
      </c>
      <c r="G555" t="s">
        <v>257</v>
      </c>
      <c r="H555" t="s">
        <v>2529</v>
      </c>
      <c r="I555" t="s">
        <v>2530</v>
      </c>
      <c r="J555" t="s">
        <v>2531</v>
      </c>
      <c r="K555" t="s">
        <v>55</v>
      </c>
      <c r="L555" t="s">
        <v>2532</v>
      </c>
      <c r="M555" t="s">
        <v>57</v>
      </c>
      <c r="N555" t="str">
        <f>"125690"</f>
        <v>125690</v>
      </c>
      <c r="O555" t="s">
        <v>262</v>
      </c>
      <c r="P555" t="s">
        <v>84</v>
      </c>
      <c r="Q555">
        <v>32.200000000000003</v>
      </c>
      <c r="R555">
        <v>7.5999999999999943</v>
      </c>
      <c r="S555" t="s">
        <v>156</v>
      </c>
    </row>
    <row r="556" spans="1:19" x14ac:dyDescent="0.35">
      <c r="A556">
        <v>46961</v>
      </c>
      <c r="B556" t="str">
        <f>"046961"</f>
        <v>046961</v>
      </c>
      <c r="C556" t="s">
        <v>2533</v>
      </c>
      <c r="D556" t="s">
        <v>49</v>
      </c>
      <c r="E556" t="s">
        <v>50</v>
      </c>
      <c r="F556" t="s">
        <v>51</v>
      </c>
      <c r="G556" t="s">
        <v>600</v>
      </c>
      <c r="H556" t="s">
        <v>2534</v>
      </c>
      <c r="I556" t="s">
        <v>2535</v>
      </c>
      <c r="J556" t="s">
        <v>2536</v>
      </c>
      <c r="K556" t="s">
        <v>55</v>
      </c>
      <c r="L556" t="s">
        <v>2537</v>
      </c>
      <c r="M556" t="s">
        <v>57</v>
      </c>
      <c r="N556" t="str">
        <f>"050765"</f>
        <v>050765</v>
      </c>
      <c r="O556" t="s">
        <v>58</v>
      </c>
      <c r="P556" t="s">
        <v>59</v>
      </c>
      <c r="Q556">
        <v>31</v>
      </c>
      <c r="R556">
        <v>45.6</v>
      </c>
      <c r="S556" t="s">
        <v>60</v>
      </c>
    </row>
    <row r="557" spans="1:19" x14ac:dyDescent="0.35">
      <c r="A557">
        <v>47589</v>
      </c>
      <c r="B557" t="str">
        <f>"047589"</f>
        <v>047589</v>
      </c>
      <c r="C557" t="s">
        <v>2538</v>
      </c>
      <c r="D557" t="s">
        <v>49</v>
      </c>
      <c r="E557" t="s">
        <v>50</v>
      </c>
      <c r="F557" t="s">
        <v>51</v>
      </c>
      <c r="G557" t="s">
        <v>271</v>
      </c>
      <c r="H557" t="s">
        <v>2539</v>
      </c>
      <c r="I557" t="s">
        <v>2540</v>
      </c>
      <c r="J557" t="s">
        <v>2541</v>
      </c>
      <c r="K557" t="s">
        <v>55</v>
      </c>
      <c r="L557" t="s">
        <v>2542</v>
      </c>
      <c r="M557" t="s">
        <v>57</v>
      </c>
      <c r="N557" t="str">
        <f>"124297"</f>
        <v>124297</v>
      </c>
      <c r="O557" t="s">
        <v>349</v>
      </c>
      <c r="P557" t="s">
        <v>76</v>
      </c>
      <c r="Q557">
        <v>20.9</v>
      </c>
      <c r="R557">
        <v>7.5999999999999943</v>
      </c>
      <c r="S557" t="s">
        <v>156</v>
      </c>
    </row>
    <row r="558" spans="1:19" x14ac:dyDescent="0.35">
      <c r="A558">
        <v>48710</v>
      </c>
      <c r="B558" t="str">
        <f>"048710"</f>
        <v>048710</v>
      </c>
      <c r="C558" t="s">
        <v>2543</v>
      </c>
      <c r="D558" t="s">
        <v>49</v>
      </c>
      <c r="E558" t="s">
        <v>50</v>
      </c>
      <c r="F558" t="s">
        <v>51</v>
      </c>
      <c r="G558" t="s">
        <v>543</v>
      </c>
      <c r="H558" t="s">
        <v>2544</v>
      </c>
      <c r="I558" t="s">
        <v>2545</v>
      </c>
      <c r="J558" t="s">
        <v>2546</v>
      </c>
      <c r="K558" t="s">
        <v>55</v>
      </c>
      <c r="L558" t="s">
        <v>2547</v>
      </c>
      <c r="M558" t="s">
        <v>57</v>
      </c>
      <c r="N558" t="str">
        <f>"048660"</f>
        <v>048660</v>
      </c>
      <c r="O558" t="s">
        <v>867</v>
      </c>
      <c r="P558" t="s">
        <v>76</v>
      </c>
      <c r="Q558">
        <v>47.3</v>
      </c>
      <c r="R558">
        <v>7.7999999999999972</v>
      </c>
      <c r="S558" t="s">
        <v>180</v>
      </c>
    </row>
    <row r="559" spans="1:19" x14ac:dyDescent="0.35">
      <c r="A559">
        <v>49221</v>
      </c>
      <c r="B559" t="str">
        <f>"049221"</f>
        <v>049221</v>
      </c>
      <c r="C559" t="s">
        <v>2105</v>
      </c>
      <c r="D559" t="s">
        <v>49</v>
      </c>
      <c r="E559" t="s">
        <v>50</v>
      </c>
      <c r="F559" t="s">
        <v>51</v>
      </c>
      <c r="G559" t="s">
        <v>295</v>
      </c>
      <c r="H559" t="s">
        <v>2548</v>
      </c>
      <c r="I559" t="s">
        <v>2549</v>
      </c>
      <c r="J559" t="s">
        <v>1764</v>
      </c>
      <c r="K559" t="s">
        <v>55</v>
      </c>
      <c r="L559" t="s">
        <v>1765</v>
      </c>
      <c r="M559" t="s">
        <v>57</v>
      </c>
      <c r="N559" t="str">
        <f>"049965"</f>
        <v>049965</v>
      </c>
      <c r="O559" t="s">
        <v>269</v>
      </c>
      <c r="P559" t="s">
        <v>76</v>
      </c>
      <c r="Q559">
        <v>42.9</v>
      </c>
      <c r="R559">
        <v>5.7999999999999972</v>
      </c>
      <c r="S559" t="s">
        <v>77</v>
      </c>
    </row>
    <row r="560" spans="1:19" x14ac:dyDescent="0.35">
      <c r="A560">
        <v>45518</v>
      </c>
      <c r="B560" t="str">
        <f>"045518"</f>
        <v>045518</v>
      </c>
      <c r="C560" t="s">
        <v>2550</v>
      </c>
      <c r="D560" t="s">
        <v>49</v>
      </c>
      <c r="E560" t="s">
        <v>50</v>
      </c>
      <c r="F560" t="s">
        <v>51</v>
      </c>
      <c r="G560" t="s">
        <v>325</v>
      </c>
      <c r="H560" t="s">
        <v>2551</v>
      </c>
      <c r="I560" t="s">
        <v>2552</v>
      </c>
      <c r="J560" t="s">
        <v>2553</v>
      </c>
      <c r="K560" t="s">
        <v>55</v>
      </c>
      <c r="L560" t="s">
        <v>2554</v>
      </c>
      <c r="M560" t="s">
        <v>57</v>
      </c>
      <c r="N560" t="str">
        <f>"050765"</f>
        <v>050765</v>
      </c>
      <c r="O560" t="s">
        <v>58</v>
      </c>
      <c r="P560" t="s">
        <v>76</v>
      </c>
      <c r="Q560">
        <v>40.1</v>
      </c>
      <c r="R560">
        <v>7.5999999999999943</v>
      </c>
      <c r="S560" t="s">
        <v>180</v>
      </c>
    </row>
    <row r="561" spans="1:19" x14ac:dyDescent="0.35">
      <c r="A561">
        <v>43539</v>
      </c>
      <c r="B561" t="str">
        <f>"043539"</f>
        <v>043539</v>
      </c>
      <c r="C561" t="s">
        <v>2555</v>
      </c>
      <c r="D561" t="s">
        <v>49</v>
      </c>
      <c r="E561" t="s">
        <v>50</v>
      </c>
      <c r="F561" t="s">
        <v>51</v>
      </c>
      <c r="G561" t="s">
        <v>264</v>
      </c>
      <c r="H561" t="s">
        <v>2556</v>
      </c>
      <c r="I561" t="s">
        <v>2557</v>
      </c>
      <c r="J561" t="s">
        <v>2558</v>
      </c>
      <c r="K561" t="s">
        <v>55</v>
      </c>
      <c r="L561" t="s">
        <v>2559</v>
      </c>
      <c r="M561" t="s">
        <v>57</v>
      </c>
      <c r="N561" t="str">
        <f>"050765"</f>
        <v>050765</v>
      </c>
      <c r="O561" t="s">
        <v>58</v>
      </c>
      <c r="P561" t="s">
        <v>281</v>
      </c>
      <c r="Q561">
        <v>72.8</v>
      </c>
      <c r="R561">
        <v>30.900000000000006</v>
      </c>
      <c r="S561" t="s">
        <v>77</v>
      </c>
    </row>
    <row r="562" spans="1:19" x14ac:dyDescent="0.35">
      <c r="A562">
        <v>45401</v>
      </c>
      <c r="B562" t="str">
        <f>"045401"</f>
        <v>045401</v>
      </c>
      <c r="C562" t="s">
        <v>2560</v>
      </c>
      <c r="D562" t="s">
        <v>49</v>
      </c>
      <c r="E562" t="s">
        <v>50</v>
      </c>
      <c r="F562" t="s">
        <v>51</v>
      </c>
      <c r="G562" t="s">
        <v>719</v>
      </c>
      <c r="H562" t="s">
        <v>2561</v>
      </c>
      <c r="I562" t="s">
        <v>2562</v>
      </c>
      <c r="J562" t="s">
        <v>2563</v>
      </c>
      <c r="K562" t="s">
        <v>55</v>
      </c>
      <c r="L562" t="s">
        <v>2564</v>
      </c>
      <c r="M562" t="s">
        <v>57</v>
      </c>
      <c r="N562" t="str">
        <f>"050765"</f>
        <v>050765</v>
      </c>
      <c r="O562" t="s">
        <v>58</v>
      </c>
      <c r="P562" t="s">
        <v>76</v>
      </c>
      <c r="Q562">
        <v>57.4</v>
      </c>
      <c r="R562">
        <v>7</v>
      </c>
      <c r="S562" t="s">
        <v>130</v>
      </c>
    </row>
    <row r="563" spans="1:19" x14ac:dyDescent="0.35">
      <c r="A563">
        <v>52597</v>
      </c>
      <c r="B563" t="str">
        <f>"052597"</f>
        <v>052597</v>
      </c>
      <c r="C563" t="s">
        <v>2565</v>
      </c>
      <c r="D563" t="s">
        <v>49</v>
      </c>
      <c r="E563" t="s">
        <v>606</v>
      </c>
      <c r="F563" t="s">
        <v>51</v>
      </c>
      <c r="G563" t="s">
        <v>63</v>
      </c>
      <c r="H563" t="s">
        <v>2566</v>
      </c>
      <c r="I563" t="s">
        <v>2567</v>
      </c>
      <c r="J563" t="s">
        <v>2316</v>
      </c>
      <c r="K563" t="s">
        <v>55</v>
      </c>
      <c r="L563" t="s">
        <v>2317</v>
      </c>
      <c r="M563" t="s">
        <v>57</v>
      </c>
      <c r="N563" t="str">
        <f>"052597"</f>
        <v>052597</v>
      </c>
      <c r="O563" t="s">
        <v>2565</v>
      </c>
      <c r="P563" t="s">
        <v>68</v>
      </c>
      <c r="Q563" t="s">
        <v>68</v>
      </c>
      <c r="R563" t="s">
        <v>68</v>
      </c>
      <c r="S563" t="s">
        <v>69</v>
      </c>
    </row>
    <row r="564" spans="1:19" x14ac:dyDescent="0.35">
      <c r="A564">
        <v>139303</v>
      </c>
      <c r="B564" t="str">
        <f>"139303"</f>
        <v>139303</v>
      </c>
      <c r="C564" t="s">
        <v>2568</v>
      </c>
      <c r="D564" t="s">
        <v>49</v>
      </c>
      <c r="E564" t="s">
        <v>50</v>
      </c>
      <c r="F564" t="s">
        <v>51</v>
      </c>
      <c r="G564" t="s">
        <v>244</v>
      </c>
      <c r="H564" t="s">
        <v>2569</v>
      </c>
      <c r="I564" t="s">
        <v>2570</v>
      </c>
      <c r="J564" t="s">
        <v>1239</v>
      </c>
      <c r="K564" t="s">
        <v>55</v>
      </c>
      <c r="L564" t="s">
        <v>2571</v>
      </c>
      <c r="M564" t="s">
        <v>57</v>
      </c>
      <c r="N564" t="str">
        <f>"046086"</f>
        <v>046086</v>
      </c>
      <c r="O564" t="s">
        <v>375</v>
      </c>
      <c r="P564" t="s">
        <v>59</v>
      </c>
      <c r="Q564">
        <v>28.5</v>
      </c>
      <c r="R564">
        <v>25.099999999999994</v>
      </c>
      <c r="S564" t="s">
        <v>217</v>
      </c>
    </row>
    <row r="565" spans="1:19" x14ac:dyDescent="0.35">
      <c r="A565">
        <v>15457</v>
      </c>
      <c r="B565" t="str">
        <f>"015457"</f>
        <v>015457</v>
      </c>
      <c r="C565" t="s">
        <v>2572</v>
      </c>
      <c r="D565" t="s">
        <v>49</v>
      </c>
      <c r="E565" t="s">
        <v>301</v>
      </c>
      <c r="F565" t="s">
        <v>51</v>
      </c>
      <c r="G565" t="s">
        <v>295</v>
      </c>
      <c r="H565" t="s">
        <v>2573</v>
      </c>
      <c r="I565" t="s">
        <v>2574</v>
      </c>
      <c r="J565" t="s">
        <v>1012</v>
      </c>
      <c r="K565" t="s">
        <v>55</v>
      </c>
      <c r="L565" t="s">
        <v>2575</v>
      </c>
      <c r="M565" t="s">
        <v>57</v>
      </c>
      <c r="N565" t="str">
        <f>"N/A"</f>
        <v>N/A</v>
      </c>
      <c r="O565" t="s">
        <v>49</v>
      </c>
      <c r="P565" t="s">
        <v>68</v>
      </c>
      <c r="Q565" t="s">
        <v>68</v>
      </c>
      <c r="R565" t="s">
        <v>68</v>
      </c>
      <c r="S565" t="s">
        <v>77</v>
      </c>
    </row>
    <row r="566" spans="1:19" x14ac:dyDescent="0.35">
      <c r="A566">
        <v>48736</v>
      </c>
      <c r="B566" t="str">
        <f>"048736"</f>
        <v>048736</v>
      </c>
      <c r="C566" t="s">
        <v>109</v>
      </c>
      <c r="D566" t="s">
        <v>49</v>
      </c>
      <c r="E566" t="s">
        <v>50</v>
      </c>
      <c r="F566" t="s">
        <v>51</v>
      </c>
      <c r="G566" t="s">
        <v>543</v>
      </c>
      <c r="H566" t="s">
        <v>2576</v>
      </c>
      <c r="I566" t="s">
        <v>2577</v>
      </c>
      <c r="J566" t="s">
        <v>687</v>
      </c>
      <c r="K566" t="s">
        <v>55</v>
      </c>
      <c r="L566" t="s">
        <v>2578</v>
      </c>
      <c r="M566" t="s">
        <v>57</v>
      </c>
      <c r="N566" t="str">
        <f>"048660"</f>
        <v>048660</v>
      </c>
      <c r="O566" t="s">
        <v>867</v>
      </c>
      <c r="P566" t="s">
        <v>84</v>
      </c>
      <c r="Q566">
        <v>99.9</v>
      </c>
      <c r="R566">
        <v>46.1</v>
      </c>
      <c r="S566" t="s">
        <v>180</v>
      </c>
    </row>
    <row r="567" spans="1:19" x14ac:dyDescent="0.35">
      <c r="A567">
        <v>49619</v>
      </c>
      <c r="B567" t="str">
        <f>"049619"</f>
        <v>049619</v>
      </c>
      <c r="C567" t="s">
        <v>2579</v>
      </c>
      <c r="D567" t="s">
        <v>49</v>
      </c>
      <c r="E567" t="s">
        <v>50</v>
      </c>
      <c r="F567" t="s">
        <v>51</v>
      </c>
      <c r="G567" t="s">
        <v>219</v>
      </c>
      <c r="H567" t="s">
        <v>2580</v>
      </c>
      <c r="I567" t="s">
        <v>2581</v>
      </c>
      <c r="J567" t="s">
        <v>2582</v>
      </c>
      <c r="K567" t="s">
        <v>55</v>
      </c>
      <c r="L567" t="s">
        <v>2583</v>
      </c>
      <c r="M567" t="s">
        <v>57</v>
      </c>
      <c r="N567" t="str">
        <f>"125658"</f>
        <v>125658</v>
      </c>
      <c r="O567" t="s">
        <v>224</v>
      </c>
      <c r="P567" t="s">
        <v>76</v>
      </c>
      <c r="Q567">
        <v>57.3</v>
      </c>
      <c r="R567">
        <v>2.5999999999999943</v>
      </c>
      <c r="S567" t="s">
        <v>130</v>
      </c>
    </row>
    <row r="568" spans="1:19" x14ac:dyDescent="0.35">
      <c r="A568">
        <v>48595</v>
      </c>
      <c r="B568" t="str">
        <f>"048595"</f>
        <v>048595</v>
      </c>
      <c r="C568" t="s">
        <v>2584</v>
      </c>
      <c r="D568" t="s">
        <v>49</v>
      </c>
      <c r="E568" t="s">
        <v>50</v>
      </c>
      <c r="F568" t="s">
        <v>51</v>
      </c>
      <c r="G568" t="s">
        <v>423</v>
      </c>
      <c r="H568" t="s">
        <v>2585</v>
      </c>
      <c r="I568" t="s">
        <v>2586</v>
      </c>
      <c r="J568" t="s">
        <v>2587</v>
      </c>
      <c r="K568" t="s">
        <v>55</v>
      </c>
      <c r="L568" t="s">
        <v>2588</v>
      </c>
      <c r="M568" t="s">
        <v>57</v>
      </c>
      <c r="N568" t="str">
        <f>"048546"</f>
        <v>048546</v>
      </c>
      <c r="O568" t="s">
        <v>1330</v>
      </c>
      <c r="P568" t="s">
        <v>76</v>
      </c>
      <c r="Q568">
        <v>9.6999999999999993</v>
      </c>
      <c r="R568">
        <v>3.7000000000000028</v>
      </c>
      <c r="S568" t="s">
        <v>156</v>
      </c>
    </row>
    <row r="569" spans="1:19" x14ac:dyDescent="0.35">
      <c r="A569">
        <v>50286</v>
      </c>
      <c r="B569" t="str">
        <f>"050286"</f>
        <v>050286</v>
      </c>
      <c r="C569" t="s">
        <v>2589</v>
      </c>
      <c r="D569" t="s">
        <v>49</v>
      </c>
      <c r="E569" t="s">
        <v>50</v>
      </c>
      <c r="F569" t="s">
        <v>51</v>
      </c>
      <c r="G569" t="s">
        <v>71</v>
      </c>
      <c r="H569" t="s">
        <v>2590</v>
      </c>
      <c r="I569" t="s">
        <v>2591</v>
      </c>
      <c r="J569" t="s">
        <v>2592</v>
      </c>
      <c r="K569" t="s">
        <v>55</v>
      </c>
      <c r="L569" t="s">
        <v>2593</v>
      </c>
      <c r="M569" t="s">
        <v>57</v>
      </c>
      <c r="N569" t="str">
        <f>"050260"</f>
        <v>050260</v>
      </c>
      <c r="O569" t="s">
        <v>1170</v>
      </c>
      <c r="P569" t="s">
        <v>76</v>
      </c>
      <c r="Q569">
        <v>39.4</v>
      </c>
      <c r="R569">
        <v>2.7999999999999972</v>
      </c>
      <c r="S569" t="s">
        <v>77</v>
      </c>
    </row>
    <row r="570" spans="1:19" x14ac:dyDescent="0.35">
      <c r="A570">
        <v>43638</v>
      </c>
      <c r="B570" t="str">
        <f>"043638"</f>
        <v>043638</v>
      </c>
      <c r="C570" t="s">
        <v>2594</v>
      </c>
      <c r="D570" t="s">
        <v>49</v>
      </c>
      <c r="E570" t="s">
        <v>50</v>
      </c>
      <c r="F570" t="s">
        <v>51</v>
      </c>
      <c r="G570" t="s">
        <v>226</v>
      </c>
      <c r="H570" t="s">
        <v>2595</v>
      </c>
      <c r="I570" t="s">
        <v>2596</v>
      </c>
      <c r="J570" t="s">
        <v>810</v>
      </c>
      <c r="K570" t="s">
        <v>55</v>
      </c>
      <c r="L570" t="s">
        <v>811</v>
      </c>
      <c r="M570" t="s">
        <v>57</v>
      </c>
      <c r="N570" t="str">
        <f>"050765"</f>
        <v>050765</v>
      </c>
      <c r="O570" t="s">
        <v>58</v>
      </c>
      <c r="P570" t="s">
        <v>59</v>
      </c>
      <c r="Q570">
        <v>40</v>
      </c>
      <c r="R570">
        <v>24.400000000000006</v>
      </c>
      <c r="S570" t="s">
        <v>156</v>
      </c>
    </row>
    <row r="571" spans="1:19" x14ac:dyDescent="0.35">
      <c r="A571">
        <v>49569</v>
      </c>
      <c r="B571" t="str">
        <f>"049569"</f>
        <v>049569</v>
      </c>
      <c r="C571" t="s">
        <v>2005</v>
      </c>
      <c r="D571" t="s">
        <v>49</v>
      </c>
      <c r="E571" t="s">
        <v>50</v>
      </c>
      <c r="F571" t="s">
        <v>51</v>
      </c>
      <c r="G571" t="s">
        <v>400</v>
      </c>
      <c r="H571" t="s">
        <v>2597</v>
      </c>
      <c r="I571" t="s">
        <v>2598</v>
      </c>
      <c r="J571" t="s">
        <v>2599</v>
      </c>
      <c r="K571" t="s">
        <v>55</v>
      </c>
      <c r="L571" t="s">
        <v>2600</v>
      </c>
      <c r="M571" t="s">
        <v>57</v>
      </c>
      <c r="N571" t="str">
        <f>"125690"</f>
        <v>125690</v>
      </c>
      <c r="O571" t="s">
        <v>262</v>
      </c>
      <c r="P571" t="s">
        <v>76</v>
      </c>
      <c r="Q571">
        <v>36.1</v>
      </c>
      <c r="R571">
        <v>12.900000000000006</v>
      </c>
      <c r="S571" t="s">
        <v>156</v>
      </c>
    </row>
    <row r="572" spans="1:19" x14ac:dyDescent="0.35">
      <c r="A572">
        <v>50450</v>
      </c>
      <c r="B572" t="str">
        <f>"050450"</f>
        <v>050450</v>
      </c>
      <c r="C572" t="s">
        <v>2601</v>
      </c>
      <c r="D572" t="s">
        <v>49</v>
      </c>
      <c r="E572" t="s">
        <v>50</v>
      </c>
      <c r="F572" t="s">
        <v>51</v>
      </c>
      <c r="G572" t="s">
        <v>172</v>
      </c>
      <c r="H572" t="s">
        <v>2602</v>
      </c>
      <c r="I572" t="s">
        <v>2603</v>
      </c>
      <c r="J572" t="s">
        <v>2604</v>
      </c>
      <c r="K572" t="s">
        <v>55</v>
      </c>
      <c r="L572" t="s">
        <v>2605</v>
      </c>
      <c r="M572" t="s">
        <v>57</v>
      </c>
      <c r="N572" t="str">
        <f>"050765"</f>
        <v>050765</v>
      </c>
      <c r="O572" t="s">
        <v>58</v>
      </c>
      <c r="P572" t="s">
        <v>59</v>
      </c>
      <c r="Q572">
        <v>10.199999999999999</v>
      </c>
      <c r="R572">
        <v>50</v>
      </c>
      <c r="S572" t="s">
        <v>217</v>
      </c>
    </row>
    <row r="573" spans="1:19" x14ac:dyDescent="0.35">
      <c r="A573">
        <v>48934</v>
      </c>
      <c r="B573" t="str">
        <f>"048934"</f>
        <v>048934</v>
      </c>
      <c r="C573" t="s">
        <v>2606</v>
      </c>
      <c r="D573" t="s">
        <v>49</v>
      </c>
      <c r="E573" t="s">
        <v>50</v>
      </c>
      <c r="F573" t="s">
        <v>51</v>
      </c>
      <c r="G573" t="s">
        <v>257</v>
      </c>
      <c r="H573" t="s">
        <v>2607</v>
      </c>
      <c r="I573" t="s">
        <v>2608</v>
      </c>
      <c r="J573" t="s">
        <v>2609</v>
      </c>
      <c r="K573" t="s">
        <v>55</v>
      </c>
      <c r="L573" t="s">
        <v>2610</v>
      </c>
      <c r="M573" t="s">
        <v>57</v>
      </c>
      <c r="N573" t="str">
        <f>"125690"</f>
        <v>125690</v>
      </c>
      <c r="O573" t="s">
        <v>262</v>
      </c>
      <c r="P573" t="s">
        <v>84</v>
      </c>
      <c r="Q573">
        <v>26.2</v>
      </c>
      <c r="R573">
        <v>7</v>
      </c>
      <c r="S573" t="s">
        <v>156</v>
      </c>
    </row>
    <row r="574" spans="1:19" x14ac:dyDescent="0.35">
      <c r="A574">
        <v>51128</v>
      </c>
      <c r="B574" t="str">
        <f>"051128"</f>
        <v>051128</v>
      </c>
      <c r="C574" t="s">
        <v>2611</v>
      </c>
      <c r="D574" t="s">
        <v>49</v>
      </c>
      <c r="E574" t="s">
        <v>163</v>
      </c>
      <c r="F574" t="s">
        <v>51</v>
      </c>
      <c r="G574" t="s">
        <v>135</v>
      </c>
      <c r="H574" t="s">
        <v>2612</v>
      </c>
      <c r="I574" t="s">
        <v>2613</v>
      </c>
      <c r="J574" t="s">
        <v>1881</v>
      </c>
      <c r="K574" t="s">
        <v>55</v>
      </c>
      <c r="L574" t="s">
        <v>1882</v>
      </c>
      <c r="M574" t="s">
        <v>57</v>
      </c>
      <c r="N574" t="str">
        <f>"050765"</f>
        <v>050765</v>
      </c>
      <c r="O574" t="s">
        <v>58</v>
      </c>
      <c r="P574" t="s">
        <v>68</v>
      </c>
      <c r="Q574" t="s">
        <v>68</v>
      </c>
      <c r="R574" t="s">
        <v>68</v>
      </c>
      <c r="S574" t="s">
        <v>130</v>
      </c>
    </row>
    <row r="575" spans="1:19" x14ac:dyDescent="0.35">
      <c r="A575">
        <v>44537</v>
      </c>
      <c r="B575" t="str">
        <f>"044537"</f>
        <v>044537</v>
      </c>
      <c r="C575" t="s">
        <v>2614</v>
      </c>
      <c r="D575" t="s">
        <v>49</v>
      </c>
      <c r="E575" t="s">
        <v>50</v>
      </c>
      <c r="F575" t="s">
        <v>51</v>
      </c>
      <c r="G575" t="s">
        <v>143</v>
      </c>
      <c r="H575" t="s">
        <v>2615</v>
      </c>
      <c r="I575" t="s">
        <v>2616</v>
      </c>
      <c r="J575" t="s">
        <v>2617</v>
      </c>
      <c r="K575" t="s">
        <v>55</v>
      </c>
      <c r="L575" t="s">
        <v>2618</v>
      </c>
      <c r="M575" t="s">
        <v>57</v>
      </c>
      <c r="N575" t="str">
        <f>"050765"</f>
        <v>050765</v>
      </c>
      <c r="O575" t="s">
        <v>58</v>
      </c>
      <c r="P575" t="s">
        <v>59</v>
      </c>
      <c r="Q575">
        <v>20.100000000000001</v>
      </c>
      <c r="R575">
        <v>15.299999999999997</v>
      </c>
      <c r="S575" t="s">
        <v>69</v>
      </c>
    </row>
    <row r="576" spans="1:19" x14ac:dyDescent="0.35">
      <c r="A576">
        <v>46003</v>
      </c>
      <c r="B576" t="str">
        <f>"046003"</f>
        <v>046003</v>
      </c>
      <c r="C576" t="s">
        <v>2619</v>
      </c>
      <c r="D576" t="s">
        <v>49</v>
      </c>
      <c r="E576" t="s">
        <v>50</v>
      </c>
      <c r="F576" t="s">
        <v>51</v>
      </c>
      <c r="G576" t="s">
        <v>233</v>
      </c>
      <c r="H576" t="s">
        <v>2620</v>
      </c>
      <c r="I576" t="s">
        <v>2621</v>
      </c>
      <c r="J576" t="s">
        <v>2622</v>
      </c>
      <c r="K576" t="s">
        <v>55</v>
      </c>
      <c r="L576" t="s">
        <v>2623</v>
      </c>
      <c r="M576" t="s">
        <v>57</v>
      </c>
      <c r="N576" t="str">
        <f>"050260"</f>
        <v>050260</v>
      </c>
      <c r="O576" t="s">
        <v>1170</v>
      </c>
      <c r="P576" t="s">
        <v>84</v>
      </c>
      <c r="Q576">
        <v>30.2</v>
      </c>
      <c r="R576">
        <v>5.0999999999999943</v>
      </c>
      <c r="S576" t="s">
        <v>130</v>
      </c>
    </row>
    <row r="577" spans="1:19" x14ac:dyDescent="0.35">
      <c r="A577">
        <v>48637</v>
      </c>
      <c r="B577" t="str">
        <f>"048637"</f>
        <v>048637</v>
      </c>
      <c r="C577" t="s">
        <v>2624</v>
      </c>
      <c r="D577" t="s">
        <v>49</v>
      </c>
      <c r="E577" t="s">
        <v>50</v>
      </c>
      <c r="F577" t="s">
        <v>51</v>
      </c>
      <c r="G577" t="s">
        <v>325</v>
      </c>
      <c r="H577" t="s">
        <v>2625</v>
      </c>
      <c r="I577" t="s">
        <v>2626</v>
      </c>
      <c r="J577" t="s">
        <v>2627</v>
      </c>
      <c r="K577" t="s">
        <v>55</v>
      </c>
      <c r="L577" t="s">
        <v>2628</v>
      </c>
      <c r="M577" t="s">
        <v>57</v>
      </c>
      <c r="N577" t="str">
        <f>"048603"</f>
        <v>048603</v>
      </c>
      <c r="O577" t="s">
        <v>2174</v>
      </c>
      <c r="P577" t="s">
        <v>76</v>
      </c>
      <c r="Q577">
        <v>12</v>
      </c>
      <c r="R577">
        <v>3.4000000000000057</v>
      </c>
      <c r="S577" t="s">
        <v>180</v>
      </c>
    </row>
    <row r="578" spans="1:19" x14ac:dyDescent="0.35">
      <c r="A578">
        <v>50229</v>
      </c>
      <c r="B578" t="str">
        <f>"050229"</f>
        <v>050229</v>
      </c>
      <c r="C578" t="s">
        <v>2629</v>
      </c>
      <c r="D578" t="s">
        <v>49</v>
      </c>
      <c r="E578" t="s">
        <v>50</v>
      </c>
      <c r="F578" t="s">
        <v>51</v>
      </c>
      <c r="G578" t="s">
        <v>169</v>
      </c>
      <c r="H578" t="s">
        <v>2630</v>
      </c>
      <c r="I578" t="s">
        <v>2631</v>
      </c>
      <c r="J578" t="s">
        <v>2632</v>
      </c>
      <c r="K578" t="s">
        <v>55</v>
      </c>
      <c r="L578" t="s">
        <v>2633</v>
      </c>
      <c r="M578" t="s">
        <v>57</v>
      </c>
      <c r="N578" t="str">
        <f>"050088"</f>
        <v>050088</v>
      </c>
      <c r="O578" t="s">
        <v>416</v>
      </c>
      <c r="P578" t="s">
        <v>84</v>
      </c>
      <c r="Q578">
        <v>35</v>
      </c>
      <c r="R578">
        <v>11.299999999999997</v>
      </c>
      <c r="S578" t="s">
        <v>77</v>
      </c>
    </row>
    <row r="579" spans="1:19" x14ac:dyDescent="0.35">
      <c r="A579">
        <v>200008</v>
      </c>
      <c r="B579" t="str">
        <f>"200008"</f>
        <v>200008</v>
      </c>
      <c r="C579" t="s">
        <v>2634</v>
      </c>
      <c r="D579" t="s">
        <v>49</v>
      </c>
      <c r="E579" t="s">
        <v>62</v>
      </c>
      <c r="F579" t="s">
        <v>51</v>
      </c>
      <c r="G579" t="s">
        <v>244</v>
      </c>
      <c r="H579" t="s">
        <v>2249</v>
      </c>
      <c r="I579" t="s">
        <v>2250</v>
      </c>
      <c r="J579" t="s">
        <v>212</v>
      </c>
      <c r="K579" t="s">
        <v>55</v>
      </c>
      <c r="L579" t="s">
        <v>374</v>
      </c>
      <c r="M579" t="s">
        <v>57</v>
      </c>
      <c r="N579" t="str">
        <f>"N/A"</f>
        <v>N/A</v>
      </c>
      <c r="O579" t="s">
        <v>49</v>
      </c>
      <c r="P579" t="s">
        <v>68</v>
      </c>
      <c r="Q579" t="s">
        <v>68</v>
      </c>
      <c r="R579" t="s">
        <v>68</v>
      </c>
      <c r="S579" t="s">
        <v>217</v>
      </c>
    </row>
    <row r="580" spans="1:19" x14ac:dyDescent="0.35">
      <c r="A580">
        <v>46342</v>
      </c>
      <c r="B580" t="str">
        <f>"046342"</f>
        <v>046342</v>
      </c>
      <c r="C580" t="s">
        <v>2635</v>
      </c>
      <c r="D580" t="s">
        <v>49</v>
      </c>
      <c r="E580" t="s">
        <v>50</v>
      </c>
      <c r="F580" t="s">
        <v>51</v>
      </c>
      <c r="G580" t="s">
        <v>1041</v>
      </c>
      <c r="H580" t="s">
        <v>2636</v>
      </c>
      <c r="I580" t="s">
        <v>2637</v>
      </c>
      <c r="J580" t="s">
        <v>2638</v>
      </c>
      <c r="K580" t="s">
        <v>55</v>
      </c>
      <c r="L580" t="s">
        <v>2639</v>
      </c>
      <c r="M580" t="s">
        <v>57</v>
      </c>
      <c r="N580" t="str">
        <f>"046292"</f>
        <v>046292</v>
      </c>
      <c r="O580" t="s">
        <v>1045</v>
      </c>
      <c r="P580" t="s">
        <v>84</v>
      </c>
      <c r="Q580">
        <v>43.1</v>
      </c>
      <c r="R580">
        <v>12.400000000000006</v>
      </c>
      <c r="S580" t="s">
        <v>217</v>
      </c>
    </row>
    <row r="581" spans="1:19" x14ac:dyDescent="0.35">
      <c r="A581">
        <v>46946</v>
      </c>
      <c r="B581" t="str">
        <f>"046946"</f>
        <v>046946</v>
      </c>
      <c r="C581" t="s">
        <v>2640</v>
      </c>
      <c r="D581" t="s">
        <v>49</v>
      </c>
      <c r="E581" t="s">
        <v>50</v>
      </c>
      <c r="F581" t="s">
        <v>51</v>
      </c>
      <c r="G581" t="s">
        <v>600</v>
      </c>
      <c r="H581" t="s">
        <v>2641</v>
      </c>
      <c r="I581" t="s">
        <v>2642</v>
      </c>
      <c r="J581" t="s">
        <v>2643</v>
      </c>
      <c r="K581" t="s">
        <v>55</v>
      </c>
      <c r="L581" t="s">
        <v>2644</v>
      </c>
      <c r="M581" t="s">
        <v>57</v>
      </c>
      <c r="N581" t="str">
        <f>"046938"</f>
        <v>046938</v>
      </c>
      <c r="O581" t="s">
        <v>1029</v>
      </c>
      <c r="P581" t="s">
        <v>59</v>
      </c>
      <c r="Q581">
        <v>38.9</v>
      </c>
      <c r="R581">
        <v>47.2</v>
      </c>
      <c r="S581" t="s">
        <v>60</v>
      </c>
    </row>
    <row r="582" spans="1:19" x14ac:dyDescent="0.35">
      <c r="A582">
        <v>47449</v>
      </c>
      <c r="B582" t="str">
        <f>"047449"</f>
        <v>047449</v>
      </c>
      <c r="C582" t="s">
        <v>2645</v>
      </c>
      <c r="D582" t="s">
        <v>49</v>
      </c>
      <c r="E582" t="s">
        <v>50</v>
      </c>
      <c r="F582" t="s">
        <v>51</v>
      </c>
      <c r="G582" t="s">
        <v>821</v>
      </c>
      <c r="H582" t="s">
        <v>2646</v>
      </c>
      <c r="I582" t="s">
        <v>2647</v>
      </c>
      <c r="J582" t="s">
        <v>1427</v>
      </c>
      <c r="K582" t="s">
        <v>55</v>
      </c>
      <c r="L582" t="s">
        <v>1428</v>
      </c>
      <c r="M582" t="s">
        <v>57</v>
      </c>
      <c r="N582" t="str">
        <f>"047407"</f>
        <v>047407</v>
      </c>
      <c r="O582" t="s">
        <v>826</v>
      </c>
      <c r="P582" t="s">
        <v>84</v>
      </c>
      <c r="Q582">
        <v>18.2</v>
      </c>
      <c r="R582">
        <v>11.299999999999997</v>
      </c>
      <c r="S582" t="s">
        <v>156</v>
      </c>
    </row>
    <row r="583" spans="1:19" x14ac:dyDescent="0.35">
      <c r="A583">
        <v>45625</v>
      </c>
      <c r="B583" t="str">
        <f>"045625"</f>
        <v>045625</v>
      </c>
      <c r="C583" t="s">
        <v>2648</v>
      </c>
      <c r="D583" t="s">
        <v>49</v>
      </c>
      <c r="E583" t="s">
        <v>50</v>
      </c>
      <c r="F583" t="s">
        <v>51</v>
      </c>
      <c r="G583" t="s">
        <v>1702</v>
      </c>
      <c r="H583" t="s">
        <v>2649</v>
      </c>
      <c r="I583" t="s">
        <v>2650</v>
      </c>
      <c r="J583" t="s">
        <v>2651</v>
      </c>
      <c r="K583" t="s">
        <v>55</v>
      </c>
      <c r="L583" t="s">
        <v>2652</v>
      </c>
      <c r="M583" t="s">
        <v>57</v>
      </c>
      <c r="N583" t="str">
        <f>"050765"</f>
        <v>050765</v>
      </c>
      <c r="O583" t="s">
        <v>58</v>
      </c>
      <c r="P583" t="s">
        <v>84</v>
      </c>
      <c r="Q583">
        <v>35.799999999999997</v>
      </c>
      <c r="R583">
        <v>10.799999999999997</v>
      </c>
      <c r="S583" t="s">
        <v>156</v>
      </c>
    </row>
    <row r="584" spans="1:19" x14ac:dyDescent="0.35">
      <c r="A584">
        <v>47084</v>
      </c>
      <c r="B584" t="str">
        <f>"047084"</f>
        <v>047084</v>
      </c>
      <c r="C584" t="s">
        <v>2653</v>
      </c>
      <c r="D584" t="s">
        <v>49</v>
      </c>
      <c r="E584" t="s">
        <v>50</v>
      </c>
      <c r="F584" t="s">
        <v>51</v>
      </c>
      <c r="G584" t="s">
        <v>344</v>
      </c>
      <c r="H584" t="s">
        <v>2654</v>
      </c>
      <c r="I584" t="s">
        <v>2655</v>
      </c>
      <c r="J584" t="s">
        <v>2656</v>
      </c>
      <c r="K584" t="s">
        <v>55</v>
      </c>
      <c r="L584" t="s">
        <v>2657</v>
      </c>
      <c r="M584" t="s">
        <v>57</v>
      </c>
      <c r="N584" t="str">
        <f>"124297"</f>
        <v>124297</v>
      </c>
      <c r="O584" t="s">
        <v>349</v>
      </c>
      <c r="P584" t="s">
        <v>76</v>
      </c>
      <c r="Q584">
        <v>28.6</v>
      </c>
      <c r="R584">
        <v>11.400000000000006</v>
      </c>
      <c r="S584" t="s">
        <v>156</v>
      </c>
    </row>
    <row r="585" spans="1:19" x14ac:dyDescent="0.35">
      <c r="A585">
        <v>200092</v>
      </c>
      <c r="B585" t="str">
        <f>"200092"</f>
        <v>200092</v>
      </c>
      <c r="C585" t="s">
        <v>2658</v>
      </c>
      <c r="D585" t="s">
        <v>49</v>
      </c>
      <c r="E585" t="s">
        <v>62</v>
      </c>
      <c r="F585" t="s">
        <v>51</v>
      </c>
      <c r="G585" t="s">
        <v>117</v>
      </c>
      <c r="H585" t="s">
        <v>975</v>
      </c>
      <c r="I585" t="s">
        <v>976</v>
      </c>
      <c r="J585" t="s">
        <v>977</v>
      </c>
      <c r="K585" t="s">
        <v>55</v>
      </c>
      <c r="L585" t="s">
        <v>978</v>
      </c>
      <c r="M585" t="s">
        <v>57</v>
      </c>
      <c r="N585" t="str">
        <f>"N/A"</f>
        <v>N/A</v>
      </c>
      <c r="O585" t="s">
        <v>49</v>
      </c>
      <c r="P585" t="s">
        <v>68</v>
      </c>
      <c r="Q585" t="s">
        <v>68</v>
      </c>
      <c r="R585" t="s">
        <v>68</v>
      </c>
      <c r="S585" t="s">
        <v>77</v>
      </c>
    </row>
    <row r="586" spans="1:19" x14ac:dyDescent="0.35">
      <c r="A586">
        <v>200090</v>
      </c>
      <c r="B586" t="str">
        <f>"200090"</f>
        <v>200090</v>
      </c>
      <c r="C586" t="s">
        <v>2659</v>
      </c>
      <c r="D586" t="s">
        <v>49</v>
      </c>
      <c r="E586" t="s">
        <v>62</v>
      </c>
      <c r="F586" t="s">
        <v>51</v>
      </c>
      <c r="G586" t="s">
        <v>117</v>
      </c>
      <c r="H586" t="s">
        <v>2660</v>
      </c>
      <c r="I586" t="s">
        <v>2661</v>
      </c>
      <c r="J586" t="s">
        <v>1409</v>
      </c>
      <c r="K586" t="s">
        <v>55</v>
      </c>
      <c r="L586" t="s">
        <v>2662</v>
      </c>
      <c r="M586" t="s">
        <v>57</v>
      </c>
      <c r="N586" t="str">
        <f>"N/A"</f>
        <v>N/A</v>
      </c>
      <c r="O586" t="s">
        <v>49</v>
      </c>
      <c r="P586" t="s">
        <v>68</v>
      </c>
      <c r="Q586" t="s">
        <v>68</v>
      </c>
      <c r="R586" t="s">
        <v>68</v>
      </c>
      <c r="S586" t="s">
        <v>77</v>
      </c>
    </row>
    <row r="587" spans="1:19" x14ac:dyDescent="0.35">
      <c r="A587">
        <v>44743</v>
      </c>
      <c r="B587" t="str">
        <f>"044743"</f>
        <v>044743</v>
      </c>
      <c r="C587" t="s">
        <v>2663</v>
      </c>
      <c r="D587" t="s">
        <v>49</v>
      </c>
      <c r="E587" t="s">
        <v>50</v>
      </c>
      <c r="F587" t="s">
        <v>51</v>
      </c>
      <c r="G587" t="s">
        <v>759</v>
      </c>
      <c r="H587" t="s">
        <v>1876</v>
      </c>
      <c r="I587" t="s">
        <v>1877</v>
      </c>
      <c r="J587" t="s">
        <v>400</v>
      </c>
      <c r="K587" t="s">
        <v>55</v>
      </c>
      <c r="L587" t="s">
        <v>762</v>
      </c>
      <c r="M587" t="s">
        <v>57</v>
      </c>
      <c r="N587" t="str">
        <f>"050765"</f>
        <v>050765</v>
      </c>
      <c r="O587" t="s">
        <v>58</v>
      </c>
      <c r="P587" t="s">
        <v>281</v>
      </c>
      <c r="Q587">
        <v>100</v>
      </c>
      <c r="R587">
        <v>63.7</v>
      </c>
      <c r="S587" t="s">
        <v>69</v>
      </c>
    </row>
    <row r="588" spans="1:19" x14ac:dyDescent="0.35">
      <c r="A588">
        <v>46284</v>
      </c>
      <c r="B588" t="str">
        <f>"046284"</f>
        <v>046284</v>
      </c>
      <c r="C588" t="s">
        <v>2664</v>
      </c>
      <c r="D588" t="s">
        <v>49</v>
      </c>
      <c r="E588" t="s">
        <v>50</v>
      </c>
      <c r="F588" t="s">
        <v>51</v>
      </c>
      <c r="G588" t="s">
        <v>777</v>
      </c>
      <c r="H588" t="s">
        <v>2665</v>
      </c>
      <c r="I588" t="s">
        <v>2666</v>
      </c>
      <c r="J588" t="s">
        <v>780</v>
      </c>
      <c r="K588" t="s">
        <v>55</v>
      </c>
      <c r="L588" t="s">
        <v>781</v>
      </c>
      <c r="M588" t="s">
        <v>57</v>
      </c>
      <c r="N588" t="str">
        <f>"046227"</f>
        <v>046227</v>
      </c>
      <c r="O588" t="s">
        <v>782</v>
      </c>
      <c r="P588" t="s">
        <v>84</v>
      </c>
      <c r="Q588">
        <v>44.8</v>
      </c>
      <c r="R588">
        <v>19.099999999999994</v>
      </c>
      <c r="S588" t="s">
        <v>180</v>
      </c>
    </row>
    <row r="589" spans="1:19" x14ac:dyDescent="0.35">
      <c r="A589">
        <v>46763</v>
      </c>
      <c r="B589" t="str">
        <f>"046763"</f>
        <v>046763</v>
      </c>
      <c r="C589" t="s">
        <v>2667</v>
      </c>
      <c r="D589" t="s">
        <v>49</v>
      </c>
      <c r="E589" t="s">
        <v>50</v>
      </c>
      <c r="F589" t="s">
        <v>51</v>
      </c>
      <c r="G589" t="s">
        <v>52</v>
      </c>
      <c r="H589" t="s">
        <v>2668</v>
      </c>
      <c r="I589" t="s">
        <v>2669</v>
      </c>
      <c r="J589" t="s">
        <v>2670</v>
      </c>
      <c r="K589" t="s">
        <v>55</v>
      </c>
      <c r="L589" t="s">
        <v>2671</v>
      </c>
      <c r="M589" t="s">
        <v>57</v>
      </c>
      <c r="N589" t="str">
        <f>"046938"</f>
        <v>046938</v>
      </c>
      <c r="O589" t="s">
        <v>1029</v>
      </c>
      <c r="P589" t="s">
        <v>59</v>
      </c>
      <c r="Q589">
        <v>8.3000000000000007</v>
      </c>
      <c r="R589">
        <v>34.799999999999997</v>
      </c>
      <c r="S589" t="s">
        <v>60</v>
      </c>
    </row>
    <row r="590" spans="1:19" x14ac:dyDescent="0.35">
      <c r="A590">
        <v>47274</v>
      </c>
      <c r="B590" t="str">
        <f>"047274"</f>
        <v>047274</v>
      </c>
      <c r="C590" t="s">
        <v>2672</v>
      </c>
      <c r="D590" t="s">
        <v>49</v>
      </c>
      <c r="E590" t="s">
        <v>50</v>
      </c>
      <c r="F590" t="s">
        <v>51</v>
      </c>
      <c r="G590" t="s">
        <v>642</v>
      </c>
      <c r="H590" t="s">
        <v>2673</v>
      </c>
      <c r="I590" t="s">
        <v>2674</v>
      </c>
      <c r="J590" t="s">
        <v>2675</v>
      </c>
      <c r="K590" t="s">
        <v>55</v>
      </c>
      <c r="L590" t="s">
        <v>2676</v>
      </c>
      <c r="M590" t="s">
        <v>57</v>
      </c>
      <c r="N590" t="str">
        <f>"047233"</f>
        <v>047233</v>
      </c>
      <c r="O590" t="s">
        <v>647</v>
      </c>
      <c r="P590" t="s">
        <v>59</v>
      </c>
      <c r="Q590">
        <v>12.5</v>
      </c>
      <c r="R590">
        <v>15.700000000000003</v>
      </c>
      <c r="S590" t="s">
        <v>180</v>
      </c>
    </row>
    <row r="591" spans="1:19" x14ac:dyDescent="0.35">
      <c r="A591">
        <v>48207</v>
      </c>
      <c r="B591" t="str">
        <f>"048207"</f>
        <v>048207</v>
      </c>
      <c r="C591" t="s">
        <v>2677</v>
      </c>
      <c r="D591" t="s">
        <v>49</v>
      </c>
      <c r="E591" t="s">
        <v>50</v>
      </c>
      <c r="F591" t="s">
        <v>51</v>
      </c>
      <c r="G591" t="s">
        <v>200</v>
      </c>
      <c r="H591" t="s">
        <v>2678</v>
      </c>
      <c r="I591" t="s">
        <v>2679</v>
      </c>
      <c r="J591" t="s">
        <v>2680</v>
      </c>
      <c r="K591" t="s">
        <v>55</v>
      </c>
      <c r="L591" t="s">
        <v>2681</v>
      </c>
      <c r="M591" t="s">
        <v>57</v>
      </c>
      <c r="N591" t="str">
        <f>"048199"</f>
        <v>048199</v>
      </c>
      <c r="O591" t="s">
        <v>339</v>
      </c>
      <c r="P591" t="s">
        <v>59</v>
      </c>
      <c r="Q591">
        <v>11.6</v>
      </c>
      <c r="R591">
        <v>7.4000000000000057</v>
      </c>
      <c r="S591" t="s">
        <v>156</v>
      </c>
    </row>
    <row r="592" spans="1:19" x14ac:dyDescent="0.35">
      <c r="A592">
        <v>44602</v>
      </c>
      <c r="B592" t="str">
        <f>"044602"</f>
        <v>044602</v>
      </c>
      <c r="C592" t="s">
        <v>2682</v>
      </c>
      <c r="D592" t="s">
        <v>49</v>
      </c>
      <c r="E592" t="s">
        <v>50</v>
      </c>
      <c r="F592" t="s">
        <v>51</v>
      </c>
      <c r="G592" t="s">
        <v>200</v>
      </c>
      <c r="H592" t="s">
        <v>2683</v>
      </c>
      <c r="I592" t="s">
        <v>2684</v>
      </c>
      <c r="J592" t="s">
        <v>2685</v>
      </c>
      <c r="K592" t="s">
        <v>55</v>
      </c>
      <c r="L592" t="s">
        <v>2686</v>
      </c>
      <c r="M592" t="s">
        <v>57</v>
      </c>
      <c r="N592" t="str">
        <f>"050765"</f>
        <v>050765</v>
      </c>
      <c r="O592" t="s">
        <v>58</v>
      </c>
      <c r="P592" t="s">
        <v>84</v>
      </c>
      <c r="Q592">
        <v>41.9</v>
      </c>
      <c r="R592">
        <v>21.799999999999997</v>
      </c>
      <c r="S592" t="s">
        <v>156</v>
      </c>
    </row>
    <row r="593" spans="1:19" x14ac:dyDescent="0.35">
      <c r="A593">
        <v>45047</v>
      </c>
      <c r="B593" t="str">
        <f>"045047"</f>
        <v>045047</v>
      </c>
      <c r="C593" t="s">
        <v>2687</v>
      </c>
      <c r="D593" t="s">
        <v>49</v>
      </c>
      <c r="E593" t="s">
        <v>50</v>
      </c>
      <c r="F593" t="s">
        <v>51</v>
      </c>
      <c r="G593" t="s">
        <v>600</v>
      </c>
      <c r="H593" t="s">
        <v>2688</v>
      </c>
      <c r="I593" t="s">
        <v>2689</v>
      </c>
      <c r="J593" t="s">
        <v>2690</v>
      </c>
      <c r="K593" t="s">
        <v>55</v>
      </c>
      <c r="L593" t="s">
        <v>2691</v>
      </c>
      <c r="M593" t="s">
        <v>57</v>
      </c>
      <c r="N593" t="str">
        <f>"050765"</f>
        <v>050765</v>
      </c>
      <c r="O593" t="s">
        <v>58</v>
      </c>
      <c r="P593" t="s">
        <v>59</v>
      </c>
      <c r="Q593">
        <v>37.799999999999997</v>
      </c>
      <c r="R593">
        <v>49.1</v>
      </c>
      <c r="S593" t="s">
        <v>60</v>
      </c>
    </row>
    <row r="594" spans="1:19" x14ac:dyDescent="0.35">
      <c r="A594">
        <v>46177</v>
      </c>
      <c r="B594" t="str">
        <f>"046177"</f>
        <v>046177</v>
      </c>
      <c r="C594" t="s">
        <v>2692</v>
      </c>
      <c r="D594" t="s">
        <v>49</v>
      </c>
      <c r="E594" t="s">
        <v>50</v>
      </c>
      <c r="F594" t="s">
        <v>51</v>
      </c>
      <c r="G594" t="s">
        <v>104</v>
      </c>
      <c r="H594" t="s">
        <v>2693</v>
      </c>
      <c r="I594" t="s">
        <v>2694</v>
      </c>
      <c r="J594" t="s">
        <v>1673</v>
      </c>
      <c r="K594" t="s">
        <v>55</v>
      </c>
      <c r="L594" t="s">
        <v>1674</v>
      </c>
      <c r="M594" t="s">
        <v>57</v>
      </c>
      <c r="N594" t="str">
        <f>"050765"</f>
        <v>050765</v>
      </c>
      <c r="O594" t="s">
        <v>58</v>
      </c>
      <c r="P594" t="s">
        <v>76</v>
      </c>
      <c r="Q594">
        <v>45.3</v>
      </c>
      <c r="R594">
        <v>7.4000000000000057</v>
      </c>
      <c r="S594" t="s">
        <v>77</v>
      </c>
    </row>
    <row r="595" spans="1:19" x14ac:dyDescent="0.35">
      <c r="A595">
        <v>43927</v>
      </c>
      <c r="B595" t="str">
        <f>"043927"</f>
        <v>043927</v>
      </c>
      <c r="C595" t="s">
        <v>2695</v>
      </c>
      <c r="D595" t="s">
        <v>49</v>
      </c>
      <c r="E595" t="s">
        <v>50</v>
      </c>
      <c r="F595" t="s">
        <v>51</v>
      </c>
      <c r="G595" t="s">
        <v>536</v>
      </c>
      <c r="H595" t="s">
        <v>2696</v>
      </c>
      <c r="I595" t="s">
        <v>2697</v>
      </c>
      <c r="J595" t="s">
        <v>2698</v>
      </c>
      <c r="K595" t="s">
        <v>55</v>
      </c>
      <c r="L595" t="s">
        <v>2699</v>
      </c>
      <c r="M595" t="s">
        <v>57</v>
      </c>
      <c r="N595" t="str">
        <f>"050765"</f>
        <v>050765</v>
      </c>
      <c r="O595" t="s">
        <v>58</v>
      </c>
      <c r="P595" t="s">
        <v>76</v>
      </c>
      <c r="Q595">
        <v>45.9</v>
      </c>
      <c r="R595">
        <v>6.7000000000000028</v>
      </c>
      <c r="S595" t="s">
        <v>77</v>
      </c>
    </row>
    <row r="596" spans="1:19" x14ac:dyDescent="0.35">
      <c r="A596">
        <v>45013</v>
      </c>
      <c r="B596" t="str">
        <f>"045013"</f>
        <v>045013</v>
      </c>
      <c r="C596" t="s">
        <v>2700</v>
      </c>
      <c r="D596" t="s">
        <v>49</v>
      </c>
      <c r="E596" t="s">
        <v>50</v>
      </c>
      <c r="F596" t="s">
        <v>51</v>
      </c>
      <c r="G596" t="s">
        <v>2298</v>
      </c>
      <c r="H596" t="s">
        <v>2701</v>
      </c>
      <c r="I596" t="s">
        <v>2702</v>
      </c>
      <c r="J596" t="s">
        <v>2703</v>
      </c>
      <c r="K596" t="s">
        <v>55</v>
      </c>
      <c r="L596" t="s">
        <v>2302</v>
      </c>
      <c r="M596" t="s">
        <v>57</v>
      </c>
      <c r="N596" t="str">
        <f>"050765"</f>
        <v>050765</v>
      </c>
      <c r="O596" t="s">
        <v>58</v>
      </c>
      <c r="P596" t="s">
        <v>84</v>
      </c>
      <c r="Q596">
        <v>58.8</v>
      </c>
      <c r="R596">
        <v>15.299999999999997</v>
      </c>
      <c r="S596" t="s">
        <v>60</v>
      </c>
    </row>
    <row r="597" spans="1:19" x14ac:dyDescent="0.35">
      <c r="A597">
        <v>47712</v>
      </c>
      <c r="B597" t="str">
        <f>"047712"</f>
        <v>047712</v>
      </c>
      <c r="C597" t="s">
        <v>2704</v>
      </c>
      <c r="D597" t="s">
        <v>49</v>
      </c>
      <c r="E597" t="s">
        <v>50</v>
      </c>
      <c r="F597" t="s">
        <v>51</v>
      </c>
      <c r="G597" t="s">
        <v>79</v>
      </c>
      <c r="H597" t="s">
        <v>2705</v>
      </c>
      <c r="I597" t="s">
        <v>2706</v>
      </c>
      <c r="J597" t="s">
        <v>2707</v>
      </c>
      <c r="K597" t="s">
        <v>55</v>
      </c>
      <c r="L597" t="s">
        <v>2708</v>
      </c>
      <c r="M597" t="s">
        <v>57</v>
      </c>
      <c r="N597" t="str">
        <f>"125690"</f>
        <v>125690</v>
      </c>
      <c r="O597" t="s">
        <v>262</v>
      </c>
      <c r="P597" t="s">
        <v>76</v>
      </c>
      <c r="Q597">
        <v>29.9</v>
      </c>
      <c r="R597">
        <v>4.2999999999999972</v>
      </c>
      <c r="S597" t="s">
        <v>69</v>
      </c>
    </row>
    <row r="598" spans="1:19" x14ac:dyDescent="0.35">
      <c r="A598">
        <v>200107</v>
      </c>
      <c r="B598" t="str">
        <f>"200107"</f>
        <v>200107</v>
      </c>
      <c r="C598" t="s">
        <v>2709</v>
      </c>
      <c r="D598" t="s">
        <v>49</v>
      </c>
      <c r="E598" t="s">
        <v>62</v>
      </c>
      <c r="F598" t="s">
        <v>51</v>
      </c>
      <c r="G598" t="s">
        <v>621</v>
      </c>
      <c r="H598" t="s">
        <v>622</v>
      </c>
      <c r="I598" t="s">
        <v>623</v>
      </c>
      <c r="J598" t="s">
        <v>624</v>
      </c>
      <c r="K598" t="s">
        <v>55</v>
      </c>
      <c r="L598" t="s">
        <v>625</v>
      </c>
      <c r="M598" t="s">
        <v>57</v>
      </c>
      <c r="N598" t="str">
        <f>"N/A"</f>
        <v>N/A</v>
      </c>
      <c r="O598" t="s">
        <v>49</v>
      </c>
      <c r="P598" t="s">
        <v>68</v>
      </c>
      <c r="Q598" t="s">
        <v>68</v>
      </c>
      <c r="R598" t="s">
        <v>68</v>
      </c>
      <c r="S598" t="s">
        <v>130</v>
      </c>
    </row>
    <row r="599" spans="1:19" x14ac:dyDescent="0.35">
      <c r="A599">
        <v>45203</v>
      </c>
      <c r="B599" t="str">
        <f>"045203"</f>
        <v>045203</v>
      </c>
      <c r="C599" t="s">
        <v>2710</v>
      </c>
      <c r="D599" t="s">
        <v>49</v>
      </c>
      <c r="E599" t="s">
        <v>50</v>
      </c>
      <c r="F599" t="s">
        <v>51</v>
      </c>
      <c r="G599" t="s">
        <v>233</v>
      </c>
      <c r="H599" t="s">
        <v>2711</v>
      </c>
      <c r="I599" t="s">
        <v>2712</v>
      </c>
      <c r="J599" t="s">
        <v>2713</v>
      </c>
      <c r="K599" t="s">
        <v>55</v>
      </c>
      <c r="L599" t="s">
        <v>2714</v>
      </c>
      <c r="M599" t="s">
        <v>57</v>
      </c>
      <c r="N599" t="str">
        <f>"050765"</f>
        <v>050765</v>
      </c>
      <c r="O599" t="s">
        <v>58</v>
      </c>
      <c r="P599" t="s">
        <v>76</v>
      </c>
      <c r="Q599">
        <v>42</v>
      </c>
      <c r="R599">
        <v>3.2999999999999972</v>
      </c>
      <c r="S599" t="s">
        <v>130</v>
      </c>
    </row>
    <row r="600" spans="1:19" x14ac:dyDescent="0.35">
      <c r="A600">
        <v>45260</v>
      </c>
      <c r="B600" t="str">
        <f>"045260"</f>
        <v>045260</v>
      </c>
      <c r="C600" t="s">
        <v>2715</v>
      </c>
      <c r="D600" t="s">
        <v>49</v>
      </c>
      <c r="E600" t="s">
        <v>50</v>
      </c>
      <c r="F600" t="s">
        <v>51</v>
      </c>
      <c r="G600" t="s">
        <v>1702</v>
      </c>
      <c r="H600" t="s">
        <v>2716</v>
      </c>
      <c r="I600" t="s">
        <v>2717</v>
      </c>
      <c r="J600" t="s">
        <v>2718</v>
      </c>
      <c r="K600" t="s">
        <v>55</v>
      </c>
      <c r="L600" t="s">
        <v>2719</v>
      </c>
      <c r="M600" t="s">
        <v>57</v>
      </c>
      <c r="N600" t="str">
        <f>"050765"</f>
        <v>050765</v>
      </c>
      <c r="O600" t="s">
        <v>58</v>
      </c>
      <c r="P600" t="s">
        <v>76</v>
      </c>
      <c r="Q600">
        <v>30.3</v>
      </c>
      <c r="R600">
        <v>7.4000000000000057</v>
      </c>
      <c r="S600" t="s">
        <v>156</v>
      </c>
    </row>
    <row r="601" spans="1:19" x14ac:dyDescent="0.35">
      <c r="A601">
        <v>50278</v>
      </c>
      <c r="B601" t="str">
        <f>"050278"</f>
        <v>050278</v>
      </c>
      <c r="C601" t="s">
        <v>2720</v>
      </c>
      <c r="D601" t="s">
        <v>49</v>
      </c>
      <c r="E601" t="s">
        <v>50</v>
      </c>
      <c r="F601" t="s">
        <v>51</v>
      </c>
      <c r="G601" t="s">
        <v>71</v>
      </c>
      <c r="H601" t="s">
        <v>2721</v>
      </c>
      <c r="I601" t="s">
        <v>2722</v>
      </c>
      <c r="J601" t="s">
        <v>2723</v>
      </c>
      <c r="K601" t="s">
        <v>55</v>
      </c>
      <c r="L601" t="s">
        <v>2724</v>
      </c>
      <c r="M601" t="s">
        <v>57</v>
      </c>
      <c r="N601" t="str">
        <f>"050260"</f>
        <v>050260</v>
      </c>
      <c r="O601" t="s">
        <v>1170</v>
      </c>
      <c r="P601" t="s">
        <v>76</v>
      </c>
      <c r="Q601">
        <v>31</v>
      </c>
      <c r="R601">
        <v>7.5999999999999943</v>
      </c>
      <c r="S601" t="s">
        <v>77</v>
      </c>
    </row>
    <row r="602" spans="1:19" x14ac:dyDescent="0.35">
      <c r="A602">
        <v>45773</v>
      </c>
      <c r="B602" t="str">
        <f>"045773"</f>
        <v>045773</v>
      </c>
      <c r="C602" t="s">
        <v>2725</v>
      </c>
      <c r="D602" t="s">
        <v>49</v>
      </c>
      <c r="E602" t="s">
        <v>50</v>
      </c>
      <c r="F602" t="s">
        <v>51</v>
      </c>
      <c r="G602" t="s">
        <v>1193</v>
      </c>
      <c r="H602" t="s">
        <v>2726</v>
      </c>
      <c r="I602" t="s">
        <v>2727</v>
      </c>
      <c r="J602" t="s">
        <v>2728</v>
      </c>
      <c r="K602" t="s">
        <v>55</v>
      </c>
      <c r="L602" t="s">
        <v>2729</v>
      </c>
      <c r="M602" t="s">
        <v>57</v>
      </c>
      <c r="N602" t="str">
        <f>"045740"</f>
        <v>045740</v>
      </c>
      <c r="O602" t="s">
        <v>1198</v>
      </c>
      <c r="P602" t="s">
        <v>84</v>
      </c>
      <c r="Q602">
        <v>50</v>
      </c>
      <c r="R602">
        <v>34.5</v>
      </c>
      <c r="S602" t="s">
        <v>156</v>
      </c>
    </row>
    <row r="603" spans="1:19" x14ac:dyDescent="0.35">
      <c r="A603">
        <v>46953</v>
      </c>
      <c r="B603" t="str">
        <f>"046953"</f>
        <v>046953</v>
      </c>
      <c r="C603" t="s">
        <v>2730</v>
      </c>
      <c r="D603" t="s">
        <v>49</v>
      </c>
      <c r="E603" t="s">
        <v>50</v>
      </c>
      <c r="F603" t="s">
        <v>51</v>
      </c>
      <c r="G603" t="s">
        <v>600</v>
      </c>
      <c r="H603" t="s">
        <v>2731</v>
      </c>
      <c r="I603" t="s">
        <v>2732</v>
      </c>
      <c r="J603" t="s">
        <v>1348</v>
      </c>
      <c r="K603" t="s">
        <v>55</v>
      </c>
      <c r="L603" t="s">
        <v>2733</v>
      </c>
      <c r="M603" t="s">
        <v>57</v>
      </c>
      <c r="N603" t="str">
        <f>"046938"</f>
        <v>046938</v>
      </c>
      <c r="O603" t="s">
        <v>1029</v>
      </c>
      <c r="P603" t="s">
        <v>84</v>
      </c>
      <c r="Q603">
        <v>61.7</v>
      </c>
      <c r="R603">
        <v>31.900000000000006</v>
      </c>
      <c r="S603" t="s">
        <v>60</v>
      </c>
    </row>
    <row r="604" spans="1:19" x14ac:dyDescent="0.35">
      <c r="A604">
        <v>43869</v>
      </c>
      <c r="B604" t="str">
        <f>"043869"</f>
        <v>043869</v>
      </c>
      <c r="C604" t="s">
        <v>2734</v>
      </c>
      <c r="D604" t="s">
        <v>49</v>
      </c>
      <c r="E604" t="s">
        <v>50</v>
      </c>
      <c r="F604" t="s">
        <v>51</v>
      </c>
      <c r="G604" t="s">
        <v>2304</v>
      </c>
      <c r="H604" t="s">
        <v>2735</v>
      </c>
      <c r="I604" t="s">
        <v>2736</v>
      </c>
      <c r="J604" t="s">
        <v>2304</v>
      </c>
      <c r="K604" t="s">
        <v>55</v>
      </c>
      <c r="L604" t="s">
        <v>2369</v>
      </c>
      <c r="M604" t="s">
        <v>57</v>
      </c>
      <c r="N604" t="str">
        <f>"050765"</f>
        <v>050765</v>
      </c>
      <c r="O604" t="s">
        <v>58</v>
      </c>
      <c r="P604" t="s">
        <v>84</v>
      </c>
      <c r="Q604">
        <v>50.6</v>
      </c>
      <c r="R604">
        <v>37.200000000000003</v>
      </c>
      <c r="S604" t="s">
        <v>156</v>
      </c>
    </row>
    <row r="605" spans="1:19" x14ac:dyDescent="0.35">
      <c r="A605">
        <v>48975</v>
      </c>
      <c r="B605" t="str">
        <f>"048975"</f>
        <v>048975</v>
      </c>
      <c r="C605" t="s">
        <v>2737</v>
      </c>
      <c r="D605" t="s">
        <v>49</v>
      </c>
      <c r="E605" t="s">
        <v>50</v>
      </c>
      <c r="F605" t="s">
        <v>51</v>
      </c>
      <c r="G605" t="s">
        <v>257</v>
      </c>
      <c r="H605" t="s">
        <v>2738</v>
      </c>
      <c r="I605" t="s">
        <v>2739</v>
      </c>
      <c r="J605" t="s">
        <v>2740</v>
      </c>
      <c r="K605" t="s">
        <v>55</v>
      </c>
      <c r="L605" t="s">
        <v>2741</v>
      </c>
      <c r="M605" t="s">
        <v>57</v>
      </c>
      <c r="N605" t="str">
        <f>"125690"</f>
        <v>125690</v>
      </c>
      <c r="O605" t="s">
        <v>262</v>
      </c>
      <c r="P605" t="s">
        <v>1977</v>
      </c>
      <c r="Q605" t="s">
        <v>2742</v>
      </c>
      <c r="R605">
        <v>2.9000000000000057</v>
      </c>
      <c r="S605" t="s">
        <v>156</v>
      </c>
    </row>
    <row r="606" spans="1:19" x14ac:dyDescent="0.35">
      <c r="A606">
        <v>65227</v>
      </c>
      <c r="B606" t="str">
        <f>"065227"</f>
        <v>065227</v>
      </c>
      <c r="C606" t="s">
        <v>2743</v>
      </c>
      <c r="D606" t="s">
        <v>49</v>
      </c>
      <c r="E606" t="s">
        <v>163</v>
      </c>
      <c r="F606" t="s">
        <v>51</v>
      </c>
      <c r="G606" t="s">
        <v>1613</v>
      </c>
      <c r="H606" t="s">
        <v>2744</v>
      </c>
      <c r="I606" t="s">
        <v>2745</v>
      </c>
      <c r="J606" t="s">
        <v>1613</v>
      </c>
      <c r="K606" t="s">
        <v>55</v>
      </c>
      <c r="L606" t="s">
        <v>1616</v>
      </c>
      <c r="M606" t="s">
        <v>57</v>
      </c>
      <c r="N606" t="str">
        <f>"050765"</f>
        <v>050765</v>
      </c>
      <c r="O606" t="s">
        <v>58</v>
      </c>
      <c r="P606" t="s">
        <v>68</v>
      </c>
      <c r="Q606" t="s">
        <v>68</v>
      </c>
      <c r="R606" t="s">
        <v>68</v>
      </c>
      <c r="S606" t="s">
        <v>130</v>
      </c>
    </row>
    <row r="607" spans="1:19" x14ac:dyDescent="0.35">
      <c r="A607">
        <v>200085</v>
      </c>
      <c r="B607" t="str">
        <f>"200085"</f>
        <v>200085</v>
      </c>
      <c r="C607" t="s">
        <v>2746</v>
      </c>
      <c r="D607" t="s">
        <v>49</v>
      </c>
      <c r="E607" t="s">
        <v>62</v>
      </c>
      <c r="F607" t="s">
        <v>51</v>
      </c>
      <c r="G607" t="s">
        <v>400</v>
      </c>
      <c r="H607" t="s">
        <v>2747</v>
      </c>
      <c r="I607" t="s">
        <v>2748</v>
      </c>
      <c r="J607" t="s">
        <v>2749</v>
      </c>
      <c r="K607" t="s">
        <v>55</v>
      </c>
      <c r="L607" t="s">
        <v>2750</v>
      </c>
      <c r="M607" t="s">
        <v>57</v>
      </c>
      <c r="N607" t="str">
        <f>"N/A"</f>
        <v>N/A</v>
      </c>
      <c r="O607" t="s">
        <v>49</v>
      </c>
      <c r="P607" t="s">
        <v>68</v>
      </c>
      <c r="Q607" t="s">
        <v>68</v>
      </c>
      <c r="R607" t="s">
        <v>68</v>
      </c>
      <c r="S607" t="s">
        <v>156</v>
      </c>
    </row>
    <row r="608" spans="1:19" x14ac:dyDescent="0.35">
      <c r="A608">
        <v>44685</v>
      </c>
      <c r="B608" t="str">
        <f>"044685"</f>
        <v>044685</v>
      </c>
      <c r="C608" t="s">
        <v>2751</v>
      </c>
      <c r="D608" t="s">
        <v>49</v>
      </c>
      <c r="E608" t="s">
        <v>50</v>
      </c>
      <c r="F608" t="s">
        <v>51</v>
      </c>
      <c r="G608" t="s">
        <v>295</v>
      </c>
      <c r="H608" t="s">
        <v>2752</v>
      </c>
      <c r="I608" t="s">
        <v>2753</v>
      </c>
      <c r="J608" t="s">
        <v>1764</v>
      </c>
      <c r="K608" t="s">
        <v>55</v>
      </c>
      <c r="L608" t="s">
        <v>1765</v>
      </c>
      <c r="M608" t="s">
        <v>57</v>
      </c>
      <c r="N608" t="str">
        <f>"050765"</f>
        <v>050765</v>
      </c>
      <c r="O608" t="s">
        <v>58</v>
      </c>
      <c r="P608" t="s">
        <v>84</v>
      </c>
      <c r="Q608">
        <v>100</v>
      </c>
      <c r="R608">
        <v>31.700000000000003</v>
      </c>
      <c r="S608" t="s">
        <v>77</v>
      </c>
    </row>
    <row r="609" spans="1:19" x14ac:dyDescent="0.35">
      <c r="A609">
        <v>45153</v>
      </c>
      <c r="B609" t="str">
        <f>"045153"</f>
        <v>045153</v>
      </c>
      <c r="C609" t="s">
        <v>2754</v>
      </c>
      <c r="D609" t="s">
        <v>49</v>
      </c>
      <c r="E609" t="s">
        <v>50</v>
      </c>
      <c r="F609" t="s">
        <v>51</v>
      </c>
      <c r="G609" t="s">
        <v>642</v>
      </c>
      <c r="H609" t="s">
        <v>2755</v>
      </c>
      <c r="I609" t="s">
        <v>2756</v>
      </c>
      <c r="J609" t="s">
        <v>1469</v>
      </c>
      <c r="K609" t="s">
        <v>55</v>
      </c>
      <c r="L609" t="s">
        <v>1470</v>
      </c>
      <c r="M609" t="s">
        <v>57</v>
      </c>
      <c r="N609" t="str">
        <f>"050765"</f>
        <v>050765</v>
      </c>
      <c r="O609" t="s">
        <v>58</v>
      </c>
      <c r="P609" t="s">
        <v>84</v>
      </c>
      <c r="Q609">
        <v>81.400000000000006</v>
      </c>
      <c r="R609">
        <v>27.700000000000003</v>
      </c>
      <c r="S609" t="s">
        <v>180</v>
      </c>
    </row>
    <row r="610" spans="1:19" x14ac:dyDescent="0.35">
      <c r="A610">
        <v>48652</v>
      </c>
      <c r="B610" t="str">
        <f>"048652"</f>
        <v>048652</v>
      </c>
      <c r="C610" t="s">
        <v>2757</v>
      </c>
      <c r="D610" t="s">
        <v>49</v>
      </c>
      <c r="E610" t="s">
        <v>50</v>
      </c>
      <c r="F610" t="s">
        <v>51</v>
      </c>
      <c r="G610" t="s">
        <v>1239</v>
      </c>
      <c r="H610" t="s">
        <v>1240</v>
      </c>
      <c r="I610" t="s">
        <v>1241</v>
      </c>
      <c r="J610" t="s">
        <v>1242</v>
      </c>
      <c r="K610" t="s">
        <v>55</v>
      </c>
      <c r="L610" t="s">
        <v>1243</v>
      </c>
      <c r="M610" t="s">
        <v>57</v>
      </c>
      <c r="N610" t="str">
        <f>"123281"</f>
        <v>123281</v>
      </c>
      <c r="O610" t="s">
        <v>129</v>
      </c>
      <c r="P610" t="s">
        <v>76</v>
      </c>
      <c r="Q610">
        <v>46.9</v>
      </c>
      <c r="R610">
        <v>2.7000000000000028</v>
      </c>
      <c r="S610" t="s">
        <v>130</v>
      </c>
    </row>
    <row r="611" spans="1:19" x14ac:dyDescent="0.35">
      <c r="A611">
        <v>45757</v>
      </c>
      <c r="B611" t="str">
        <f>"045757"</f>
        <v>045757</v>
      </c>
      <c r="C611" t="s">
        <v>2758</v>
      </c>
      <c r="D611" t="s">
        <v>49</v>
      </c>
      <c r="E611" t="s">
        <v>50</v>
      </c>
      <c r="F611" t="s">
        <v>51</v>
      </c>
      <c r="G611" t="s">
        <v>1193</v>
      </c>
      <c r="H611" t="s">
        <v>2759</v>
      </c>
      <c r="I611" t="s">
        <v>2760</v>
      </c>
      <c r="J611" t="s">
        <v>2761</v>
      </c>
      <c r="K611" t="s">
        <v>55</v>
      </c>
      <c r="L611" t="s">
        <v>2762</v>
      </c>
      <c r="M611" t="s">
        <v>57</v>
      </c>
      <c r="N611" t="str">
        <f>"050765"</f>
        <v>050765</v>
      </c>
      <c r="O611" t="s">
        <v>58</v>
      </c>
      <c r="P611" t="s">
        <v>76</v>
      </c>
      <c r="Q611">
        <v>33.799999999999997</v>
      </c>
      <c r="R611">
        <v>6.0999999999999943</v>
      </c>
      <c r="S611" t="s">
        <v>156</v>
      </c>
    </row>
    <row r="612" spans="1:19" x14ac:dyDescent="0.35">
      <c r="A612">
        <v>46789</v>
      </c>
      <c r="B612" t="str">
        <f>"046789"</f>
        <v>046789</v>
      </c>
      <c r="C612" t="s">
        <v>2763</v>
      </c>
      <c r="D612" t="s">
        <v>49</v>
      </c>
      <c r="E612" t="s">
        <v>50</v>
      </c>
      <c r="F612" t="s">
        <v>51</v>
      </c>
      <c r="G612" t="s">
        <v>759</v>
      </c>
      <c r="H612" t="s">
        <v>2764</v>
      </c>
      <c r="I612" t="s">
        <v>2765</v>
      </c>
      <c r="J612" t="s">
        <v>2766</v>
      </c>
      <c r="K612" t="s">
        <v>55</v>
      </c>
      <c r="L612" t="s">
        <v>2767</v>
      </c>
      <c r="M612" t="s">
        <v>57</v>
      </c>
      <c r="N612" t="str">
        <f>"125690"</f>
        <v>125690</v>
      </c>
      <c r="O612" t="s">
        <v>262</v>
      </c>
      <c r="P612" t="s">
        <v>84</v>
      </c>
      <c r="Q612">
        <v>33.700000000000003</v>
      </c>
      <c r="R612">
        <v>13.200000000000003</v>
      </c>
      <c r="S612" t="s">
        <v>69</v>
      </c>
    </row>
    <row r="613" spans="1:19" x14ac:dyDescent="0.35">
      <c r="A613">
        <v>44156</v>
      </c>
      <c r="B613" t="str">
        <f>"044156"</f>
        <v>044156</v>
      </c>
      <c r="C613" t="s">
        <v>2768</v>
      </c>
      <c r="D613" t="s">
        <v>49</v>
      </c>
      <c r="E613" t="s">
        <v>50</v>
      </c>
      <c r="F613" t="s">
        <v>51</v>
      </c>
      <c r="G613" t="s">
        <v>351</v>
      </c>
      <c r="H613" t="s">
        <v>2769</v>
      </c>
      <c r="I613" t="s">
        <v>2770</v>
      </c>
      <c r="J613" t="s">
        <v>351</v>
      </c>
      <c r="K613" t="s">
        <v>55</v>
      </c>
      <c r="L613" t="s">
        <v>2771</v>
      </c>
      <c r="M613" t="s">
        <v>57</v>
      </c>
      <c r="N613" t="str">
        <f>"050765"</f>
        <v>050765</v>
      </c>
      <c r="O613" t="s">
        <v>58</v>
      </c>
      <c r="P613" t="s">
        <v>84</v>
      </c>
      <c r="Q613">
        <v>45.6</v>
      </c>
      <c r="R613">
        <v>3.9000000000000057</v>
      </c>
      <c r="S613" t="s">
        <v>130</v>
      </c>
    </row>
    <row r="614" spans="1:19" x14ac:dyDescent="0.35">
      <c r="A614">
        <v>44529</v>
      </c>
      <c r="B614" t="str">
        <f>"044529"</f>
        <v>044529</v>
      </c>
      <c r="C614" t="s">
        <v>2772</v>
      </c>
      <c r="D614" t="s">
        <v>49</v>
      </c>
      <c r="E614" t="s">
        <v>50</v>
      </c>
      <c r="F614" t="s">
        <v>51</v>
      </c>
      <c r="G614" t="s">
        <v>63</v>
      </c>
      <c r="H614" t="s">
        <v>2773</v>
      </c>
      <c r="I614" t="s">
        <v>2774</v>
      </c>
      <c r="J614" t="s">
        <v>2775</v>
      </c>
      <c r="K614" t="s">
        <v>55</v>
      </c>
      <c r="L614" t="s">
        <v>2776</v>
      </c>
      <c r="M614" t="s">
        <v>57</v>
      </c>
      <c r="N614" t="str">
        <f>"050765"</f>
        <v>050765</v>
      </c>
      <c r="O614" t="s">
        <v>58</v>
      </c>
      <c r="P614" t="s">
        <v>59</v>
      </c>
      <c r="Q614">
        <v>42.7</v>
      </c>
      <c r="R614">
        <v>21.5</v>
      </c>
      <c r="S614" t="s">
        <v>69</v>
      </c>
    </row>
    <row r="615" spans="1:19" x14ac:dyDescent="0.35">
      <c r="A615">
        <v>46821</v>
      </c>
      <c r="B615" t="str">
        <f>"046821"</f>
        <v>046821</v>
      </c>
      <c r="C615" t="s">
        <v>2777</v>
      </c>
      <c r="D615" t="s">
        <v>49</v>
      </c>
      <c r="E615" t="s">
        <v>50</v>
      </c>
      <c r="F615" t="s">
        <v>51</v>
      </c>
      <c r="G615" t="s">
        <v>759</v>
      </c>
      <c r="H615" t="s">
        <v>2778</v>
      </c>
      <c r="I615" t="s">
        <v>2779</v>
      </c>
      <c r="J615" t="s">
        <v>2780</v>
      </c>
      <c r="K615" t="s">
        <v>55</v>
      </c>
      <c r="L615" t="s">
        <v>2781</v>
      </c>
      <c r="M615" t="s">
        <v>57</v>
      </c>
      <c r="N615" t="str">
        <f>"125690"</f>
        <v>125690</v>
      </c>
      <c r="O615" t="s">
        <v>262</v>
      </c>
      <c r="P615" t="s">
        <v>84</v>
      </c>
      <c r="Q615">
        <v>33.799999999999997</v>
      </c>
      <c r="R615">
        <v>11.799999999999997</v>
      </c>
      <c r="S615" t="s">
        <v>69</v>
      </c>
    </row>
    <row r="616" spans="1:19" x14ac:dyDescent="0.35">
      <c r="A616">
        <v>47928</v>
      </c>
      <c r="B616" t="str">
        <f>"047928"</f>
        <v>047928</v>
      </c>
      <c r="C616" t="s">
        <v>2782</v>
      </c>
      <c r="D616" t="s">
        <v>49</v>
      </c>
      <c r="E616" t="s">
        <v>50</v>
      </c>
      <c r="F616" t="s">
        <v>51</v>
      </c>
      <c r="G616" t="s">
        <v>1335</v>
      </c>
      <c r="H616" t="s">
        <v>2783</v>
      </c>
      <c r="I616" t="s">
        <v>2784</v>
      </c>
      <c r="J616" t="s">
        <v>2785</v>
      </c>
      <c r="K616" t="s">
        <v>55</v>
      </c>
      <c r="L616" t="s">
        <v>1641</v>
      </c>
      <c r="M616" t="s">
        <v>57</v>
      </c>
      <c r="N616" t="str">
        <f>"047910"</f>
        <v>047910</v>
      </c>
      <c r="O616" t="s">
        <v>1454</v>
      </c>
      <c r="P616" t="s">
        <v>76</v>
      </c>
      <c r="Q616">
        <v>99.8</v>
      </c>
      <c r="R616">
        <v>1.5999999999999943</v>
      </c>
      <c r="S616" t="s">
        <v>130</v>
      </c>
    </row>
    <row r="617" spans="1:19" x14ac:dyDescent="0.35">
      <c r="A617">
        <v>48744</v>
      </c>
      <c r="B617" t="str">
        <f>"048744"</f>
        <v>048744</v>
      </c>
      <c r="C617" t="s">
        <v>2786</v>
      </c>
      <c r="D617" t="s">
        <v>49</v>
      </c>
      <c r="E617" t="s">
        <v>50</v>
      </c>
      <c r="F617" t="s">
        <v>51</v>
      </c>
      <c r="G617" t="s">
        <v>543</v>
      </c>
      <c r="H617" t="s">
        <v>2787</v>
      </c>
      <c r="I617" t="s">
        <v>2788</v>
      </c>
      <c r="J617" t="s">
        <v>2789</v>
      </c>
      <c r="K617" t="s">
        <v>55</v>
      </c>
      <c r="L617" t="s">
        <v>2790</v>
      </c>
      <c r="M617" t="s">
        <v>57</v>
      </c>
      <c r="N617" t="str">
        <f>"048660"</f>
        <v>048660</v>
      </c>
      <c r="O617" t="s">
        <v>867</v>
      </c>
      <c r="P617" t="s">
        <v>84</v>
      </c>
      <c r="Q617">
        <v>32.799999999999997</v>
      </c>
      <c r="R617">
        <v>7.5999999999999943</v>
      </c>
      <c r="S617" t="s">
        <v>180</v>
      </c>
    </row>
    <row r="618" spans="1:19" x14ac:dyDescent="0.35">
      <c r="A618">
        <v>51169</v>
      </c>
      <c r="B618" t="str">
        <f>"051169"</f>
        <v>051169</v>
      </c>
      <c r="C618" t="s">
        <v>2791</v>
      </c>
      <c r="D618" t="s">
        <v>49</v>
      </c>
      <c r="E618" t="s">
        <v>163</v>
      </c>
      <c r="F618" t="s">
        <v>51</v>
      </c>
      <c r="G618" t="s">
        <v>481</v>
      </c>
      <c r="H618" t="s">
        <v>1392</v>
      </c>
      <c r="I618" t="s">
        <v>1393</v>
      </c>
      <c r="J618" t="s">
        <v>876</v>
      </c>
      <c r="K618" t="s">
        <v>55</v>
      </c>
      <c r="L618" t="s">
        <v>819</v>
      </c>
      <c r="M618" t="s">
        <v>57</v>
      </c>
      <c r="N618" t="str">
        <f>"050765"</f>
        <v>050765</v>
      </c>
      <c r="O618" t="s">
        <v>58</v>
      </c>
      <c r="P618" t="s">
        <v>68</v>
      </c>
      <c r="Q618" t="s">
        <v>68</v>
      </c>
      <c r="R618" t="s">
        <v>68</v>
      </c>
      <c r="S618" t="s">
        <v>69</v>
      </c>
    </row>
    <row r="619" spans="1:19" x14ac:dyDescent="0.35">
      <c r="A619">
        <v>15459</v>
      </c>
      <c r="B619" t="str">
        <f>"015459"</f>
        <v>015459</v>
      </c>
      <c r="C619" t="s">
        <v>2792</v>
      </c>
      <c r="D619" t="s">
        <v>49</v>
      </c>
      <c r="E619" t="s">
        <v>301</v>
      </c>
      <c r="F619" t="s">
        <v>51</v>
      </c>
      <c r="G619" t="s">
        <v>212</v>
      </c>
      <c r="H619" t="s">
        <v>2793</v>
      </c>
      <c r="I619" t="s">
        <v>2794</v>
      </c>
      <c r="J619" t="s">
        <v>215</v>
      </c>
      <c r="K619" t="s">
        <v>55</v>
      </c>
      <c r="L619" t="s">
        <v>2795</v>
      </c>
      <c r="M619" t="s">
        <v>57</v>
      </c>
      <c r="N619" t="str">
        <f>"N/A"</f>
        <v>N/A</v>
      </c>
      <c r="O619" t="s">
        <v>49</v>
      </c>
      <c r="P619" t="s">
        <v>68</v>
      </c>
      <c r="Q619" t="s">
        <v>68</v>
      </c>
      <c r="R619" t="s">
        <v>68</v>
      </c>
      <c r="S619" t="s">
        <v>217</v>
      </c>
    </row>
    <row r="620" spans="1:19" x14ac:dyDescent="0.35">
      <c r="A620">
        <v>47720</v>
      </c>
      <c r="B620" t="str">
        <f>"047720"</f>
        <v>047720</v>
      </c>
      <c r="C620" t="s">
        <v>2796</v>
      </c>
      <c r="D620" t="s">
        <v>49</v>
      </c>
      <c r="E620" t="s">
        <v>50</v>
      </c>
      <c r="F620" t="s">
        <v>51</v>
      </c>
      <c r="G620" t="s">
        <v>79</v>
      </c>
      <c r="H620" t="s">
        <v>2797</v>
      </c>
      <c r="I620" t="s">
        <v>2798</v>
      </c>
      <c r="J620" t="s">
        <v>2799</v>
      </c>
      <c r="K620" t="s">
        <v>55</v>
      </c>
      <c r="L620" t="s">
        <v>2800</v>
      </c>
      <c r="M620" t="s">
        <v>57</v>
      </c>
      <c r="N620" t="str">
        <f>"125690"</f>
        <v>125690</v>
      </c>
      <c r="O620" t="s">
        <v>262</v>
      </c>
      <c r="P620" t="s">
        <v>76</v>
      </c>
      <c r="Q620">
        <v>44.2</v>
      </c>
      <c r="R620">
        <v>5.2999999999999972</v>
      </c>
      <c r="S620" t="s">
        <v>69</v>
      </c>
    </row>
    <row r="621" spans="1:19" x14ac:dyDescent="0.35">
      <c r="A621">
        <v>49387</v>
      </c>
      <c r="B621" t="str">
        <f>"049387"</f>
        <v>049387</v>
      </c>
      <c r="C621" t="s">
        <v>2801</v>
      </c>
      <c r="D621" t="s">
        <v>49</v>
      </c>
      <c r="E621" t="s">
        <v>50</v>
      </c>
      <c r="F621" t="s">
        <v>51</v>
      </c>
      <c r="G621" t="s">
        <v>150</v>
      </c>
      <c r="H621" t="s">
        <v>2802</v>
      </c>
      <c r="I621" t="s">
        <v>2803</v>
      </c>
      <c r="J621" t="s">
        <v>2804</v>
      </c>
      <c r="K621" t="s">
        <v>55</v>
      </c>
      <c r="L621" t="s">
        <v>2805</v>
      </c>
      <c r="M621" t="s">
        <v>57</v>
      </c>
      <c r="N621" t="str">
        <f>"049304"</f>
        <v>049304</v>
      </c>
      <c r="O621" t="s">
        <v>155</v>
      </c>
      <c r="P621" t="s">
        <v>76</v>
      </c>
      <c r="Q621">
        <v>12.7</v>
      </c>
      <c r="R621">
        <v>2.5</v>
      </c>
      <c r="S621" t="s">
        <v>156</v>
      </c>
    </row>
    <row r="622" spans="1:19" x14ac:dyDescent="0.35">
      <c r="A622">
        <v>50294</v>
      </c>
      <c r="B622" t="str">
        <f>"050294"</f>
        <v>050294</v>
      </c>
      <c r="C622" t="s">
        <v>2806</v>
      </c>
      <c r="D622" t="s">
        <v>49</v>
      </c>
      <c r="E622" t="s">
        <v>50</v>
      </c>
      <c r="F622" t="s">
        <v>51</v>
      </c>
      <c r="G622" t="s">
        <v>71</v>
      </c>
      <c r="H622" t="s">
        <v>2807</v>
      </c>
      <c r="I622" t="s">
        <v>2808</v>
      </c>
      <c r="J622" t="s">
        <v>2809</v>
      </c>
      <c r="K622" t="s">
        <v>55</v>
      </c>
      <c r="L622" t="s">
        <v>2810</v>
      </c>
      <c r="M622" t="s">
        <v>57</v>
      </c>
      <c r="N622" t="str">
        <f>"049825"</f>
        <v>049825</v>
      </c>
      <c r="O622" t="s">
        <v>122</v>
      </c>
      <c r="P622" t="s">
        <v>76</v>
      </c>
      <c r="Q622">
        <v>23.2</v>
      </c>
      <c r="R622">
        <v>7</v>
      </c>
      <c r="S622" t="s">
        <v>77</v>
      </c>
    </row>
    <row r="623" spans="1:19" x14ac:dyDescent="0.35">
      <c r="A623">
        <v>200059</v>
      </c>
      <c r="B623" t="str">
        <f>"200059"</f>
        <v>200059</v>
      </c>
      <c r="C623" t="s">
        <v>2811</v>
      </c>
      <c r="D623" t="s">
        <v>49</v>
      </c>
      <c r="E623" t="s">
        <v>62</v>
      </c>
      <c r="F623" t="s">
        <v>51</v>
      </c>
      <c r="G623" t="s">
        <v>200</v>
      </c>
      <c r="H623" t="s">
        <v>2683</v>
      </c>
      <c r="I623" t="s">
        <v>2684</v>
      </c>
      <c r="J623" t="s">
        <v>2685</v>
      </c>
      <c r="K623" t="s">
        <v>55</v>
      </c>
      <c r="L623" t="s">
        <v>2686</v>
      </c>
      <c r="M623" t="s">
        <v>57</v>
      </c>
      <c r="N623" t="str">
        <f>"N/A"</f>
        <v>N/A</v>
      </c>
      <c r="O623" t="s">
        <v>49</v>
      </c>
      <c r="P623" t="s">
        <v>68</v>
      </c>
      <c r="Q623" t="s">
        <v>68</v>
      </c>
      <c r="R623" t="s">
        <v>68</v>
      </c>
      <c r="S623" t="s">
        <v>156</v>
      </c>
    </row>
    <row r="624" spans="1:19" x14ac:dyDescent="0.35">
      <c r="A624">
        <v>44818</v>
      </c>
      <c r="B624" t="str">
        <f>"044818"</f>
        <v>044818</v>
      </c>
      <c r="C624" t="s">
        <v>2812</v>
      </c>
      <c r="D624" t="s">
        <v>49</v>
      </c>
      <c r="E624" t="s">
        <v>50</v>
      </c>
      <c r="F624" t="s">
        <v>51</v>
      </c>
      <c r="G624" t="s">
        <v>777</v>
      </c>
      <c r="H624" t="s">
        <v>2813</v>
      </c>
      <c r="I624" t="s">
        <v>2814</v>
      </c>
      <c r="J624" t="s">
        <v>780</v>
      </c>
      <c r="K624" t="s">
        <v>55</v>
      </c>
      <c r="L624" t="s">
        <v>2815</v>
      </c>
      <c r="M624" t="s">
        <v>57</v>
      </c>
      <c r="N624" t="str">
        <f>"050765"</f>
        <v>050765</v>
      </c>
      <c r="O624" t="s">
        <v>58</v>
      </c>
      <c r="P624" t="s">
        <v>281</v>
      </c>
      <c r="Q624">
        <v>100</v>
      </c>
      <c r="R624">
        <v>53.5</v>
      </c>
      <c r="S624" t="s">
        <v>180</v>
      </c>
    </row>
    <row r="625" spans="1:19" x14ac:dyDescent="0.35">
      <c r="A625">
        <v>44925</v>
      </c>
      <c r="B625" t="str">
        <f>"044925"</f>
        <v>044925</v>
      </c>
      <c r="C625" t="s">
        <v>2816</v>
      </c>
      <c r="D625" t="s">
        <v>49</v>
      </c>
      <c r="E625" t="s">
        <v>50</v>
      </c>
      <c r="F625" t="s">
        <v>51</v>
      </c>
      <c r="G625" t="s">
        <v>325</v>
      </c>
      <c r="H625" t="s">
        <v>2817</v>
      </c>
      <c r="I625" t="s">
        <v>2818</v>
      </c>
      <c r="J625" t="s">
        <v>2819</v>
      </c>
      <c r="K625" t="s">
        <v>55</v>
      </c>
      <c r="L625" t="s">
        <v>2820</v>
      </c>
      <c r="M625" t="s">
        <v>57</v>
      </c>
      <c r="N625" t="str">
        <f>"050765"</f>
        <v>050765</v>
      </c>
      <c r="O625" t="s">
        <v>58</v>
      </c>
      <c r="P625" t="s">
        <v>59</v>
      </c>
      <c r="Q625">
        <v>34.799999999999997</v>
      </c>
      <c r="R625">
        <v>21.400000000000006</v>
      </c>
      <c r="S625" t="s">
        <v>180</v>
      </c>
    </row>
    <row r="626" spans="1:19" x14ac:dyDescent="0.35">
      <c r="A626">
        <v>46680</v>
      </c>
      <c r="B626" t="str">
        <f>"046680"</f>
        <v>046680</v>
      </c>
      <c r="C626" t="s">
        <v>2821</v>
      </c>
      <c r="D626" t="s">
        <v>49</v>
      </c>
      <c r="E626" t="s">
        <v>50</v>
      </c>
      <c r="F626" t="s">
        <v>51</v>
      </c>
      <c r="G626" t="s">
        <v>175</v>
      </c>
      <c r="H626" t="s">
        <v>2822</v>
      </c>
      <c r="I626" t="s">
        <v>2823</v>
      </c>
      <c r="J626" t="s">
        <v>2824</v>
      </c>
      <c r="K626" t="s">
        <v>55</v>
      </c>
      <c r="L626" t="s">
        <v>2825</v>
      </c>
      <c r="M626" t="s">
        <v>57</v>
      </c>
      <c r="N626" t="str">
        <f>"046615"</f>
        <v>046615</v>
      </c>
      <c r="O626" t="s">
        <v>381</v>
      </c>
      <c r="P626" t="s">
        <v>76</v>
      </c>
      <c r="Q626">
        <v>37.200000000000003</v>
      </c>
      <c r="R626">
        <v>3.5999999999999943</v>
      </c>
      <c r="S626" t="s">
        <v>180</v>
      </c>
    </row>
    <row r="627" spans="1:19" x14ac:dyDescent="0.35">
      <c r="A627">
        <v>50500</v>
      </c>
      <c r="B627" t="str">
        <f>"050500"</f>
        <v>050500</v>
      </c>
      <c r="C627" t="s">
        <v>2826</v>
      </c>
      <c r="D627" t="s">
        <v>49</v>
      </c>
      <c r="E627" t="s">
        <v>50</v>
      </c>
      <c r="F627" t="s">
        <v>51</v>
      </c>
      <c r="G627" t="s">
        <v>124</v>
      </c>
      <c r="H627" t="s">
        <v>2827</v>
      </c>
      <c r="I627" t="s">
        <v>2828</v>
      </c>
      <c r="J627" t="s">
        <v>2829</v>
      </c>
      <c r="K627" t="s">
        <v>55</v>
      </c>
      <c r="L627" t="s">
        <v>2830</v>
      </c>
      <c r="M627" t="s">
        <v>57</v>
      </c>
      <c r="N627" t="str">
        <f>"123281"</f>
        <v>123281</v>
      </c>
      <c r="O627" t="s">
        <v>129</v>
      </c>
      <c r="P627" t="s">
        <v>76</v>
      </c>
      <c r="Q627">
        <v>33.799999999999997</v>
      </c>
      <c r="R627">
        <v>5.7999999999999972</v>
      </c>
      <c r="S627" t="s">
        <v>130</v>
      </c>
    </row>
    <row r="628" spans="1:19" x14ac:dyDescent="0.35">
      <c r="A628">
        <v>44040</v>
      </c>
      <c r="B628" t="str">
        <f>"044040"</f>
        <v>044040</v>
      </c>
      <c r="C628" t="s">
        <v>2831</v>
      </c>
      <c r="D628" t="s">
        <v>49</v>
      </c>
      <c r="E628" t="s">
        <v>50</v>
      </c>
      <c r="F628" t="s">
        <v>51</v>
      </c>
      <c r="G628" t="s">
        <v>63</v>
      </c>
      <c r="H628" t="s">
        <v>2832</v>
      </c>
      <c r="I628" t="s">
        <v>2833</v>
      </c>
      <c r="J628" t="s">
        <v>2834</v>
      </c>
      <c r="K628" t="s">
        <v>55</v>
      </c>
      <c r="L628" t="s">
        <v>508</v>
      </c>
      <c r="M628" t="s">
        <v>57</v>
      </c>
      <c r="N628" t="str">
        <f>"050765"</f>
        <v>050765</v>
      </c>
      <c r="O628" t="s">
        <v>58</v>
      </c>
      <c r="P628" t="s">
        <v>281</v>
      </c>
      <c r="Q628">
        <v>99.9</v>
      </c>
      <c r="R628">
        <v>91.9</v>
      </c>
      <c r="S628" t="s">
        <v>69</v>
      </c>
    </row>
    <row r="629" spans="1:19" x14ac:dyDescent="0.35">
      <c r="A629">
        <v>45799</v>
      </c>
      <c r="B629" t="str">
        <f>"045799"</f>
        <v>045799</v>
      </c>
      <c r="C629" t="s">
        <v>2835</v>
      </c>
      <c r="D629" t="s">
        <v>49</v>
      </c>
      <c r="E629" t="s">
        <v>50</v>
      </c>
      <c r="F629" t="s">
        <v>51</v>
      </c>
      <c r="G629" t="s">
        <v>1193</v>
      </c>
      <c r="H629" t="s">
        <v>2836</v>
      </c>
      <c r="I629" t="s">
        <v>2837</v>
      </c>
      <c r="J629" t="s">
        <v>1196</v>
      </c>
      <c r="K629" t="s">
        <v>55</v>
      </c>
      <c r="L629" t="s">
        <v>1648</v>
      </c>
      <c r="M629" t="s">
        <v>57</v>
      </c>
      <c r="N629" t="str">
        <f>"045740"</f>
        <v>045740</v>
      </c>
      <c r="O629" t="s">
        <v>1198</v>
      </c>
      <c r="P629" t="s">
        <v>59</v>
      </c>
      <c r="Q629">
        <v>28.4</v>
      </c>
      <c r="R629">
        <v>18.599999999999994</v>
      </c>
      <c r="S629" t="s">
        <v>156</v>
      </c>
    </row>
    <row r="630" spans="1:19" x14ac:dyDescent="0.35">
      <c r="A630">
        <v>47266</v>
      </c>
      <c r="B630" t="str">
        <f>"047266"</f>
        <v>047266</v>
      </c>
      <c r="C630" t="s">
        <v>2838</v>
      </c>
      <c r="D630" t="s">
        <v>49</v>
      </c>
      <c r="E630" t="s">
        <v>50</v>
      </c>
      <c r="F630" t="s">
        <v>51</v>
      </c>
      <c r="G630" t="s">
        <v>642</v>
      </c>
      <c r="H630" t="s">
        <v>2839</v>
      </c>
      <c r="I630" t="s">
        <v>2840</v>
      </c>
      <c r="J630" t="s">
        <v>2841</v>
      </c>
      <c r="K630" t="s">
        <v>55</v>
      </c>
      <c r="L630" t="s">
        <v>2842</v>
      </c>
      <c r="M630" t="s">
        <v>57</v>
      </c>
      <c r="N630" t="str">
        <f>"047233"</f>
        <v>047233</v>
      </c>
      <c r="O630" t="s">
        <v>647</v>
      </c>
      <c r="P630" t="s">
        <v>76</v>
      </c>
      <c r="Q630">
        <v>28.4</v>
      </c>
      <c r="R630">
        <v>6.5999999999999943</v>
      </c>
      <c r="S630" t="s">
        <v>180</v>
      </c>
    </row>
    <row r="631" spans="1:19" x14ac:dyDescent="0.35">
      <c r="A631">
        <v>52571</v>
      </c>
      <c r="B631" t="str">
        <f>"052571"</f>
        <v>052571</v>
      </c>
      <c r="C631" t="s">
        <v>2843</v>
      </c>
      <c r="D631" t="s">
        <v>49</v>
      </c>
      <c r="E631" t="s">
        <v>606</v>
      </c>
      <c r="F631" t="s">
        <v>51</v>
      </c>
      <c r="G631" t="s">
        <v>543</v>
      </c>
      <c r="H631" t="s">
        <v>2844</v>
      </c>
      <c r="I631" t="s">
        <v>2845</v>
      </c>
      <c r="J631" t="s">
        <v>687</v>
      </c>
      <c r="K631" t="s">
        <v>55</v>
      </c>
      <c r="L631" t="s">
        <v>2846</v>
      </c>
      <c r="M631" t="s">
        <v>57</v>
      </c>
      <c r="N631" t="str">
        <f>"052571"</f>
        <v>052571</v>
      </c>
      <c r="O631" t="s">
        <v>2843</v>
      </c>
      <c r="P631" t="s">
        <v>68</v>
      </c>
      <c r="Q631" t="s">
        <v>68</v>
      </c>
      <c r="R631" t="s">
        <v>68</v>
      </c>
      <c r="S631" t="s">
        <v>180</v>
      </c>
    </row>
    <row r="632" spans="1:19" x14ac:dyDescent="0.35">
      <c r="A632">
        <v>200023</v>
      </c>
      <c r="B632" t="str">
        <f>"200023"</f>
        <v>200023</v>
      </c>
      <c r="C632" t="s">
        <v>2847</v>
      </c>
      <c r="D632" t="s">
        <v>49</v>
      </c>
      <c r="E632" t="s">
        <v>62</v>
      </c>
      <c r="F632" t="s">
        <v>51</v>
      </c>
      <c r="G632" t="s">
        <v>63</v>
      </c>
      <c r="H632" t="s">
        <v>1269</v>
      </c>
      <c r="I632" t="s">
        <v>1270</v>
      </c>
      <c r="J632" t="s">
        <v>1271</v>
      </c>
      <c r="K632" t="s">
        <v>55</v>
      </c>
      <c r="L632" t="s">
        <v>1272</v>
      </c>
      <c r="M632" t="s">
        <v>57</v>
      </c>
      <c r="N632" t="str">
        <f>"N/A"</f>
        <v>N/A</v>
      </c>
      <c r="O632" t="s">
        <v>49</v>
      </c>
      <c r="P632" t="s">
        <v>68</v>
      </c>
      <c r="Q632" t="s">
        <v>68</v>
      </c>
      <c r="R632" t="s">
        <v>68</v>
      </c>
      <c r="S632" t="s">
        <v>69</v>
      </c>
    </row>
    <row r="633" spans="1:19" x14ac:dyDescent="0.35">
      <c r="A633">
        <v>43596</v>
      </c>
      <c r="B633" t="str">
        <f>"043596"</f>
        <v>043596</v>
      </c>
      <c r="C633" t="s">
        <v>2848</v>
      </c>
      <c r="D633" t="s">
        <v>49</v>
      </c>
      <c r="E633" t="s">
        <v>50</v>
      </c>
      <c r="F633" t="s">
        <v>51</v>
      </c>
      <c r="G633" t="s">
        <v>79</v>
      </c>
      <c r="H633" t="s">
        <v>2849</v>
      </c>
      <c r="I633" t="s">
        <v>2850</v>
      </c>
      <c r="J633" t="s">
        <v>2851</v>
      </c>
      <c r="K633" t="s">
        <v>55</v>
      </c>
      <c r="L633" t="s">
        <v>2852</v>
      </c>
      <c r="M633" t="s">
        <v>57</v>
      </c>
      <c r="N633" t="str">
        <f>"050765"</f>
        <v>050765</v>
      </c>
      <c r="O633" t="s">
        <v>58</v>
      </c>
      <c r="P633" t="s">
        <v>76</v>
      </c>
      <c r="Q633">
        <v>38.1</v>
      </c>
      <c r="R633">
        <v>12.400000000000006</v>
      </c>
      <c r="S633" t="s">
        <v>69</v>
      </c>
    </row>
    <row r="634" spans="1:19" x14ac:dyDescent="0.35">
      <c r="A634">
        <v>136</v>
      </c>
      <c r="B634" t="str">
        <f>"000136"</f>
        <v>000136</v>
      </c>
      <c r="C634" t="s">
        <v>2853</v>
      </c>
      <c r="D634" t="s">
        <v>49</v>
      </c>
      <c r="E634" t="s">
        <v>606</v>
      </c>
      <c r="F634" t="s">
        <v>51</v>
      </c>
      <c r="G634" t="s">
        <v>110</v>
      </c>
      <c r="H634" t="s">
        <v>2854</v>
      </c>
      <c r="I634" t="s">
        <v>2855</v>
      </c>
      <c r="J634" t="s">
        <v>551</v>
      </c>
      <c r="K634" t="s">
        <v>55</v>
      </c>
      <c r="L634" t="s">
        <v>552</v>
      </c>
      <c r="M634" t="s">
        <v>57</v>
      </c>
      <c r="N634" t="str">
        <f>"000136"</f>
        <v>000136</v>
      </c>
      <c r="O634" t="s">
        <v>2853</v>
      </c>
      <c r="P634" t="s">
        <v>68</v>
      </c>
      <c r="Q634" t="s">
        <v>68</v>
      </c>
      <c r="R634" t="s">
        <v>68</v>
      </c>
      <c r="S634" t="s">
        <v>60</v>
      </c>
    </row>
    <row r="635" spans="1:19" x14ac:dyDescent="0.35">
      <c r="A635">
        <v>47951</v>
      </c>
      <c r="B635" t="str">
        <f>"047951"</f>
        <v>047951</v>
      </c>
      <c r="C635" t="s">
        <v>2856</v>
      </c>
      <c r="D635" t="s">
        <v>49</v>
      </c>
      <c r="E635" t="s">
        <v>50</v>
      </c>
      <c r="F635" t="s">
        <v>51</v>
      </c>
      <c r="G635" t="s">
        <v>1335</v>
      </c>
      <c r="H635" t="s">
        <v>2857</v>
      </c>
      <c r="I635" t="s">
        <v>2858</v>
      </c>
      <c r="J635" t="s">
        <v>2859</v>
      </c>
      <c r="K635" t="s">
        <v>55</v>
      </c>
      <c r="L635" t="s">
        <v>2860</v>
      </c>
      <c r="M635" t="s">
        <v>57</v>
      </c>
      <c r="N635" t="str">
        <f>"047910"</f>
        <v>047910</v>
      </c>
      <c r="O635" t="s">
        <v>1454</v>
      </c>
      <c r="P635" t="s">
        <v>84</v>
      </c>
      <c r="Q635">
        <v>89.7</v>
      </c>
      <c r="R635">
        <v>15.299999999999997</v>
      </c>
      <c r="S635" t="s">
        <v>130</v>
      </c>
    </row>
    <row r="636" spans="1:19" x14ac:dyDescent="0.35">
      <c r="A636">
        <v>50336</v>
      </c>
      <c r="B636" t="str">
        <f>"050336"</f>
        <v>050336</v>
      </c>
      <c r="C636" t="s">
        <v>2861</v>
      </c>
      <c r="D636" t="s">
        <v>49</v>
      </c>
      <c r="E636" t="s">
        <v>50</v>
      </c>
      <c r="F636" t="s">
        <v>51</v>
      </c>
      <c r="G636" t="s">
        <v>1948</v>
      </c>
      <c r="H636" t="s">
        <v>2862</v>
      </c>
      <c r="I636" t="s">
        <v>2863</v>
      </c>
      <c r="J636" t="s">
        <v>2864</v>
      </c>
      <c r="K636" t="s">
        <v>55</v>
      </c>
      <c r="L636" t="s">
        <v>2865</v>
      </c>
      <c r="M636" t="s">
        <v>57</v>
      </c>
      <c r="N636" t="str">
        <f>"123257"</f>
        <v>123257</v>
      </c>
      <c r="O636" t="s">
        <v>316</v>
      </c>
      <c r="P636" t="s">
        <v>76</v>
      </c>
      <c r="Q636">
        <v>35.299999999999997</v>
      </c>
      <c r="R636">
        <v>3.7999999999999972</v>
      </c>
      <c r="S636" t="s">
        <v>60</v>
      </c>
    </row>
    <row r="637" spans="1:19" x14ac:dyDescent="0.35">
      <c r="A637">
        <v>43976</v>
      </c>
      <c r="B637" t="str">
        <f>"043976"</f>
        <v>043976</v>
      </c>
      <c r="C637" t="s">
        <v>2866</v>
      </c>
      <c r="D637" t="s">
        <v>49</v>
      </c>
      <c r="E637" t="s">
        <v>50</v>
      </c>
      <c r="F637" t="s">
        <v>51</v>
      </c>
      <c r="G637" t="s">
        <v>63</v>
      </c>
      <c r="H637" t="s">
        <v>2867</v>
      </c>
      <c r="I637" t="s">
        <v>2868</v>
      </c>
      <c r="J637" t="s">
        <v>2869</v>
      </c>
      <c r="K637" t="s">
        <v>55</v>
      </c>
      <c r="L637" t="s">
        <v>2870</v>
      </c>
      <c r="M637" t="s">
        <v>57</v>
      </c>
      <c r="N637" t="str">
        <f>"050765"</f>
        <v>050765</v>
      </c>
      <c r="O637" t="s">
        <v>58</v>
      </c>
      <c r="P637" t="s">
        <v>59</v>
      </c>
      <c r="Q637">
        <v>20.9</v>
      </c>
      <c r="R637">
        <v>15</v>
      </c>
      <c r="S637" t="s">
        <v>69</v>
      </c>
    </row>
    <row r="638" spans="1:19" x14ac:dyDescent="0.35">
      <c r="A638">
        <v>46748</v>
      </c>
      <c r="B638" t="str">
        <f>"046748"</f>
        <v>046748</v>
      </c>
      <c r="C638" t="s">
        <v>2871</v>
      </c>
      <c r="D638" t="s">
        <v>49</v>
      </c>
      <c r="E638" t="s">
        <v>50</v>
      </c>
      <c r="F638" t="s">
        <v>51</v>
      </c>
      <c r="G638" t="s">
        <v>52</v>
      </c>
      <c r="H638" t="s">
        <v>2872</v>
      </c>
      <c r="I638" t="s">
        <v>2873</v>
      </c>
      <c r="J638" t="s">
        <v>2874</v>
      </c>
      <c r="K638" t="s">
        <v>55</v>
      </c>
      <c r="L638" t="s">
        <v>2875</v>
      </c>
      <c r="M638" t="s">
        <v>57</v>
      </c>
      <c r="N638" t="str">
        <f>"046938"</f>
        <v>046938</v>
      </c>
      <c r="O638" t="s">
        <v>1029</v>
      </c>
      <c r="P638" t="s">
        <v>59</v>
      </c>
      <c r="Q638">
        <v>14.8</v>
      </c>
      <c r="R638">
        <v>12.099999999999994</v>
      </c>
      <c r="S638" t="s">
        <v>60</v>
      </c>
    </row>
    <row r="639" spans="1:19" x14ac:dyDescent="0.35">
      <c r="A639">
        <v>48728</v>
      </c>
      <c r="B639" t="str">
        <f>"048728"</f>
        <v>048728</v>
      </c>
      <c r="C639" t="s">
        <v>2876</v>
      </c>
      <c r="D639" t="s">
        <v>49</v>
      </c>
      <c r="E639" t="s">
        <v>50</v>
      </c>
      <c r="F639" t="s">
        <v>51</v>
      </c>
      <c r="G639" t="s">
        <v>543</v>
      </c>
      <c r="H639" t="s">
        <v>2877</v>
      </c>
      <c r="I639" t="s">
        <v>2878</v>
      </c>
      <c r="J639" t="s">
        <v>1447</v>
      </c>
      <c r="K639" t="s">
        <v>55</v>
      </c>
      <c r="L639" t="s">
        <v>2879</v>
      </c>
      <c r="M639" t="s">
        <v>57</v>
      </c>
      <c r="N639" t="str">
        <f>"050765"</f>
        <v>050765</v>
      </c>
      <c r="O639" t="s">
        <v>58</v>
      </c>
      <c r="P639" t="s">
        <v>59</v>
      </c>
      <c r="Q639">
        <v>38.700000000000003</v>
      </c>
      <c r="R639">
        <v>37.700000000000003</v>
      </c>
      <c r="S639" t="s">
        <v>180</v>
      </c>
    </row>
    <row r="640" spans="1:19" x14ac:dyDescent="0.35">
      <c r="A640">
        <v>200073</v>
      </c>
      <c r="B640" t="str">
        <f>"200073"</f>
        <v>200073</v>
      </c>
      <c r="C640" t="s">
        <v>2880</v>
      </c>
      <c r="D640" t="s">
        <v>49</v>
      </c>
      <c r="E640" t="s">
        <v>62</v>
      </c>
      <c r="F640" t="s">
        <v>51</v>
      </c>
      <c r="G640" t="s">
        <v>543</v>
      </c>
      <c r="H640" t="s">
        <v>1445</v>
      </c>
      <c r="I640" t="s">
        <v>1446</v>
      </c>
      <c r="J640" t="s">
        <v>1447</v>
      </c>
      <c r="K640" t="s">
        <v>55</v>
      </c>
      <c r="L640" t="s">
        <v>1448</v>
      </c>
      <c r="M640" t="s">
        <v>57</v>
      </c>
      <c r="N640" t="str">
        <f>"N/A"</f>
        <v>N/A</v>
      </c>
      <c r="O640" t="s">
        <v>49</v>
      </c>
      <c r="P640" t="s">
        <v>68</v>
      </c>
      <c r="Q640" t="s">
        <v>68</v>
      </c>
      <c r="R640" t="s">
        <v>68</v>
      </c>
      <c r="S640" t="s">
        <v>180</v>
      </c>
    </row>
    <row r="641" spans="1:19" x14ac:dyDescent="0.35">
      <c r="A641">
        <v>49353</v>
      </c>
      <c r="B641" t="str">
        <f>"049353"</f>
        <v>049353</v>
      </c>
      <c r="C641" t="s">
        <v>2881</v>
      </c>
      <c r="D641" t="s">
        <v>49</v>
      </c>
      <c r="E641" t="s">
        <v>50</v>
      </c>
      <c r="F641" t="s">
        <v>51</v>
      </c>
      <c r="G641" t="s">
        <v>150</v>
      </c>
      <c r="H641" t="s">
        <v>2882</v>
      </c>
      <c r="I641" t="s">
        <v>2883</v>
      </c>
      <c r="J641" t="s">
        <v>2884</v>
      </c>
      <c r="K641" t="s">
        <v>55</v>
      </c>
      <c r="L641" t="s">
        <v>2885</v>
      </c>
      <c r="M641" t="s">
        <v>57</v>
      </c>
      <c r="N641" t="str">
        <f>"049304"</f>
        <v>049304</v>
      </c>
      <c r="O641" t="s">
        <v>155</v>
      </c>
      <c r="P641" t="s">
        <v>84</v>
      </c>
      <c r="Q641">
        <v>36</v>
      </c>
      <c r="R641">
        <v>48.3</v>
      </c>
      <c r="S641" t="s">
        <v>156</v>
      </c>
    </row>
    <row r="642" spans="1:19" x14ac:dyDescent="0.35">
      <c r="A642">
        <v>49924</v>
      </c>
      <c r="B642" t="str">
        <f>"049924"</f>
        <v>049924</v>
      </c>
      <c r="C642" t="s">
        <v>1548</v>
      </c>
      <c r="D642" t="s">
        <v>49</v>
      </c>
      <c r="E642" t="s">
        <v>50</v>
      </c>
      <c r="F642" t="s">
        <v>51</v>
      </c>
      <c r="G642" t="s">
        <v>117</v>
      </c>
      <c r="H642" t="s">
        <v>2886</v>
      </c>
      <c r="I642" t="s">
        <v>2887</v>
      </c>
      <c r="J642" t="s">
        <v>977</v>
      </c>
      <c r="K642" t="s">
        <v>55</v>
      </c>
      <c r="L642" t="s">
        <v>978</v>
      </c>
      <c r="M642" t="s">
        <v>57</v>
      </c>
      <c r="N642" t="str">
        <f>"049825"</f>
        <v>049825</v>
      </c>
      <c r="O642" t="s">
        <v>122</v>
      </c>
      <c r="P642" t="s">
        <v>84</v>
      </c>
      <c r="Q642">
        <v>37.1</v>
      </c>
      <c r="R642">
        <v>14</v>
      </c>
      <c r="S642" t="s">
        <v>77</v>
      </c>
    </row>
    <row r="643" spans="1:19" x14ac:dyDescent="0.35">
      <c r="A643">
        <v>51714</v>
      </c>
      <c r="B643" t="str">
        <f>"051714"</f>
        <v>051714</v>
      </c>
      <c r="C643" t="s">
        <v>2888</v>
      </c>
      <c r="D643" t="s">
        <v>49</v>
      </c>
      <c r="E643" t="s">
        <v>163</v>
      </c>
      <c r="F643" t="s">
        <v>51</v>
      </c>
      <c r="G643" t="s">
        <v>187</v>
      </c>
      <c r="H643" t="s">
        <v>395</v>
      </c>
      <c r="I643" t="s">
        <v>396</v>
      </c>
      <c r="J643" t="s">
        <v>397</v>
      </c>
      <c r="K643" t="s">
        <v>55</v>
      </c>
      <c r="L643" t="s">
        <v>398</v>
      </c>
      <c r="M643" t="s">
        <v>57</v>
      </c>
      <c r="N643" t="str">
        <f>"050765"</f>
        <v>050765</v>
      </c>
      <c r="O643" t="s">
        <v>58</v>
      </c>
      <c r="P643" t="s">
        <v>68</v>
      </c>
      <c r="Q643" t="s">
        <v>68</v>
      </c>
      <c r="R643" t="s">
        <v>68</v>
      </c>
      <c r="S643" t="s">
        <v>77</v>
      </c>
    </row>
    <row r="644" spans="1:19" x14ac:dyDescent="0.35">
      <c r="A644">
        <v>43497</v>
      </c>
      <c r="B644" t="str">
        <f>"043497"</f>
        <v>043497</v>
      </c>
      <c r="C644" t="s">
        <v>2889</v>
      </c>
      <c r="D644" t="s">
        <v>49</v>
      </c>
      <c r="E644" t="s">
        <v>50</v>
      </c>
      <c r="F644" t="s">
        <v>51</v>
      </c>
      <c r="G644" t="s">
        <v>117</v>
      </c>
      <c r="H644" t="s">
        <v>1302</v>
      </c>
      <c r="I644" t="s">
        <v>1303</v>
      </c>
      <c r="J644" t="s">
        <v>120</v>
      </c>
      <c r="K644" t="s">
        <v>55</v>
      </c>
      <c r="L644" t="s">
        <v>121</v>
      </c>
      <c r="M644" t="s">
        <v>57</v>
      </c>
      <c r="N644" t="str">
        <f>"050765"</f>
        <v>050765</v>
      </c>
      <c r="O644" t="s">
        <v>58</v>
      </c>
      <c r="P644" t="s">
        <v>281</v>
      </c>
      <c r="Q644">
        <v>100</v>
      </c>
      <c r="R644">
        <v>32.599999999999994</v>
      </c>
      <c r="S644" t="s">
        <v>77</v>
      </c>
    </row>
    <row r="645" spans="1:19" x14ac:dyDescent="0.35">
      <c r="A645">
        <v>43992</v>
      </c>
      <c r="B645" t="str">
        <f>"043992"</f>
        <v>043992</v>
      </c>
      <c r="C645" t="s">
        <v>2890</v>
      </c>
      <c r="D645" t="s">
        <v>49</v>
      </c>
      <c r="E645" t="s">
        <v>50</v>
      </c>
      <c r="F645" t="s">
        <v>51</v>
      </c>
      <c r="G645" t="s">
        <v>1296</v>
      </c>
      <c r="H645" t="s">
        <v>2891</v>
      </c>
      <c r="I645" t="s">
        <v>2892</v>
      </c>
      <c r="J645" t="s">
        <v>2893</v>
      </c>
      <c r="K645" t="s">
        <v>55</v>
      </c>
      <c r="L645" t="s">
        <v>2894</v>
      </c>
      <c r="M645" t="s">
        <v>57</v>
      </c>
      <c r="N645" t="str">
        <f>"050765"</f>
        <v>050765</v>
      </c>
      <c r="O645" t="s">
        <v>58</v>
      </c>
      <c r="P645" t="s">
        <v>84</v>
      </c>
      <c r="Q645">
        <v>69.8</v>
      </c>
      <c r="R645">
        <v>47.2</v>
      </c>
      <c r="S645" t="s">
        <v>156</v>
      </c>
    </row>
    <row r="646" spans="1:19" x14ac:dyDescent="0.35">
      <c r="A646">
        <v>50245</v>
      </c>
      <c r="B646" t="str">
        <f>"050245"</f>
        <v>050245</v>
      </c>
      <c r="C646" t="s">
        <v>2895</v>
      </c>
      <c r="D646" t="s">
        <v>49</v>
      </c>
      <c r="E646" t="s">
        <v>50</v>
      </c>
      <c r="F646" t="s">
        <v>51</v>
      </c>
      <c r="G646" t="s">
        <v>169</v>
      </c>
      <c r="H646" t="s">
        <v>2896</v>
      </c>
      <c r="I646" t="s">
        <v>2897</v>
      </c>
      <c r="J646" t="s">
        <v>2898</v>
      </c>
      <c r="K646" t="s">
        <v>55</v>
      </c>
      <c r="L646" t="s">
        <v>2899</v>
      </c>
      <c r="M646" t="s">
        <v>57</v>
      </c>
      <c r="N646" t="str">
        <f>"050088"</f>
        <v>050088</v>
      </c>
      <c r="O646" t="s">
        <v>416</v>
      </c>
      <c r="P646" t="s">
        <v>76</v>
      </c>
      <c r="Q646">
        <v>54.6</v>
      </c>
      <c r="R646">
        <v>16.400000000000006</v>
      </c>
      <c r="S646" t="s">
        <v>77</v>
      </c>
    </row>
    <row r="647" spans="1:19" x14ac:dyDescent="0.35">
      <c r="A647">
        <v>51433</v>
      </c>
      <c r="B647" t="str">
        <f>"051433"</f>
        <v>051433</v>
      </c>
      <c r="C647" t="s">
        <v>2900</v>
      </c>
      <c r="D647" t="s">
        <v>49</v>
      </c>
      <c r="E647" t="s">
        <v>163</v>
      </c>
      <c r="F647" t="s">
        <v>51</v>
      </c>
      <c r="G647" t="s">
        <v>318</v>
      </c>
      <c r="H647" t="s">
        <v>2403</v>
      </c>
      <c r="I647" t="s">
        <v>2404</v>
      </c>
      <c r="J647" t="s">
        <v>321</v>
      </c>
      <c r="K647" t="s">
        <v>55</v>
      </c>
      <c r="L647" t="s">
        <v>322</v>
      </c>
      <c r="M647" t="s">
        <v>57</v>
      </c>
      <c r="N647" t="str">
        <f>"050765"</f>
        <v>050765</v>
      </c>
      <c r="O647" t="s">
        <v>58</v>
      </c>
      <c r="P647" t="s">
        <v>68</v>
      </c>
      <c r="Q647" t="s">
        <v>68</v>
      </c>
      <c r="R647" t="s">
        <v>68</v>
      </c>
      <c r="S647" t="s">
        <v>130</v>
      </c>
    </row>
    <row r="648" spans="1:19" x14ac:dyDescent="0.35">
      <c r="A648">
        <v>200037</v>
      </c>
      <c r="B648" t="str">
        <f>"200037"</f>
        <v>200037</v>
      </c>
      <c r="C648" t="s">
        <v>2901</v>
      </c>
      <c r="D648" t="s">
        <v>49</v>
      </c>
      <c r="E648" t="s">
        <v>62</v>
      </c>
      <c r="F648" t="s">
        <v>51</v>
      </c>
      <c r="G648" t="s">
        <v>657</v>
      </c>
      <c r="H648" t="s">
        <v>1751</v>
      </c>
      <c r="I648" t="s">
        <v>1752</v>
      </c>
      <c r="J648" t="s">
        <v>1753</v>
      </c>
      <c r="K648" t="s">
        <v>55</v>
      </c>
      <c r="L648" t="s">
        <v>1754</v>
      </c>
      <c r="M648" t="s">
        <v>57</v>
      </c>
      <c r="N648" t="str">
        <f>"N/A"</f>
        <v>N/A</v>
      </c>
      <c r="O648" t="s">
        <v>49</v>
      </c>
      <c r="P648" t="s">
        <v>68</v>
      </c>
      <c r="Q648" t="s">
        <v>68</v>
      </c>
      <c r="R648" t="s">
        <v>68</v>
      </c>
      <c r="S648" t="s">
        <v>60</v>
      </c>
    </row>
    <row r="649" spans="1:19" x14ac:dyDescent="0.35">
      <c r="A649">
        <v>49718</v>
      </c>
      <c r="B649" t="str">
        <f>"049718"</f>
        <v>049718</v>
      </c>
      <c r="C649" t="s">
        <v>2902</v>
      </c>
      <c r="D649" t="s">
        <v>49</v>
      </c>
      <c r="E649" t="s">
        <v>50</v>
      </c>
      <c r="F649" t="s">
        <v>51</v>
      </c>
      <c r="G649" t="s">
        <v>1296</v>
      </c>
      <c r="H649" t="s">
        <v>2903</v>
      </c>
      <c r="I649" t="s">
        <v>2904</v>
      </c>
      <c r="J649" t="s">
        <v>2905</v>
      </c>
      <c r="K649" t="s">
        <v>55</v>
      </c>
      <c r="L649" t="s">
        <v>2906</v>
      </c>
      <c r="M649" t="s">
        <v>57</v>
      </c>
      <c r="N649" t="str">
        <f>"123257"</f>
        <v>123257</v>
      </c>
      <c r="O649" t="s">
        <v>316</v>
      </c>
      <c r="P649" t="s">
        <v>76</v>
      </c>
      <c r="Q649">
        <v>18.399999999999999</v>
      </c>
      <c r="R649">
        <v>5.7999999999999972</v>
      </c>
      <c r="S649" t="s">
        <v>156</v>
      </c>
    </row>
    <row r="650" spans="1:19" x14ac:dyDescent="0.35">
      <c r="A650">
        <v>48371</v>
      </c>
      <c r="B650" t="str">
        <f>"048371"</f>
        <v>048371</v>
      </c>
      <c r="C650" t="s">
        <v>263</v>
      </c>
      <c r="D650" t="s">
        <v>49</v>
      </c>
      <c r="E650" t="s">
        <v>50</v>
      </c>
      <c r="F650" t="s">
        <v>51</v>
      </c>
      <c r="G650" t="s">
        <v>383</v>
      </c>
      <c r="H650" t="s">
        <v>2907</v>
      </c>
      <c r="I650" t="s">
        <v>2908</v>
      </c>
      <c r="J650" t="s">
        <v>2909</v>
      </c>
      <c r="K650" t="s">
        <v>55</v>
      </c>
      <c r="L650" t="s">
        <v>2910</v>
      </c>
      <c r="M650" t="s">
        <v>57</v>
      </c>
      <c r="N650" t="str">
        <f>"048280"</f>
        <v>048280</v>
      </c>
      <c r="O650" t="s">
        <v>388</v>
      </c>
      <c r="P650" t="s">
        <v>84</v>
      </c>
      <c r="Q650">
        <v>31.2</v>
      </c>
      <c r="R650">
        <v>7.2000000000000028</v>
      </c>
      <c r="S650" t="s">
        <v>77</v>
      </c>
    </row>
    <row r="651" spans="1:19" x14ac:dyDescent="0.35">
      <c r="A651">
        <v>50484</v>
      </c>
      <c r="B651" t="str">
        <f>"050484"</f>
        <v>050484</v>
      </c>
      <c r="C651" t="s">
        <v>2911</v>
      </c>
      <c r="D651" t="s">
        <v>49</v>
      </c>
      <c r="E651" t="s">
        <v>50</v>
      </c>
      <c r="F651" t="s">
        <v>51</v>
      </c>
      <c r="G651" t="s">
        <v>124</v>
      </c>
      <c r="H651" t="s">
        <v>2912</v>
      </c>
      <c r="I651" t="s">
        <v>2913</v>
      </c>
      <c r="J651" t="s">
        <v>2914</v>
      </c>
      <c r="K651" t="s">
        <v>55</v>
      </c>
      <c r="L651" t="s">
        <v>2915</v>
      </c>
      <c r="M651" t="s">
        <v>57</v>
      </c>
      <c r="N651" t="str">
        <f>"123281"</f>
        <v>123281</v>
      </c>
      <c r="O651" t="s">
        <v>129</v>
      </c>
      <c r="P651" t="s">
        <v>76</v>
      </c>
      <c r="Q651">
        <v>44.6</v>
      </c>
      <c r="R651">
        <v>4.5</v>
      </c>
      <c r="S651" t="s">
        <v>130</v>
      </c>
    </row>
    <row r="652" spans="1:19" x14ac:dyDescent="0.35">
      <c r="A652">
        <v>45948</v>
      </c>
      <c r="B652" t="str">
        <f>"045948"</f>
        <v>045948</v>
      </c>
      <c r="C652" t="s">
        <v>2916</v>
      </c>
      <c r="D652" t="s">
        <v>49</v>
      </c>
      <c r="E652" t="s">
        <v>50</v>
      </c>
      <c r="F652" t="s">
        <v>51</v>
      </c>
      <c r="G652" t="s">
        <v>554</v>
      </c>
      <c r="H652" t="s">
        <v>2917</v>
      </c>
      <c r="I652" t="s">
        <v>2918</v>
      </c>
      <c r="J652" t="s">
        <v>2919</v>
      </c>
      <c r="K652" t="s">
        <v>55</v>
      </c>
      <c r="L652" t="s">
        <v>2920</v>
      </c>
      <c r="M652" t="s">
        <v>57</v>
      </c>
      <c r="N652" t="str">
        <f>"045930"</f>
        <v>045930</v>
      </c>
      <c r="O652" t="s">
        <v>559</v>
      </c>
      <c r="P652" t="s">
        <v>84</v>
      </c>
      <c r="Q652">
        <v>7.7</v>
      </c>
      <c r="R652">
        <v>3.5</v>
      </c>
      <c r="S652" t="s">
        <v>156</v>
      </c>
    </row>
    <row r="653" spans="1:19" x14ac:dyDescent="0.35">
      <c r="A653">
        <v>46235</v>
      </c>
      <c r="B653" t="str">
        <f>"046235"</f>
        <v>046235</v>
      </c>
      <c r="C653" t="s">
        <v>2921</v>
      </c>
      <c r="D653" t="s">
        <v>49</v>
      </c>
      <c r="E653" t="s">
        <v>50</v>
      </c>
      <c r="F653" t="s">
        <v>51</v>
      </c>
      <c r="G653" t="s">
        <v>777</v>
      </c>
      <c r="H653" t="s">
        <v>2922</v>
      </c>
      <c r="I653" t="s">
        <v>2923</v>
      </c>
      <c r="J653" t="s">
        <v>2924</v>
      </c>
      <c r="K653" t="s">
        <v>55</v>
      </c>
      <c r="L653" t="s">
        <v>2925</v>
      </c>
      <c r="M653" t="s">
        <v>57</v>
      </c>
      <c r="N653" t="str">
        <f>"046227"</f>
        <v>046227</v>
      </c>
      <c r="O653" t="s">
        <v>782</v>
      </c>
      <c r="P653" t="s">
        <v>84</v>
      </c>
      <c r="Q653">
        <v>41</v>
      </c>
      <c r="R653">
        <v>10</v>
      </c>
      <c r="S653" t="s">
        <v>180</v>
      </c>
    </row>
    <row r="654" spans="1:19" x14ac:dyDescent="0.35">
      <c r="A654">
        <v>200032</v>
      </c>
      <c r="B654" t="str">
        <f>"200032"</f>
        <v>200032</v>
      </c>
      <c r="C654" t="s">
        <v>2926</v>
      </c>
      <c r="D654" t="s">
        <v>49</v>
      </c>
      <c r="E654" t="s">
        <v>62</v>
      </c>
      <c r="F654" t="s">
        <v>51</v>
      </c>
      <c r="G654" t="s">
        <v>759</v>
      </c>
      <c r="H654" t="s">
        <v>2927</v>
      </c>
      <c r="I654" t="s">
        <v>2928</v>
      </c>
      <c r="J654" t="s">
        <v>2766</v>
      </c>
      <c r="K654" t="s">
        <v>55</v>
      </c>
      <c r="L654" t="s">
        <v>2767</v>
      </c>
      <c r="M654" t="s">
        <v>57</v>
      </c>
      <c r="N654" t="str">
        <f>"N/A"</f>
        <v>N/A</v>
      </c>
      <c r="O654" t="s">
        <v>49</v>
      </c>
      <c r="P654" t="s">
        <v>68</v>
      </c>
      <c r="Q654" t="s">
        <v>68</v>
      </c>
      <c r="R654" t="s">
        <v>68</v>
      </c>
      <c r="S654" t="s">
        <v>69</v>
      </c>
    </row>
    <row r="655" spans="1:19" x14ac:dyDescent="0.35">
      <c r="A655">
        <v>200054</v>
      </c>
      <c r="B655" t="str">
        <f>"200054"</f>
        <v>200054</v>
      </c>
      <c r="C655" t="s">
        <v>2929</v>
      </c>
      <c r="D655" t="s">
        <v>49</v>
      </c>
      <c r="E655" t="s">
        <v>62</v>
      </c>
      <c r="F655" t="s">
        <v>51</v>
      </c>
      <c r="G655" t="s">
        <v>1335</v>
      </c>
      <c r="H655" t="s">
        <v>1336</v>
      </c>
      <c r="I655" t="s">
        <v>1337</v>
      </c>
      <c r="J655" t="s">
        <v>1338</v>
      </c>
      <c r="K655" t="s">
        <v>55</v>
      </c>
      <c r="L655" t="s">
        <v>1339</v>
      </c>
      <c r="M655" t="s">
        <v>57</v>
      </c>
      <c r="N655" t="str">
        <f>"N/A"</f>
        <v>N/A</v>
      </c>
      <c r="O655" t="s">
        <v>49</v>
      </c>
      <c r="P655" t="s">
        <v>68</v>
      </c>
      <c r="Q655" t="s">
        <v>68</v>
      </c>
      <c r="R655" t="s">
        <v>68</v>
      </c>
      <c r="S655" t="s">
        <v>130</v>
      </c>
    </row>
    <row r="656" spans="1:19" x14ac:dyDescent="0.35">
      <c r="A656">
        <v>44065</v>
      </c>
      <c r="B656" t="str">
        <f>"044065"</f>
        <v>044065</v>
      </c>
      <c r="C656" t="s">
        <v>2930</v>
      </c>
      <c r="D656" t="s">
        <v>49</v>
      </c>
      <c r="E656" t="s">
        <v>50</v>
      </c>
      <c r="F656" t="s">
        <v>51</v>
      </c>
      <c r="G656" t="s">
        <v>169</v>
      </c>
      <c r="H656" t="s">
        <v>2931</v>
      </c>
      <c r="I656" t="s">
        <v>2932</v>
      </c>
      <c r="J656" t="s">
        <v>2933</v>
      </c>
      <c r="K656" t="s">
        <v>55</v>
      </c>
      <c r="L656" t="s">
        <v>2934</v>
      </c>
      <c r="M656" t="s">
        <v>57</v>
      </c>
      <c r="N656" t="str">
        <f>"050765"</f>
        <v>050765</v>
      </c>
      <c r="O656" t="s">
        <v>58</v>
      </c>
      <c r="P656" t="s">
        <v>84</v>
      </c>
      <c r="Q656">
        <v>56.9</v>
      </c>
      <c r="R656">
        <v>18.5</v>
      </c>
      <c r="S656" t="s">
        <v>77</v>
      </c>
    </row>
    <row r="657" spans="1:19" x14ac:dyDescent="0.35">
      <c r="A657">
        <v>48538</v>
      </c>
      <c r="B657" t="str">
        <f>"048538"</f>
        <v>048538</v>
      </c>
      <c r="C657" t="s">
        <v>2238</v>
      </c>
      <c r="D657" t="s">
        <v>49</v>
      </c>
      <c r="E657" t="s">
        <v>50</v>
      </c>
      <c r="F657" t="s">
        <v>51</v>
      </c>
      <c r="G657" t="s">
        <v>966</v>
      </c>
      <c r="H657" t="s">
        <v>2935</v>
      </c>
      <c r="I657" t="s">
        <v>2936</v>
      </c>
      <c r="J657" t="s">
        <v>2937</v>
      </c>
      <c r="K657" t="s">
        <v>55</v>
      </c>
      <c r="L657" t="s">
        <v>2938</v>
      </c>
      <c r="M657" t="s">
        <v>57</v>
      </c>
      <c r="N657" t="str">
        <f>"135145"</f>
        <v>135145</v>
      </c>
      <c r="O657" t="s">
        <v>503</v>
      </c>
      <c r="P657" t="s">
        <v>76</v>
      </c>
      <c r="Q657">
        <v>100</v>
      </c>
      <c r="R657">
        <v>4.0999999999999943</v>
      </c>
      <c r="S657" t="s">
        <v>130</v>
      </c>
    </row>
    <row r="658" spans="1:19" x14ac:dyDescent="0.35">
      <c r="A658">
        <v>49205</v>
      </c>
      <c r="B658" t="str">
        <f>"049205"</f>
        <v>049205</v>
      </c>
      <c r="C658" t="s">
        <v>2939</v>
      </c>
      <c r="D658" t="s">
        <v>49</v>
      </c>
      <c r="E658" t="s">
        <v>50</v>
      </c>
      <c r="F658" t="s">
        <v>51</v>
      </c>
      <c r="G658" t="s">
        <v>295</v>
      </c>
      <c r="H658" t="s">
        <v>2940</v>
      </c>
      <c r="I658" t="s">
        <v>2941</v>
      </c>
      <c r="J658" t="s">
        <v>2942</v>
      </c>
      <c r="K658" t="s">
        <v>55</v>
      </c>
      <c r="L658" t="s">
        <v>2943</v>
      </c>
      <c r="M658" t="s">
        <v>57</v>
      </c>
      <c r="N658" t="str">
        <f>"046532"</f>
        <v>046532</v>
      </c>
      <c r="O658" t="s">
        <v>509</v>
      </c>
      <c r="P658" t="s">
        <v>76</v>
      </c>
      <c r="Q658">
        <v>28.9</v>
      </c>
      <c r="R658">
        <v>4.4000000000000057</v>
      </c>
      <c r="S658" t="s">
        <v>77</v>
      </c>
    </row>
    <row r="659" spans="1:19" x14ac:dyDescent="0.35">
      <c r="A659">
        <v>200025</v>
      </c>
      <c r="B659" t="str">
        <f>"200025"</f>
        <v>200025</v>
      </c>
      <c r="C659" t="s">
        <v>2944</v>
      </c>
      <c r="D659" t="s">
        <v>49</v>
      </c>
      <c r="E659" t="s">
        <v>62</v>
      </c>
      <c r="F659" t="s">
        <v>51</v>
      </c>
      <c r="G659" t="s">
        <v>63</v>
      </c>
      <c r="H659" t="s">
        <v>2945</v>
      </c>
      <c r="I659" t="s">
        <v>2946</v>
      </c>
      <c r="J659" t="s">
        <v>2947</v>
      </c>
      <c r="K659" t="s">
        <v>55</v>
      </c>
      <c r="L659" t="s">
        <v>2291</v>
      </c>
      <c r="M659" t="s">
        <v>57</v>
      </c>
      <c r="N659" t="str">
        <f>"N/A"</f>
        <v>N/A</v>
      </c>
      <c r="O659" t="s">
        <v>49</v>
      </c>
      <c r="P659" t="s">
        <v>68</v>
      </c>
      <c r="Q659" t="s">
        <v>68</v>
      </c>
      <c r="R659" t="s">
        <v>68</v>
      </c>
      <c r="S659" t="s">
        <v>69</v>
      </c>
    </row>
    <row r="660" spans="1:19" x14ac:dyDescent="0.35">
      <c r="A660">
        <v>43687</v>
      </c>
      <c r="B660" t="str">
        <f>"043687"</f>
        <v>043687</v>
      </c>
      <c r="C660" t="s">
        <v>2948</v>
      </c>
      <c r="D660" t="s">
        <v>49</v>
      </c>
      <c r="E660" t="s">
        <v>50</v>
      </c>
      <c r="F660" t="s">
        <v>51</v>
      </c>
      <c r="G660" t="s">
        <v>331</v>
      </c>
      <c r="H660" t="s">
        <v>2949</v>
      </c>
      <c r="I660" t="s">
        <v>2950</v>
      </c>
      <c r="J660" t="s">
        <v>634</v>
      </c>
      <c r="K660" t="s">
        <v>55</v>
      </c>
      <c r="L660" t="s">
        <v>635</v>
      </c>
      <c r="M660" t="s">
        <v>57</v>
      </c>
      <c r="N660" t="str">
        <f>"050765"</f>
        <v>050765</v>
      </c>
      <c r="O660" t="s">
        <v>58</v>
      </c>
      <c r="P660" t="s">
        <v>84</v>
      </c>
      <c r="Q660">
        <v>60.7</v>
      </c>
      <c r="R660">
        <v>10.200000000000003</v>
      </c>
      <c r="S660" t="s">
        <v>156</v>
      </c>
    </row>
    <row r="661" spans="1:19" x14ac:dyDescent="0.35">
      <c r="A661">
        <v>44784</v>
      </c>
      <c r="B661" t="str">
        <f>"044784"</f>
        <v>044784</v>
      </c>
      <c r="C661" t="s">
        <v>2951</v>
      </c>
      <c r="D661" t="s">
        <v>49</v>
      </c>
      <c r="E661" t="s">
        <v>50</v>
      </c>
      <c r="F661" t="s">
        <v>51</v>
      </c>
      <c r="G661" t="s">
        <v>572</v>
      </c>
      <c r="H661" t="s">
        <v>2952</v>
      </c>
      <c r="I661" t="s">
        <v>2953</v>
      </c>
      <c r="J661" t="s">
        <v>2954</v>
      </c>
      <c r="K661" t="s">
        <v>55</v>
      </c>
      <c r="L661" t="s">
        <v>2955</v>
      </c>
      <c r="M661" t="s">
        <v>57</v>
      </c>
      <c r="N661" t="str">
        <f>"050765"</f>
        <v>050765</v>
      </c>
      <c r="O661" t="s">
        <v>58</v>
      </c>
      <c r="P661" t="s">
        <v>84</v>
      </c>
      <c r="Q661">
        <v>52.1</v>
      </c>
      <c r="R661">
        <v>23.799999999999997</v>
      </c>
      <c r="S661" t="s">
        <v>180</v>
      </c>
    </row>
    <row r="662" spans="1:19" x14ac:dyDescent="0.35">
      <c r="A662">
        <v>50237</v>
      </c>
      <c r="B662" t="str">
        <f>"050237"</f>
        <v>050237</v>
      </c>
      <c r="C662" t="s">
        <v>2956</v>
      </c>
      <c r="D662" t="s">
        <v>49</v>
      </c>
      <c r="E662" t="s">
        <v>50</v>
      </c>
      <c r="F662" t="s">
        <v>51</v>
      </c>
      <c r="G662" t="s">
        <v>169</v>
      </c>
      <c r="H662" t="s">
        <v>2957</v>
      </c>
      <c r="I662" t="s">
        <v>2958</v>
      </c>
      <c r="J662" t="s">
        <v>2959</v>
      </c>
      <c r="K662" t="s">
        <v>55</v>
      </c>
      <c r="L662" t="s">
        <v>2960</v>
      </c>
      <c r="M662" t="s">
        <v>57</v>
      </c>
      <c r="N662" t="str">
        <f>"050088"</f>
        <v>050088</v>
      </c>
      <c r="O662" t="s">
        <v>416</v>
      </c>
      <c r="P662" t="s">
        <v>76</v>
      </c>
      <c r="Q662">
        <v>38.6</v>
      </c>
      <c r="R662">
        <v>8.5</v>
      </c>
      <c r="S662" t="s">
        <v>77</v>
      </c>
    </row>
    <row r="663" spans="1:19" x14ac:dyDescent="0.35">
      <c r="A663">
        <v>50906</v>
      </c>
      <c r="B663" t="str">
        <f>"050906"</f>
        <v>050906</v>
      </c>
      <c r="C663" t="s">
        <v>2961</v>
      </c>
      <c r="D663" t="s">
        <v>49</v>
      </c>
      <c r="E663" t="s">
        <v>163</v>
      </c>
      <c r="F663" t="s">
        <v>51</v>
      </c>
      <c r="G663" t="s">
        <v>536</v>
      </c>
      <c r="H663" t="s">
        <v>1073</v>
      </c>
      <c r="I663" t="s">
        <v>1074</v>
      </c>
      <c r="J663" t="s">
        <v>1075</v>
      </c>
      <c r="K663" t="s">
        <v>55</v>
      </c>
      <c r="L663" t="s">
        <v>1076</v>
      </c>
      <c r="M663" t="s">
        <v>57</v>
      </c>
      <c r="N663" t="str">
        <f>"050765"</f>
        <v>050765</v>
      </c>
      <c r="O663" t="s">
        <v>58</v>
      </c>
      <c r="P663" t="s">
        <v>68</v>
      </c>
      <c r="Q663" t="s">
        <v>68</v>
      </c>
      <c r="R663" t="s">
        <v>68</v>
      </c>
      <c r="S663" t="s">
        <v>77</v>
      </c>
    </row>
    <row r="664" spans="1:19" x14ac:dyDescent="0.35">
      <c r="A664">
        <v>46706</v>
      </c>
      <c r="B664" t="str">
        <f>"046706"</f>
        <v>046706</v>
      </c>
      <c r="C664" t="s">
        <v>2962</v>
      </c>
      <c r="D664" t="s">
        <v>49</v>
      </c>
      <c r="E664" t="s">
        <v>50</v>
      </c>
      <c r="F664" t="s">
        <v>51</v>
      </c>
      <c r="G664" t="s">
        <v>2304</v>
      </c>
      <c r="H664" t="s">
        <v>2963</v>
      </c>
      <c r="I664" t="s">
        <v>2964</v>
      </c>
      <c r="J664" t="s">
        <v>2304</v>
      </c>
      <c r="K664" t="s">
        <v>55</v>
      </c>
      <c r="L664" t="s">
        <v>2369</v>
      </c>
      <c r="M664" t="s">
        <v>57</v>
      </c>
      <c r="N664" t="str">
        <f>"124297"</f>
        <v>124297</v>
      </c>
      <c r="O664" t="s">
        <v>349</v>
      </c>
      <c r="P664" t="s">
        <v>84</v>
      </c>
      <c r="Q664">
        <v>20.8</v>
      </c>
      <c r="R664">
        <v>14.299999999999997</v>
      </c>
      <c r="S664" t="s">
        <v>156</v>
      </c>
    </row>
    <row r="665" spans="1:19" x14ac:dyDescent="0.35">
      <c r="A665">
        <v>69682</v>
      </c>
      <c r="B665" t="str">
        <f>"069682"</f>
        <v>069682</v>
      </c>
      <c r="C665" t="s">
        <v>2965</v>
      </c>
      <c r="D665" t="s">
        <v>49</v>
      </c>
      <c r="E665" t="s">
        <v>50</v>
      </c>
      <c r="F665" t="s">
        <v>51</v>
      </c>
      <c r="G665" t="s">
        <v>1679</v>
      </c>
      <c r="H665" t="s">
        <v>2966</v>
      </c>
      <c r="I665" t="s">
        <v>2967</v>
      </c>
      <c r="J665" t="s">
        <v>2968</v>
      </c>
      <c r="K665" t="s">
        <v>55</v>
      </c>
      <c r="L665" t="s">
        <v>2969</v>
      </c>
      <c r="M665" t="s">
        <v>57</v>
      </c>
      <c r="N665" t="str">
        <f>"123281"</f>
        <v>123281</v>
      </c>
      <c r="O665" t="s">
        <v>129</v>
      </c>
      <c r="P665" t="s">
        <v>76</v>
      </c>
      <c r="Q665">
        <v>47.1</v>
      </c>
      <c r="R665">
        <v>3.2000000000000028</v>
      </c>
      <c r="S665" t="s">
        <v>130</v>
      </c>
    </row>
    <row r="666" spans="1:19" x14ac:dyDescent="0.35">
      <c r="A666">
        <v>44495</v>
      </c>
      <c r="B666" t="str">
        <f>"044495"</f>
        <v>044495</v>
      </c>
      <c r="C666" t="s">
        <v>2970</v>
      </c>
      <c r="D666" t="s">
        <v>49</v>
      </c>
      <c r="E666" t="s">
        <v>50</v>
      </c>
      <c r="F666" t="s">
        <v>51</v>
      </c>
      <c r="G666" t="s">
        <v>169</v>
      </c>
      <c r="H666" t="s">
        <v>2971</v>
      </c>
      <c r="I666" t="s">
        <v>2972</v>
      </c>
      <c r="J666" t="s">
        <v>2973</v>
      </c>
      <c r="K666" t="s">
        <v>55</v>
      </c>
      <c r="L666" t="s">
        <v>2974</v>
      </c>
      <c r="M666" t="s">
        <v>57</v>
      </c>
      <c r="N666" t="str">
        <f>"050765"</f>
        <v>050765</v>
      </c>
      <c r="O666" t="s">
        <v>58</v>
      </c>
      <c r="P666" t="s">
        <v>84</v>
      </c>
      <c r="Q666">
        <v>78.8</v>
      </c>
      <c r="R666">
        <v>21.5</v>
      </c>
      <c r="S666" t="s">
        <v>77</v>
      </c>
    </row>
    <row r="667" spans="1:19" x14ac:dyDescent="0.35">
      <c r="A667">
        <v>47431</v>
      </c>
      <c r="B667" t="str">
        <f>"047431"</f>
        <v>047431</v>
      </c>
      <c r="C667" t="s">
        <v>2975</v>
      </c>
      <c r="D667" t="s">
        <v>49</v>
      </c>
      <c r="E667" t="s">
        <v>50</v>
      </c>
      <c r="F667" t="s">
        <v>51</v>
      </c>
      <c r="G667" t="s">
        <v>821</v>
      </c>
      <c r="H667" t="s">
        <v>2976</v>
      </c>
      <c r="I667" t="s">
        <v>2977</v>
      </c>
      <c r="J667" t="s">
        <v>2978</v>
      </c>
      <c r="K667" t="s">
        <v>55</v>
      </c>
      <c r="L667" t="s">
        <v>2979</v>
      </c>
      <c r="M667" t="s">
        <v>57</v>
      </c>
      <c r="N667" t="str">
        <f>"047407"</f>
        <v>047407</v>
      </c>
      <c r="O667" t="s">
        <v>826</v>
      </c>
      <c r="P667" t="s">
        <v>84</v>
      </c>
      <c r="Q667">
        <v>37.700000000000003</v>
      </c>
      <c r="R667">
        <v>9.2000000000000028</v>
      </c>
      <c r="S667" t="s">
        <v>156</v>
      </c>
    </row>
    <row r="668" spans="1:19" x14ac:dyDescent="0.35">
      <c r="A668">
        <v>44206</v>
      </c>
      <c r="B668" t="str">
        <f>"044206"</f>
        <v>044206</v>
      </c>
      <c r="C668" t="s">
        <v>2980</v>
      </c>
      <c r="D668" t="s">
        <v>49</v>
      </c>
      <c r="E668" t="s">
        <v>50</v>
      </c>
      <c r="F668" t="s">
        <v>51</v>
      </c>
      <c r="G668" t="s">
        <v>92</v>
      </c>
      <c r="H668" t="s">
        <v>2981</v>
      </c>
      <c r="I668" t="s">
        <v>2982</v>
      </c>
      <c r="J668" t="s">
        <v>1940</v>
      </c>
      <c r="K668" t="s">
        <v>55</v>
      </c>
      <c r="L668" t="s">
        <v>1941</v>
      </c>
      <c r="M668" t="s">
        <v>57</v>
      </c>
      <c r="N668" t="str">
        <f>"050765"</f>
        <v>050765</v>
      </c>
      <c r="O668" t="s">
        <v>58</v>
      </c>
      <c r="P668" t="s">
        <v>84</v>
      </c>
      <c r="Q668">
        <v>50.7</v>
      </c>
      <c r="R668">
        <v>13.799999999999997</v>
      </c>
      <c r="S668" t="s">
        <v>60</v>
      </c>
    </row>
    <row r="669" spans="1:19" x14ac:dyDescent="0.35">
      <c r="A669">
        <v>48116</v>
      </c>
      <c r="B669" t="str">
        <f>"048116"</f>
        <v>048116</v>
      </c>
      <c r="C669" t="s">
        <v>2983</v>
      </c>
      <c r="D669" t="s">
        <v>49</v>
      </c>
      <c r="E669" t="s">
        <v>50</v>
      </c>
      <c r="F669" t="s">
        <v>51</v>
      </c>
      <c r="G669" t="s">
        <v>143</v>
      </c>
      <c r="H669" t="s">
        <v>2984</v>
      </c>
      <c r="I669" t="s">
        <v>2985</v>
      </c>
      <c r="J669" t="s">
        <v>2986</v>
      </c>
      <c r="K669" t="s">
        <v>55</v>
      </c>
      <c r="L669" t="s">
        <v>2987</v>
      </c>
      <c r="M669" t="s">
        <v>57</v>
      </c>
      <c r="N669" t="str">
        <f>"048108"</f>
        <v>048108</v>
      </c>
      <c r="O669" t="s">
        <v>148</v>
      </c>
      <c r="P669" t="s">
        <v>59</v>
      </c>
      <c r="Q669">
        <v>11.3</v>
      </c>
      <c r="R669">
        <v>19.900000000000006</v>
      </c>
      <c r="S669" t="s">
        <v>69</v>
      </c>
    </row>
    <row r="670" spans="1:19" x14ac:dyDescent="0.35">
      <c r="A670">
        <v>51656</v>
      </c>
      <c r="B670" t="str">
        <f>"051656"</f>
        <v>051656</v>
      </c>
      <c r="C670" t="s">
        <v>2988</v>
      </c>
      <c r="D670" t="s">
        <v>49</v>
      </c>
      <c r="E670" t="s">
        <v>163</v>
      </c>
      <c r="F670" t="s">
        <v>51</v>
      </c>
      <c r="G670" t="s">
        <v>71</v>
      </c>
      <c r="H670" t="s">
        <v>2989</v>
      </c>
      <c r="I670" t="s">
        <v>2990</v>
      </c>
      <c r="J670" t="s">
        <v>447</v>
      </c>
      <c r="K670" t="s">
        <v>55</v>
      </c>
      <c r="L670" t="s">
        <v>448</v>
      </c>
      <c r="M670" t="s">
        <v>57</v>
      </c>
      <c r="N670" t="str">
        <f>"050765"</f>
        <v>050765</v>
      </c>
      <c r="O670" t="s">
        <v>58</v>
      </c>
      <c r="P670" t="s">
        <v>68</v>
      </c>
      <c r="Q670" t="s">
        <v>68</v>
      </c>
      <c r="R670" t="s">
        <v>68</v>
      </c>
      <c r="S670" t="s">
        <v>77</v>
      </c>
    </row>
    <row r="671" spans="1:19" x14ac:dyDescent="0.35">
      <c r="A671">
        <v>50393</v>
      </c>
      <c r="B671" t="str">
        <f>"050393"</f>
        <v>050393</v>
      </c>
      <c r="C671" t="s">
        <v>2991</v>
      </c>
      <c r="D671" t="s">
        <v>49</v>
      </c>
      <c r="E671" t="s">
        <v>50</v>
      </c>
      <c r="F671" t="s">
        <v>51</v>
      </c>
      <c r="G671" t="s">
        <v>2992</v>
      </c>
      <c r="H671" t="s">
        <v>2993</v>
      </c>
      <c r="I671" t="s">
        <v>2994</v>
      </c>
      <c r="J671" t="s">
        <v>2995</v>
      </c>
      <c r="K671" t="s">
        <v>55</v>
      </c>
      <c r="L671" t="s">
        <v>2996</v>
      </c>
      <c r="M671" t="s">
        <v>57</v>
      </c>
      <c r="N671" t="str">
        <f>"125682"</f>
        <v>125682</v>
      </c>
      <c r="O671" t="s">
        <v>1760</v>
      </c>
      <c r="P671" t="s">
        <v>76</v>
      </c>
      <c r="Q671">
        <v>99.8</v>
      </c>
      <c r="R671">
        <v>2.7000000000000028</v>
      </c>
      <c r="S671" t="s">
        <v>130</v>
      </c>
    </row>
    <row r="672" spans="1:19" x14ac:dyDescent="0.35">
      <c r="A672">
        <v>200007</v>
      </c>
      <c r="B672" t="str">
        <f>"200007"</f>
        <v>200007</v>
      </c>
      <c r="C672" t="s">
        <v>2997</v>
      </c>
      <c r="D672" t="s">
        <v>49</v>
      </c>
      <c r="E672" t="s">
        <v>62</v>
      </c>
      <c r="F672" t="s">
        <v>51</v>
      </c>
      <c r="G672" t="s">
        <v>19</v>
      </c>
      <c r="H672" t="s">
        <v>2998</v>
      </c>
      <c r="I672" t="s">
        <v>2999</v>
      </c>
      <c r="J672" t="s">
        <v>1797</v>
      </c>
      <c r="K672" t="s">
        <v>55</v>
      </c>
      <c r="L672" t="s">
        <v>1798</v>
      </c>
      <c r="M672" t="s">
        <v>57</v>
      </c>
      <c r="N672" t="str">
        <f>"N/A"</f>
        <v>N/A</v>
      </c>
      <c r="O672" t="s">
        <v>49</v>
      </c>
      <c r="P672" t="s">
        <v>68</v>
      </c>
      <c r="Q672" t="s">
        <v>68</v>
      </c>
      <c r="R672" t="s">
        <v>68</v>
      </c>
      <c r="S672" t="s">
        <v>217</v>
      </c>
    </row>
    <row r="673" spans="1:19" x14ac:dyDescent="0.35">
      <c r="A673">
        <v>43711</v>
      </c>
      <c r="B673" t="str">
        <f>"043711"</f>
        <v>043711</v>
      </c>
      <c r="C673" t="s">
        <v>3000</v>
      </c>
      <c r="D673" t="s">
        <v>49</v>
      </c>
      <c r="E673" t="s">
        <v>50</v>
      </c>
      <c r="F673" t="s">
        <v>51</v>
      </c>
      <c r="G673" t="s">
        <v>117</v>
      </c>
      <c r="H673" t="s">
        <v>3001</v>
      </c>
      <c r="I673" t="s">
        <v>3002</v>
      </c>
      <c r="J673" t="s">
        <v>1409</v>
      </c>
      <c r="K673" t="s">
        <v>55</v>
      </c>
      <c r="L673" t="s">
        <v>1986</v>
      </c>
      <c r="M673" t="s">
        <v>57</v>
      </c>
      <c r="N673" t="str">
        <f>"050765"</f>
        <v>050765</v>
      </c>
      <c r="O673" t="s">
        <v>58</v>
      </c>
      <c r="P673" t="s">
        <v>281</v>
      </c>
      <c r="Q673">
        <v>100</v>
      </c>
      <c r="R673">
        <v>63.5</v>
      </c>
      <c r="S673" t="s">
        <v>77</v>
      </c>
    </row>
    <row r="674" spans="1:19" x14ac:dyDescent="0.35">
      <c r="A674">
        <v>45492</v>
      </c>
      <c r="B674" t="str">
        <f>"045492"</f>
        <v>045492</v>
      </c>
      <c r="C674" t="s">
        <v>3003</v>
      </c>
      <c r="D674" t="s">
        <v>49</v>
      </c>
      <c r="E674" t="s">
        <v>50</v>
      </c>
      <c r="F674" t="s">
        <v>51</v>
      </c>
      <c r="G674" t="s">
        <v>481</v>
      </c>
      <c r="H674" t="s">
        <v>482</v>
      </c>
      <c r="I674" t="s">
        <v>483</v>
      </c>
      <c r="J674" t="s">
        <v>484</v>
      </c>
      <c r="K674" t="s">
        <v>55</v>
      </c>
      <c r="L674" t="s">
        <v>485</v>
      </c>
      <c r="M674" t="s">
        <v>57</v>
      </c>
      <c r="N674" t="str">
        <f>"050765"</f>
        <v>050765</v>
      </c>
      <c r="O674" t="s">
        <v>58</v>
      </c>
      <c r="P674" t="s">
        <v>59</v>
      </c>
      <c r="Q674">
        <v>29.9</v>
      </c>
      <c r="R674">
        <v>15.299999999999997</v>
      </c>
      <c r="S674" t="s">
        <v>69</v>
      </c>
    </row>
    <row r="675" spans="1:19" x14ac:dyDescent="0.35">
      <c r="A675">
        <v>45666</v>
      </c>
      <c r="B675" t="str">
        <f>"045666"</f>
        <v>045666</v>
      </c>
      <c r="C675" t="s">
        <v>3004</v>
      </c>
      <c r="D675" t="s">
        <v>49</v>
      </c>
      <c r="E675" t="s">
        <v>50</v>
      </c>
      <c r="F675" t="s">
        <v>51</v>
      </c>
      <c r="G675" t="s">
        <v>295</v>
      </c>
      <c r="H675" t="s">
        <v>3005</v>
      </c>
      <c r="I675" t="s">
        <v>3006</v>
      </c>
      <c r="J675" t="s">
        <v>3007</v>
      </c>
      <c r="K675" t="s">
        <v>55</v>
      </c>
      <c r="L675" t="s">
        <v>3008</v>
      </c>
      <c r="M675" t="s">
        <v>57</v>
      </c>
      <c r="N675" t="str">
        <f>"050765"</f>
        <v>050765</v>
      </c>
      <c r="O675" t="s">
        <v>58</v>
      </c>
      <c r="P675" t="s">
        <v>76</v>
      </c>
      <c r="Q675">
        <v>100</v>
      </c>
      <c r="R675">
        <v>28.700000000000003</v>
      </c>
      <c r="S675" t="s">
        <v>77</v>
      </c>
    </row>
    <row r="676" spans="1:19" x14ac:dyDescent="0.35">
      <c r="A676">
        <v>200002</v>
      </c>
      <c r="B676" t="str">
        <f>"200002"</f>
        <v>200002</v>
      </c>
      <c r="C676" t="s">
        <v>3009</v>
      </c>
      <c r="D676" t="s">
        <v>49</v>
      </c>
      <c r="E676" t="s">
        <v>62</v>
      </c>
      <c r="F676" t="s">
        <v>51</v>
      </c>
      <c r="G676" t="s">
        <v>1193</v>
      </c>
      <c r="H676" t="s">
        <v>1828</v>
      </c>
      <c r="I676" t="s">
        <v>1829</v>
      </c>
      <c r="J676" t="s">
        <v>1196</v>
      </c>
      <c r="K676" t="s">
        <v>55</v>
      </c>
      <c r="L676" t="s">
        <v>1830</v>
      </c>
      <c r="M676" t="s">
        <v>57</v>
      </c>
      <c r="N676" t="str">
        <f>"N/A"</f>
        <v>N/A</v>
      </c>
      <c r="O676" t="s">
        <v>49</v>
      </c>
      <c r="P676" t="s">
        <v>68</v>
      </c>
      <c r="Q676" t="s">
        <v>68</v>
      </c>
      <c r="R676" t="s">
        <v>68</v>
      </c>
      <c r="S676" t="s">
        <v>156</v>
      </c>
    </row>
    <row r="677" spans="1:19" x14ac:dyDescent="0.35">
      <c r="A677">
        <v>47068</v>
      </c>
      <c r="B677" t="str">
        <f>"047068"</f>
        <v>047068</v>
      </c>
      <c r="C677" t="s">
        <v>3010</v>
      </c>
      <c r="D677" t="s">
        <v>49</v>
      </c>
      <c r="E677" t="s">
        <v>50</v>
      </c>
      <c r="F677" t="s">
        <v>51</v>
      </c>
      <c r="G677" t="s">
        <v>344</v>
      </c>
      <c r="H677" t="s">
        <v>3011</v>
      </c>
      <c r="I677" t="s">
        <v>3012</v>
      </c>
      <c r="J677" t="s">
        <v>2298</v>
      </c>
      <c r="K677" t="s">
        <v>55</v>
      </c>
      <c r="L677" t="s">
        <v>3013</v>
      </c>
      <c r="M677" t="s">
        <v>57</v>
      </c>
      <c r="N677" t="str">
        <f>"124297"</f>
        <v>124297</v>
      </c>
      <c r="O677" t="s">
        <v>349</v>
      </c>
      <c r="P677" t="s">
        <v>76</v>
      </c>
      <c r="Q677">
        <v>40.1</v>
      </c>
      <c r="R677">
        <v>15.5</v>
      </c>
      <c r="S677" t="s">
        <v>156</v>
      </c>
    </row>
    <row r="678" spans="1:19" x14ac:dyDescent="0.35">
      <c r="A678">
        <v>48264</v>
      </c>
      <c r="B678" t="str">
        <f>"048264"</f>
        <v>048264</v>
      </c>
      <c r="C678" t="s">
        <v>3014</v>
      </c>
      <c r="D678" t="s">
        <v>49</v>
      </c>
      <c r="E678" t="s">
        <v>50</v>
      </c>
      <c r="F678" t="s">
        <v>51</v>
      </c>
      <c r="G678" t="s">
        <v>657</v>
      </c>
      <c r="H678" t="s">
        <v>3015</v>
      </c>
      <c r="I678" t="s">
        <v>3016</v>
      </c>
      <c r="J678" t="s">
        <v>1753</v>
      </c>
      <c r="K678" t="s">
        <v>55</v>
      </c>
      <c r="L678" t="s">
        <v>1754</v>
      </c>
      <c r="M678" t="s">
        <v>57</v>
      </c>
      <c r="N678" t="str">
        <f>"137364"</f>
        <v>137364</v>
      </c>
      <c r="O678" t="s">
        <v>593</v>
      </c>
      <c r="P678" t="s">
        <v>84</v>
      </c>
      <c r="Q678">
        <v>25</v>
      </c>
      <c r="R678">
        <v>15</v>
      </c>
      <c r="S678" t="s">
        <v>60</v>
      </c>
    </row>
    <row r="679" spans="1:19" x14ac:dyDescent="0.35">
      <c r="A679">
        <v>49155</v>
      </c>
      <c r="B679" t="str">
        <f>"049155"</f>
        <v>049155</v>
      </c>
      <c r="C679" t="s">
        <v>3017</v>
      </c>
      <c r="D679" t="s">
        <v>49</v>
      </c>
      <c r="E679" t="s">
        <v>50</v>
      </c>
      <c r="F679" t="s">
        <v>51</v>
      </c>
      <c r="G679" t="s">
        <v>194</v>
      </c>
      <c r="H679" t="s">
        <v>3018</v>
      </c>
      <c r="I679" t="s">
        <v>3019</v>
      </c>
      <c r="J679" t="s">
        <v>3020</v>
      </c>
      <c r="K679" t="s">
        <v>55</v>
      </c>
      <c r="L679" t="s">
        <v>3021</v>
      </c>
      <c r="M679" t="s">
        <v>57</v>
      </c>
      <c r="N679" t="str">
        <f>"138222"</f>
        <v>138222</v>
      </c>
      <c r="O679" t="s">
        <v>323</v>
      </c>
      <c r="P679" t="s">
        <v>76</v>
      </c>
      <c r="Q679">
        <v>100</v>
      </c>
      <c r="R679">
        <v>1.5999999999999943</v>
      </c>
      <c r="S679" t="s">
        <v>130</v>
      </c>
    </row>
    <row r="680" spans="1:19" x14ac:dyDescent="0.35">
      <c r="A680">
        <v>47985</v>
      </c>
      <c r="B680" t="str">
        <f>"047985"</f>
        <v>047985</v>
      </c>
      <c r="C680" t="s">
        <v>3022</v>
      </c>
      <c r="D680" t="s">
        <v>49</v>
      </c>
      <c r="E680" t="s">
        <v>50</v>
      </c>
      <c r="F680" t="s">
        <v>51</v>
      </c>
      <c r="G680" t="s">
        <v>110</v>
      </c>
      <c r="H680" t="s">
        <v>3023</v>
      </c>
      <c r="I680" t="s">
        <v>3024</v>
      </c>
      <c r="J680" t="s">
        <v>113</v>
      </c>
      <c r="K680" t="s">
        <v>55</v>
      </c>
      <c r="L680" t="s">
        <v>114</v>
      </c>
      <c r="M680" t="s">
        <v>57</v>
      </c>
      <c r="N680" t="str">
        <f>"047977"</f>
        <v>047977</v>
      </c>
      <c r="O680" t="s">
        <v>115</v>
      </c>
      <c r="P680" t="s">
        <v>84</v>
      </c>
      <c r="Q680">
        <v>19.899999999999999</v>
      </c>
      <c r="R680">
        <v>12.900000000000006</v>
      </c>
      <c r="S680" t="s">
        <v>60</v>
      </c>
    </row>
    <row r="681" spans="1:19" x14ac:dyDescent="0.35">
      <c r="A681">
        <v>200079</v>
      </c>
      <c r="B681" t="str">
        <f>"200079"</f>
        <v>200079</v>
      </c>
      <c r="C681" t="s">
        <v>3025</v>
      </c>
      <c r="D681" t="s">
        <v>49</v>
      </c>
      <c r="E681" t="s">
        <v>62</v>
      </c>
      <c r="F681" t="s">
        <v>51</v>
      </c>
      <c r="G681" t="s">
        <v>362</v>
      </c>
      <c r="H681" t="s">
        <v>3026</v>
      </c>
      <c r="I681" t="s">
        <v>3027</v>
      </c>
      <c r="J681" t="s">
        <v>1975</v>
      </c>
      <c r="K681" t="s">
        <v>55</v>
      </c>
      <c r="L681" t="s">
        <v>1976</v>
      </c>
      <c r="M681" t="s">
        <v>57</v>
      </c>
      <c r="N681" t="str">
        <f>"N/A"</f>
        <v>N/A</v>
      </c>
      <c r="O681" t="s">
        <v>49</v>
      </c>
      <c r="P681" t="s">
        <v>68</v>
      </c>
      <c r="Q681" t="s">
        <v>68</v>
      </c>
      <c r="R681" t="s">
        <v>68</v>
      </c>
      <c r="S681" t="s">
        <v>180</v>
      </c>
    </row>
    <row r="682" spans="1:19" x14ac:dyDescent="0.35">
      <c r="A682">
        <v>43554</v>
      </c>
      <c r="B682" t="str">
        <f>"043554"</f>
        <v>043554</v>
      </c>
      <c r="C682" t="s">
        <v>3028</v>
      </c>
      <c r="D682" t="s">
        <v>49</v>
      </c>
      <c r="E682" t="s">
        <v>50</v>
      </c>
      <c r="F682" t="s">
        <v>51</v>
      </c>
      <c r="G682" t="s">
        <v>63</v>
      </c>
      <c r="H682" t="s">
        <v>3029</v>
      </c>
      <c r="I682" t="s">
        <v>3030</v>
      </c>
      <c r="J682" t="s">
        <v>3031</v>
      </c>
      <c r="K682" t="s">
        <v>55</v>
      </c>
      <c r="L682" t="s">
        <v>3032</v>
      </c>
      <c r="M682" t="s">
        <v>57</v>
      </c>
      <c r="N682" t="str">
        <f>"050765"</f>
        <v>050765</v>
      </c>
      <c r="O682" t="s">
        <v>58</v>
      </c>
      <c r="P682" t="s">
        <v>59</v>
      </c>
      <c r="Q682">
        <v>12.2</v>
      </c>
      <c r="R682">
        <v>55.6</v>
      </c>
      <c r="S682" t="s">
        <v>69</v>
      </c>
    </row>
    <row r="683" spans="1:19" x14ac:dyDescent="0.35">
      <c r="A683">
        <v>44362</v>
      </c>
      <c r="B683" t="str">
        <f>"044362"</f>
        <v>044362</v>
      </c>
      <c r="C683" t="s">
        <v>3033</v>
      </c>
      <c r="D683" t="s">
        <v>49</v>
      </c>
      <c r="E683" t="s">
        <v>50</v>
      </c>
      <c r="F683" t="s">
        <v>51</v>
      </c>
      <c r="G683" t="s">
        <v>200</v>
      </c>
      <c r="H683" t="s">
        <v>3034</v>
      </c>
      <c r="I683" t="s">
        <v>3035</v>
      </c>
      <c r="J683" t="s">
        <v>3036</v>
      </c>
      <c r="K683" t="s">
        <v>55</v>
      </c>
      <c r="L683" t="s">
        <v>3037</v>
      </c>
      <c r="M683" t="s">
        <v>57</v>
      </c>
      <c r="N683" t="str">
        <f>"050765"</f>
        <v>050765</v>
      </c>
      <c r="O683" t="s">
        <v>58</v>
      </c>
      <c r="P683" t="s">
        <v>59</v>
      </c>
      <c r="Q683">
        <v>30.8</v>
      </c>
      <c r="R683">
        <v>29.200000000000003</v>
      </c>
      <c r="S683" t="s">
        <v>156</v>
      </c>
    </row>
    <row r="684" spans="1:19" x14ac:dyDescent="0.35">
      <c r="A684">
        <v>48942</v>
      </c>
      <c r="B684" t="str">
        <f>"048942"</f>
        <v>048942</v>
      </c>
      <c r="C684" t="s">
        <v>3038</v>
      </c>
      <c r="D684" t="s">
        <v>49</v>
      </c>
      <c r="E684" t="s">
        <v>50</v>
      </c>
      <c r="F684" t="s">
        <v>51</v>
      </c>
      <c r="G684" t="s">
        <v>257</v>
      </c>
      <c r="H684" t="s">
        <v>3039</v>
      </c>
      <c r="I684" t="s">
        <v>3040</v>
      </c>
      <c r="J684" t="s">
        <v>3041</v>
      </c>
      <c r="K684" t="s">
        <v>55</v>
      </c>
      <c r="L684" t="s">
        <v>3042</v>
      </c>
      <c r="M684" t="s">
        <v>57</v>
      </c>
      <c r="N684" t="str">
        <f>"125690"</f>
        <v>125690</v>
      </c>
      <c r="O684" t="s">
        <v>262</v>
      </c>
      <c r="P684" t="s">
        <v>84</v>
      </c>
      <c r="Q684">
        <v>28.3</v>
      </c>
      <c r="R684">
        <v>10.700000000000003</v>
      </c>
      <c r="S684" t="s">
        <v>156</v>
      </c>
    </row>
    <row r="685" spans="1:19" x14ac:dyDescent="0.35">
      <c r="A685">
        <v>49700</v>
      </c>
      <c r="B685" t="str">
        <f>"049700"</f>
        <v>049700</v>
      </c>
      <c r="C685" t="s">
        <v>3043</v>
      </c>
      <c r="D685" t="s">
        <v>49</v>
      </c>
      <c r="E685" t="s">
        <v>50</v>
      </c>
      <c r="F685" t="s">
        <v>51</v>
      </c>
      <c r="G685" t="s">
        <v>1296</v>
      </c>
      <c r="H685" t="s">
        <v>3044</v>
      </c>
      <c r="I685" t="s">
        <v>3045</v>
      </c>
      <c r="J685" t="s">
        <v>3046</v>
      </c>
      <c r="K685" t="s">
        <v>55</v>
      </c>
      <c r="L685" t="s">
        <v>3047</v>
      </c>
      <c r="M685" t="s">
        <v>57</v>
      </c>
      <c r="N685" t="str">
        <f>"123257"</f>
        <v>123257</v>
      </c>
      <c r="O685" t="s">
        <v>316</v>
      </c>
      <c r="P685" t="s">
        <v>84</v>
      </c>
      <c r="Q685">
        <v>22</v>
      </c>
      <c r="R685">
        <v>10.099999999999994</v>
      </c>
      <c r="S685" t="s">
        <v>156</v>
      </c>
    </row>
    <row r="686" spans="1:19" x14ac:dyDescent="0.35">
      <c r="A686">
        <v>45062</v>
      </c>
      <c r="B686" t="str">
        <f>"045062"</f>
        <v>045062</v>
      </c>
      <c r="C686" t="s">
        <v>3048</v>
      </c>
      <c r="D686" t="s">
        <v>49</v>
      </c>
      <c r="E686" t="s">
        <v>50</v>
      </c>
      <c r="F686" t="s">
        <v>51</v>
      </c>
      <c r="G686" t="s">
        <v>63</v>
      </c>
      <c r="H686" t="s">
        <v>3049</v>
      </c>
      <c r="I686" t="s">
        <v>3050</v>
      </c>
      <c r="J686" t="s">
        <v>3051</v>
      </c>
      <c r="K686" t="s">
        <v>55</v>
      </c>
      <c r="L686" t="s">
        <v>3052</v>
      </c>
      <c r="M686" t="s">
        <v>57</v>
      </c>
      <c r="N686" t="str">
        <f>"050765"</f>
        <v>050765</v>
      </c>
      <c r="O686" t="s">
        <v>58</v>
      </c>
      <c r="P686" t="s">
        <v>59</v>
      </c>
      <c r="Q686">
        <v>15.7</v>
      </c>
      <c r="R686">
        <v>22.599999999999994</v>
      </c>
      <c r="S686" t="s">
        <v>69</v>
      </c>
    </row>
    <row r="687" spans="1:19" x14ac:dyDescent="0.35">
      <c r="A687">
        <v>49098</v>
      </c>
      <c r="B687" t="str">
        <f>"049098"</f>
        <v>049098</v>
      </c>
      <c r="C687" t="s">
        <v>3053</v>
      </c>
      <c r="D687" t="s">
        <v>49</v>
      </c>
      <c r="E687" t="s">
        <v>50</v>
      </c>
      <c r="F687" t="s">
        <v>51</v>
      </c>
      <c r="G687" t="s">
        <v>1567</v>
      </c>
      <c r="H687" t="s">
        <v>3054</v>
      </c>
      <c r="I687" t="s">
        <v>3055</v>
      </c>
      <c r="J687" t="s">
        <v>3056</v>
      </c>
      <c r="K687" t="s">
        <v>55</v>
      </c>
      <c r="L687" t="s">
        <v>3057</v>
      </c>
      <c r="M687" t="s">
        <v>57</v>
      </c>
      <c r="N687" t="str">
        <f>"049072"</f>
        <v>049072</v>
      </c>
      <c r="O687" t="s">
        <v>1572</v>
      </c>
      <c r="P687" t="s">
        <v>84</v>
      </c>
      <c r="Q687">
        <v>27.7</v>
      </c>
      <c r="R687">
        <v>9.5999999999999943</v>
      </c>
      <c r="S687" t="s">
        <v>60</v>
      </c>
    </row>
    <row r="688" spans="1:19" x14ac:dyDescent="0.35">
      <c r="A688">
        <v>44958</v>
      </c>
      <c r="B688" t="str">
        <f>"044958"</f>
        <v>044958</v>
      </c>
      <c r="C688" t="s">
        <v>3058</v>
      </c>
      <c r="D688" t="s">
        <v>49</v>
      </c>
      <c r="E688" t="s">
        <v>50</v>
      </c>
      <c r="F688" t="s">
        <v>51</v>
      </c>
      <c r="G688" t="s">
        <v>543</v>
      </c>
      <c r="H688" t="s">
        <v>3059</v>
      </c>
      <c r="I688" t="s">
        <v>3060</v>
      </c>
      <c r="J688" t="s">
        <v>3061</v>
      </c>
      <c r="K688" t="s">
        <v>55</v>
      </c>
      <c r="L688" t="s">
        <v>3062</v>
      </c>
      <c r="M688" t="s">
        <v>57</v>
      </c>
      <c r="N688" t="str">
        <f>"050765"</f>
        <v>050765</v>
      </c>
      <c r="O688" t="s">
        <v>58</v>
      </c>
      <c r="P688" t="s">
        <v>59</v>
      </c>
      <c r="Q688">
        <v>29.8</v>
      </c>
      <c r="R688">
        <v>25.200000000000003</v>
      </c>
      <c r="S688" t="s">
        <v>180</v>
      </c>
    </row>
    <row r="689" spans="1:19" x14ac:dyDescent="0.35">
      <c r="A689">
        <v>50013</v>
      </c>
      <c r="B689" t="str">
        <f>"050013"</f>
        <v>050013</v>
      </c>
      <c r="C689" t="s">
        <v>2579</v>
      </c>
      <c r="D689" t="s">
        <v>49</v>
      </c>
      <c r="E689" t="s">
        <v>50</v>
      </c>
      <c r="F689" t="s">
        <v>51</v>
      </c>
      <c r="G689" t="s">
        <v>264</v>
      </c>
      <c r="H689" t="s">
        <v>3063</v>
      </c>
      <c r="I689" t="s">
        <v>3064</v>
      </c>
      <c r="J689" t="s">
        <v>160</v>
      </c>
      <c r="K689" t="s">
        <v>55</v>
      </c>
      <c r="L689" t="s">
        <v>161</v>
      </c>
      <c r="M689" t="s">
        <v>57</v>
      </c>
      <c r="N689" t="str">
        <f>"049965"</f>
        <v>049965</v>
      </c>
      <c r="O689" t="s">
        <v>269</v>
      </c>
      <c r="P689" t="s">
        <v>59</v>
      </c>
      <c r="Q689">
        <v>20.399999999999999</v>
      </c>
      <c r="R689">
        <v>10.700000000000003</v>
      </c>
      <c r="S689" t="s">
        <v>77</v>
      </c>
    </row>
    <row r="690" spans="1:19" x14ac:dyDescent="0.35">
      <c r="A690">
        <v>50138</v>
      </c>
      <c r="B690" t="str">
        <f>"050138"</f>
        <v>050138</v>
      </c>
      <c r="C690" t="s">
        <v>3065</v>
      </c>
      <c r="D690" t="s">
        <v>49</v>
      </c>
      <c r="E690" t="s">
        <v>50</v>
      </c>
      <c r="F690" t="s">
        <v>51</v>
      </c>
      <c r="G690" t="s">
        <v>169</v>
      </c>
      <c r="H690" t="s">
        <v>3066</v>
      </c>
      <c r="I690" t="s">
        <v>3067</v>
      </c>
      <c r="J690" t="s">
        <v>172</v>
      </c>
      <c r="K690" t="s">
        <v>55</v>
      </c>
      <c r="L690" t="s">
        <v>173</v>
      </c>
      <c r="M690" t="s">
        <v>57</v>
      </c>
      <c r="N690" t="str">
        <f>"050088"</f>
        <v>050088</v>
      </c>
      <c r="O690" t="s">
        <v>416</v>
      </c>
      <c r="P690" t="s">
        <v>84</v>
      </c>
      <c r="Q690">
        <v>31.2</v>
      </c>
      <c r="R690">
        <v>7.0999999999999943</v>
      </c>
      <c r="S690" t="s">
        <v>77</v>
      </c>
    </row>
    <row r="691" spans="1:19" x14ac:dyDescent="0.35">
      <c r="A691">
        <v>43612</v>
      </c>
      <c r="B691" t="str">
        <f>"043612"</f>
        <v>043612</v>
      </c>
      <c r="C691" t="s">
        <v>3068</v>
      </c>
      <c r="D691" t="s">
        <v>49</v>
      </c>
      <c r="E691" t="s">
        <v>50</v>
      </c>
      <c r="F691" t="s">
        <v>51</v>
      </c>
      <c r="G691" t="s">
        <v>63</v>
      </c>
      <c r="H691" t="s">
        <v>3069</v>
      </c>
      <c r="I691" t="s">
        <v>3070</v>
      </c>
      <c r="J691" t="s">
        <v>3071</v>
      </c>
      <c r="K691" t="s">
        <v>55</v>
      </c>
      <c r="L691" t="s">
        <v>3072</v>
      </c>
      <c r="M691" t="s">
        <v>57</v>
      </c>
      <c r="N691" t="str">
        <f>"050765"</f>
        <v>050765</v>
      </c>
      <c r="O691" t="s">
        <v>58</v>
      </c>
      <c r="P691" t="s">
        <v>281</v>
      </c>
      <c r="Q691">
        <v>30.7</v>
      </c>
      <c r="R691">
        <v>29.400000000000006</v>
      </c>
      <c r="S691" t="s">
        <v>69</v>
      </c>
    </row>
    <row r="692" spans="1:19" x14ac:dyDescent="0.35">
      <c r="A692">
        <v>44768</v>
      </c>
      <c r="B692" t="str">
        <f>"044768"</f>
        <v>044768</v>
      </c>
      <c r="C692" t="s">
        <v>3073</v>
      </c>
      <c r="D692" t="s">
        <v>49</v>
      </c>
      <c r="E692" t="s">
        <v>50</v>
      </c>
      <c r="F692" t="s">
        <v>51</v>
      </c>
      <c r="G692" t="s">
        <v>143</v>
      </c>
      <c r="H692" t="s">
        <v>3074</v>
      </c>
      <c r="I692" t="s">
        <v>3075</v>
      </c>
      <c r="J692" t="s">
        <v>3076</v>
      </c>
      <c r="K692" t="s">
        <v>55</v>
      </c>
      <c r="L692" t="s">
        <v>3077</v>
      </c>
      <c r="M692" t="s">
        <v>57</v>
      </c>
      <c r="N692" t="str">
        <f>"050765"</f>
        <v>050765</v>
      </c>
      <c r="O692" t="s">
        <v>58</v>
      </c>
      <c r="P692" t="s">
        <v>84</v>
      </c>
      <c r="Q692">
        <v>42.3</v>
      </c>
      <c r="R692">
        <v>23.5</v>
      </c>
      <c r="S692" t="s">
        <v>69</v>
      </c>
    </row>
    <row r="693" spans="1:19" x14ac:dyDescent="0.35">
      <c r="A693">
        <v>47464</v>
      </c>
      <c r="B693" t="str">
        <f>"047464"</f>
        <v>047464</v>
      </c>
      <c r="C693" t="s">
        <v>3078</v>
      </c>
      <c r="D693" t="s">
        <v>49</v>
      </c>
      <c r="E693" t="s">
        <v>50</v>
      </c>
      <c r="F693" t="s">
        <v>51</v>
      </c>
      <c r="G693" t="s">
        <v>821</v>
      </c>
      <c r="H693" t="s">
        <v>3079</v>
      </c>
      <c r="I693" t="s">
        <v>3080</v>
      </c>
      <c r="J693" t="s">
        <v>3081</v>
      </c>
      <c r="K693" t="s">
        <v>55</v>
      </c>
      <c r="L693" t="s">
        <v>3082</v>
      </c>
      <c r="M693" t="s">
        <v>57</v>
      </c>
      <c r="N693" t="str">
        <f>"047407"</f>
        <v>047407</v>
      </c>
      <c r="O693" t="s">
        <v>826</v>
      </c>
      <c r="P693" t="s">
        <v>84</v>
      </c>
      <c r="Q693">
        <v>12.4</v>
      </c>
      <c r="R693">
        <v>10.400000000000006</v>
      </c>
      <c r="S693" t="s">
        <v>156</v>
      </c>
    </row>
    <row r="694" spans="1:19" x14ac:dyDescent="0.35">
      <c r="A694">
        <v>43703</v>
      </c>
      <c r="B694" t="str">
        <f>"043703"</f>
        <v>043703</v>
      </c>
      <c r="C694" t="s">
        <v>3083</v>
      </c>
      <c r="D694" t="s">
        <v>49</v>
      </c>
      <c r="E694" t="s">
        <v>50</v>
      </c>
      <c r="F694" t="s">
        <v>51</v>
      </c>
      <c r="G694" t="s">
        <v>383</v>
      </c>
      <c r="H694" t="s">
        <v>3084</v>
      </c>
      <c r="I694" t="s">
        <v>3085</v>
      </c>
      <c r="J694" t="s">
        <v>3086</v>
      </c>
      <c r="K694" t="s">
        <v>55</v>
      </c>
      <c r="L694" t="s">
        <v>3087</v>
      </c>
      <c r="M694" t="s">
        <v>57</v>
      </c>
      <c r="N694" t="str">
        <f>"050765"</f>
        <v>050765</v>
      </c>
      <c r="O694" t="s">
        <v>58</v>
      </c>
      <c r="P694" t="s">
        <v>281</v>
      </c>
      <c r="Q694">
        <v>99.8</v>
      </c>
      <c r="R694">
        <v>74.2</v>
      </c>
      <c r="S694" t="s">
        <v>77</v>
      </c>
    </row>
    <row r="695" spans="1:19" x14ac:dyDescent="0.35">
      <c r="A695">
        <v>45088</v>
      </c>
      <c r="B695" t="str">
        <f>"045088"</f>
        <v>045088</v>
      </c>
      <c r="C695" t="s">
        <v>3088</v>
      </c>
      <c r="D695" t="s">
        <v>49</v>
      </c>
      <c r="E695" t="s">
        <v>50</v>
      </c>
      <c r="F695" t="s">
        <v>51</v>
      </c>
      <c r="G695" t="s">
        <v>481</v>
      </c>
      <c r="H695" t="s">
        <v>3089</v>
      </c>
      <c r="I695" t="s">
        <v>3090</v>
      </c>
      <c r="J695" t="s">
        <v>3091</v>
      </c>
      <c r="K695" t="s">
        <v>55</v>
      </c>
      <c r="L695" t="s">
        <v>3092</v>
      </c>
      <c r="M695" t="s">
        <v>57</v>
      </c>
      <c r="N695" t="str">
        <f>"050765"</f>
        <v>050765</v>
      </c>
      <c r="O695" t="s">
        <v>58</v>
      </c>
      <c r="P695" t="s">
        <v>281</v>
      </c>
      <c r="Q695">
        <v>36.200000000000003</v>
      </c>
      <c r="R695">
        <v>31</v>
      </c>
      <c r="S695" t="s">
        <v>69</v>
      </c>
    </row>
    <row r="696" spans="1:19" x14ac:dyDescent="0.35">
      <c r="A696">
        <v>47944</v>
      </c>
      <c r="B696" t="str">
        <f>"047944"</f>
        <v>047944</v>
      </c>
      <c r="C696" t="s">
        <v>3093</v>
      </c>
      <c r="D696" t="s">
        <v>49</v>
      </c>
      <c r="E696" t="s">
        <v>50</v>
      </c>
      <c r="F696" t="s">
        <v>51</v>
      </c>
      <c r="G696" t="s">
        <v>1335</v>
      </c>
      <c r="H696" t="s">
        <v>3094</v>
      </c>
      <c r="I696" t="s">
        <v>3095</v>
      </c>
      <c r="J696" t="s">
        <v>1640</v>
      </c>
      <c r="K696" t="s">
        <v>55</v>
      </c>
      <c r="L696" t="s">
        <v>1641</v>
      </c>
      <c r="M696" t="s">
        <v>57</v>
      </c>
      <c r="N696" t="str">
        <f>"047910"</f>
        <v>047910</v>
      </c>
      <c r="O696" t="s">
        <v>1454</v>
      </c>
      <c r="P696" t="s">
        <v>76</v>
      </c>
      <c r="Q696">
        <v>97.3</v>
      </c>
      <c r="R696">
        <v>1.9000000000000057</v>
      </c>
      <c r="S696" t="s">
        <v>130</v>
      </c>
    </row>
    <row r="697" spans="1:19" x14ac:dyDescent="0.35">
      <c r="A697">
        <v>48959</v>
      </c>
      <c r="B697" t="str">
        <f>"048959"</f>
        <v>048959</v>
      </c>
      <c r="C697" t="s">
        <v>3096</v>
      </c>
      <c r="D697" t="s">
        <v>49</v>
      </c>
      <c r="E697" t="s">
        <v>50</v>
      </c>
      <c r="F697" t="s">
        <v>51</v>
      </c>
      <c r="G697" t="s">
        <v>257</v>
      </c>
      <c r="H697" t="s">
        <v>3097</v>
      </c>
      <c r="I697" t="s">
        <v>3098</v>
      </c>
      <c r="J697" t="s">
        <v>3099</v>
      </c>
      <c r="K697" t="s">
        <v>55</v>
      </c>
      <c r="L697" t="s">
        <v>3100</v>
      </c>
      <c r="M697" t="s">
        <v>57</v>
      </c>
      <c r="N697" t="str">
        <f>"125690"</f>
        <v>125690</v>
      </c>
      <c r="O697" t="s">
        <v>262</v>
      </c>
      <c r="P697" t="s">
        <v>68</v>
      </c>
      <c r="Q697" t="s">
        <v>68</v>
      </c>
      <c r="R697" t="s">
        <v>68</v>
      </c>
      <c r="S697" t="s">
        <v>156</v>
      </c>
    </row>
    <row r="698" spans="1:19" x14ac:dyDescent="0.35">
      <c r="A698">
        <v>51300</v>
      </c>
      <c r="B698" t="str">
        <f>"051300"</f>
        <v>051300</v>
      </c>
      <c r="C698" t="s">
        <v>3101</v>
      </c>
      <c r="D698" t="s">
        <v>49</v>
      </c>
      <c r="E698" t="s">
        <v>163</v>
      </c>
      <c r="F698" t="s">
        <v>51</v>
      </c>
      <c r="G698" t="s">
        <v>674</v>
      </c>
      <c r="H698" t="s">
        <v>1160</v>
      </c>
      <c r="I698" t="s">
        <v>1161</v>
      </c>
      <c r="J698" t="s">
        <v>927</v>
      </c>
      <c r="K698" t="s">
        <v>55</v>
      </c>
      <c r="L698" t="s">
        <v>928</v>
      </c>
      <c r="M698" t="s">
        <v>57</v>
      </c>
      <c r="N698" t="str">
        <f>"050765"</f>
        <v>050765</v>
      </c>
      <c r="O698" t="s">
        <v>58</v>
      </c>
      <c r="P698" t="s">
        <v>68</v>
      </c>
      <c r="Q698" t="s">
        <v>68</v>
      </c>
      <c r="R698" t="s">
        <v>68</v>
      </c>
      <c r="S698" t="s">
        <v>130</v>
      </c>
    </row>
    <row r="699" spans="1:19" x14ac:dyDescent="0.35">
      <c r="A699">
        <v>43828</v>
      </c>
      <c r="B699" t="str">
        <f>"043828"</f>
        <v>043828</v>
      </c>
      <c r="C699" t="s">
        <v>3102</v>
      </c>
      <c r="D699" t="s">
        <v>49</v>
      </c>
      <c r="E699" t="s">
        <v>50</v>
      </c>
      <c r="F699" t="s">
        <v>51</v>
      </c>
      <c r="G699" t="s">
        <v>1613</v>
      </c>
      <c r="H699" t="s">
        <v>3103</v>
      </c>
      <c r="I699" t="s">
        <v>3104</v>
      </c>
      <c r="J699" t="s">
        <v>1613</v>
      </c>
      <c r="K699" t="s">
        <v>55</v>
      </c>
      <c r="L699" t="s">
        <v>1616</v>
      </c>
      <c r="M699" t="s">
        <v>57</v>
      </c>
      <c r="N699" t="str">
        <f>"050765"</f>
        <v>050765</v>
      </c>
      <c r="O699" t="s">
        <v>58</v>
      </c>
      <c r="P699" t="s">
        <v>84</v>
      </c>
      <c r="Q699">
        <v>98.9</v>
      </c>
      <c r="R699">
        <v>12</v>
      </c>
      <c r="S699" t="s">
        <v>130</v>
      </c>
    </row>
    <row r="700" spans="1:19" x14ac:dyDescent="0.35">
      <c r="A700">
        <v>45559</v>
      </c>
      <c r="B700" t="str">
        <f>"045559"</f>
        <v>045559</v>
      </c>
      <c r="C700" t="s">
        <v>3105</v>
      </c>
      <c r="D700" t="s">
        <v>49</v>
      </c>
      <c r="E700" t="s">
        <v>50</v>
      </c>
      <c r="F700" t="s">
        <v>51</v>
      </c>
      <c r="G700" t="s">
        <v>1041</v>
      </c>
      <c r="H700" t="s">
        <v>3106</v>
      </c>
      <c r="I700" t="s">
        <v>3107</v>
      </c>
      <c r="J700" t="s">
        <v>3108</v>
      </c>
      <c r="K700" t="s">
        <v>55</v>
      </c>
      <c r="L700" t="s">
        <v>3109</v>
      </c>
      <c r="M700" t="s">
        <v>57</v>
      </c>
      <c r="N700" t="str">
        <f>"050765"</f>
        <v>050765</v>
      </c>
      <c r="O700" t="s">
        <v>58</v>
      </c>
      <c r="P700" t="s">
        <v>84</v>
      </c>
      <c r="Q700">
        <v>38.6</v>
      </c>
      <c r="R700">
        <v>8.7999999999999972</v>
      </c>
      <c r="S700" t="s">
        <v>217</v>
      </c>
    </row>
    <row r="701" spans="1:19" x14ac:dyDescent="0.35">
      <c r="A701">
        <v>45906</v>
      </c>
      <c r="B701" t="str">
        <f>"045906"</f>
        <v>045906</v>
      </c>
      <c r="C701" t="s">
        <v>3110</v>
      </c>
      <c r="D701" t="s">
        <v>49</v>
      </c>
      <c r="E701" t="s">
        <v>50</v>
      </c>
      <c r="F701" t="s">
        <v>51</v>
      </c>
      <c r="G701" t="s">
        <v>493</v>
      </c>
      <c r="H701" t="s">
        <v>3111</v>
      </c>
      <c r="I701" t="s">
        <v>3112</v>
      </c>
      <c r="J701" t="s">
        <v>3113</v>
      </c>
      <c r="K701" t="s">
        <v>55</v>
      </c>
      <c r="L701" t="s">
        <v>3114</v>
      </c>
      <c r="M701" t="s">
        <v>57</v>
      </c>
      <c r="N701" t="str">
        <f>"135145"</f>
        <v>135145</v>
      </c>
      <c r="O701" t="s">
        <v>503</v>
      </c>
      <c r="P701" t="s">
        <v>76</v>
      </c>
      <c r="Q701">
        <v>38.5</v>
      </c>
      <c r="R701">
        <v>3.7000000000000028</v>
      </c>
      <c r="S701" t="s">
        <v>130</v>
      </c>
    </row>
    <row r="702" spans="1:19" x14ac:dyDescent="0.35">
      <c r="A702">
        <v>46797</v>
      </c>
      <c r="B702" t="str">
        <f>"046797"</f>
        <v>046797</v>
      </c>
      <c r="C702" t="s">
        <v>3115</v>
      </c>
      <c r="D702" t="s">
        <v>49</v>
      </c>
      <c r="E702" t="s">
        <v>50</v>
      </c>
      <c r="F702" t="s">
        <v>51</v>
      </c>
      <c r="G702" t="s">
        <v>759</v>
      </c>
      <c r="H702" t="s">
        <v>3116</v>
      </c>
      <c r="I702" t="s">
        <v>3117</v>
      </c>
      <c r="J702" t="s">
        <v>3118</v>
      </c>
      <c r="K702" t="s">
        <v>55</v>
      </c>
      <c r="L702" t="s">
        <v>3119</v>
      </c>
      <c r="M702" t="s">
        <v>57</v>
      </c>
      <c r="N702" t="str">
        <f>"125690"</f>
        <v>125690</v>
      </c>
      <c r="O702" t="s">
        <v>262</v>
      </c>
      <c r="P702" t="s">
        <v>1977</v>
      </c>
      <c r="Q702" t="s">
        <v>68</v>
      </c>
      <c r="R702" t="s">
        <v>68</v>
      </c>
      <c r="S702" t="s">
        <v>69</v>
      </c>
    </row>
    <row r="703" spans="1:19" x14ac:dyDescent="0.35">
      <c r="A703">
        <v>47498</v>
      </c>
      <c r="B703" t="str">
        <f>"047498"</f>
        <v>047498</v>
      </c>
      <c r="C703" t="s">
        <v>3120</v>
      </c>
      <c r="D703" t="s">
        <v>49</v>
      </c>
      <c r="E703" t="s">
        <v>50</v>
      </c>
      <c r="F703" t="s">
        <v>51</v>
      </c>
      <c r="G703" t="s">
        <v>878</v>
      </c>
      <c r="H703" t="s">
        <v>3121</v>
      </c>
      <c r="I703" t="s">
        <v>3122</v>
      </c>
      <c r="J703" t="s">
        <v>3123</v>
      </c>
      <c r="K703" t="s">
        <v>55</v>
      </c>
      <c r="L703" t="s">
        <v>3124</v>
      </c>
      <c r="M703" t="s">
        <v>57</v>
      </c>
      <c r="N703" t="str">
        <f>"047480"</f>
        <v>047480</v>
      </c>
      <c r="O703" t="s">
        <v>3125</v>
      </c>
      <c r="P703" t="s">
        <v>76</v>
      </c>
      <c r="Q703">
        <v>39.299999999999997</v>
      </c>
      <c r="R703">
        <v>6</v>
      </c>
      <c r="S703" t="s">
        <v>156</v>
      </c>
    </row>
    <row r="704" spans="1:19" x14ac:dyDescent="0.35">
      <c r="A704">
        <v>46672</v>
      </c>
      <c r="B704" t="str">
        <f>"046672"</f>
        <v>046672</v>
      </c>
      <c r="C704" t="s">
        <v>3126</v>
      </c>
      <c r="D704" t="s">
        <v>49</v>
      </c>
      <c r="E704" t="s">
        <v>50</v>
      </c>
      <c r="F704" t="s">
        <v>51</v>
      </c>
      <c r="G704" t="s">
        <v>175</v>
      </c>
      <c r="H704" t="s">
        <v>3127</v>
      </c>
      <c r="I704" t="s">
        <v>3128</v>
      </c>
      <c r="J704" t="s">
        <v>3129</v>
      </c>
      <c r="K704" t="s">
        <v>55</v>
      </c>
      <c r="L704" t="s">
        <v>3130</v>
      </c>
      <c r="M704" t="s">
        <v>57</v>
      </c>
      <c r="N704" t="str">
        <f>"046615"</f>
        <v>046615</v>
      </c>
      <c r="O704" t="s">
        <v>381</v>
      </c>
      <c r="P704" t="s">
        <v>76</v>
      </c>
      <c r="Q704">
        <v>57.5</v>
      </c>
      <c r="R704">
        <v>13.200000000000003</v>
      </c>
      <c r="S704" t="s">
        <v>180</v>
      </c>
    </row>
    <row r="705" spans="1:19" x14ac:dyDescent="0.35">
      <c r="A705">
        <v>46854</v>
      </c>
      <c r="B705" t="str">
        <f>"046854"</f>
        <v>046854</v>
      </c>
      <c r="C705" t="s">
        <v>3131</v>
      </c>
      <c r="D705" t="s">
        <v>49</v>
      </c>
      <c r="E705" t="s">
        <v>50</v>
      </c>
      <c r="F705" t="s">
        <v>51</v>
      </c>
      <c r="G705" t="s">
        <v>92</v>
      </c>
      <c r="H705" t="s">
        <v>3132</v>
      </c>
      <c r="I705" t="s">
        <v>3133</v>
      </c>
      <c r="J705" t="s">
        <v>3134</v>
      </c>
      <c r="K705" t="s">
        <v>55</v>
      </c>
      <c r="L705" t="s">
        <v>3135</v>
      </c>
      <c r="M705" t="s">
        <v>57</v>
      </c>
      <c r="N705" t="str">
        <f>"046839"</f>
        <v>046839</v>
      </c>
      <c r="O705" t="s">
        <v>97</v>
      </c>
      <c r="P705" t="s">
        <v>76</v>
      </c>
      <c r="Q705">
        <v>24.2</v>
      </c>
      <c r="R705">
        <v>6.7999999999999972</v>
      </c>
      <c r="S705" t="s">
        <v>60</v>
      </c>
    </row>
    <row r="706" spans="1:19" x14ac:dyDescent="0.35">
      <c r="A706">
        <v>49643</v>
      </c>
      <c r="B706" t="str">
        <f>"049643"</f>
        <v>049643</v>
      </c>
      <c r="C706" t="s">
        <v>3136</v>
      </c>
      <c r="D706" t="s">
        <v>49</v>
      </c>
      <c r="E706" t="s">
        <v>50</v>
      </c>
      <c r="F706" t="s">
        <v>51</v>
      </c>
      <c r="G706" t="s">
        <v>219</v>
      </c>
      <c r="H706" t="s">
        <v>3137</v>
      </c>
      <c r="I706" t="s">
        <v>3138</v>
      </c>
      <c r="J706" t="s">
        <v>1897</v>
      </c>
      <c r="K706" t="s">
        <v>55</v>
      </c>
      <c r="L706" t="s">
        <v>1898</v>
      </c>
      <c r="M706" t="s">
        <v>57</v>
      </c>
      <c r="N706" t="str">
        <f>"125658"</f>
        <v>125658</v>
      </c>
      <c r="O706" t="s">
        <v>224</v>
      </c>
      <c r="P706" t="s">
        <v>76</v>
      </c>
      <c r="Q706">
        <v>41.1</v>
      </c>
      <c r="R706">
        <v>5.9000000000000057</v>
      </c>
      <c r="S706" t="s">
        <v>130</v>
      </c>
    </row>
    <row r="707" spans="1:19" x14ac:dyDescent="0.35">
      <c r="A707">
        <v>43505</v>
      </c>
      <c r="B707" t="str">
        <f>"043505"</f>
        <v>043505</v>
      </c>
      <c r="C707" t="s">
        <v>3139</v>
      </c>
      <c r="D707" t="s">
        <v>49</v>
      </c>
      <c r="E707" t="s">
        <v>50</v>
      </c>
      <c r="F707" t="s">
        <v>51</v>
      </c>
      <c r="G707" t="s">
        <v>855</v>
      </c>
      <c r="H707" t="s">
        <v>3140</v>
      </c>
      <c r="I707" t="s">
        <v>3141</v>
      </c>
      <c r="J707" t="s">
        <v>855</v>
      </c>
      <c r="K707" t="s">
        <v>55</v>
      </c>
      <c r="L707" t="s">
        <v>1457</v>
      </c>
      <c r="M707" t="s">
        <v>57</v>
      </c>
      <c r="N707" t="str">
        <f>"050765"</f>
        <v>050765</v>
      </c>
      <c r="O707" t="s">
        <v>58</v>
      </c>
      <c r="P707" t="s">
        <v>84</v>
      </c>
      <c r="Q707">
        <v>36.5</v>
      </c>
      <c r="R707">
        <v>8.5</v>
      </c>
      <c r="S707" t="s">
        <v>77</v>
      </c>
    </row>
    <row r="708" spans="1:19" x14ac:dyDescent="0.35">
      <c r="A708">
        <v>49874</v>
      </c>
      <c r="B708" t="str">
        <f>"049874"</f>
        <v>049874</v>
      </c>
      <c r="C708" t="s">
        <v>3142</v>
      </c>
      <c r="D708" t="s">
        <v>49</v>
      </c>
      <c r="E708" t="s">
        <v>50</v>
      </c>
      <c r="F708" t="s">
        <v>51</v>
      </c>
      <c r="G708" t="s">
        <v>117</v>
      </c>
      <c r="H708" t="s">
        <v>3143</v>
      </c>
      <c r="I708" t="s">
        <v>3144</v>
      </c>
      <c r="J708" t="s">
        <v>3145</v>
      </c>
      <c r="K708" t="s">
        <v>55</v>
      </c>
      <c r="L708" t="s">
        <v>3146</v>
      </c>
      <c r="M708" t="s">
        <v>57</v>
      </c>
      <c r="N708" t="str">
        <f>"050765"</f>
        <v>050765</v>
      </c>
      <c r="O708" t="s">
        <v>58</v>
      </c>
      <c r="P708" t="s">
        <v>84</v>
      </c>
      <c r="Q708">
        <v>31.5</v>
      </c>
      <c r="R708">
        <v>4.9000000000000057</v>
      </c>
      <c r="S708" t="s">
        <v>77</v>
      </c>
    </row>
    <row r="709" spans="1:19" x14ac:dyDescent="0.35">
      <c r="A709">
        <v>50112</v>
      </c>
      <c r="B709" t="str">
        <f>"050112"</f>
        <v>050112</v>
      </c>
      <c r="C709" t="s">
        <v>3147</v>
      </c>
      <c r="D709" t="s">
        <v>49</v>
      </c>
      <c r="E709" t="s">
        <v>50</v>
      </c>
      <c r="F709" t="s">
        <v>51</v>
      </c>
      <c r="G709" t="s">
        <v>169</v>
      </c>
      <c r="H709" t="s">
        <v>3148</v>
      </c>
      <c r="I709" t="s">
        <v>3149</v>
      </c>
      <c r="J709" t="s">
        <v>3150</v>
      </c>
      <c r="K709" t="s">
        <v>55</v>
      </c>
      <c r="L709" t="s">
        <v>3151</v>
      </c>
      <c r="M709" t="s">
        <v>57</v>
      </c>
      <c r="N709" t="str">
        <f>"050088"</f>
        <v>050088</v>
      </c>
      <c r="O709" t="s">
        <v>416</v>
      </c>
      <c r="P709" t="s">
        <v>76</v>
      </c>
      <c r="Q709">
        <v>40.1</v>
      </c>
      <c r="R709">
        <v>4.7000000000000028</v>
      </c>
      <c r="S709" t="s">
        <v>77</v>
      </c>
    </row>
    <row r="710" spans="1:19" x14ac:dyDescent="0.35">
      <c r="A710">
        <v>48678</v>
      </c>
      <c r="B710" t="str">
        <f>"048678"</f>
        <v>048678</v>
      </c>
      <c r="C710" t="s">
        <v>3152</v>
      </c>
      <c r="D710" t="s">
        <v>49</v>
      </c>
      <c r="E710" t="s">
        <v>50</v>
      </c>
      <c r="F710" t="s">
        <v>51</v>
      </c>
      <c r="G710" t="s">
        <v>543</v>
      </c>
      <c r="H710" t="s">
        <v>3153</v>
      </c>
      <c r="I710" t="s">
        <v>3154</v>
      </c>
      <c r="J710" t="s">
        <v>3155</v>
      </c>
      <c r="K710" t="s">
        <v>55</v>
      </c>
      <c r="L710" t="s">
        <v>3156</v>
      </c>
      <c r="M710" t="s">
        <v>57</v>
      </c>
      <c r="N710" t="str">
        <f>"048660"</f>
        <v>048660</v>
      </c>
      <c r="O710" t="s">
        <v>867</v>
      </c>
      <c r="P710" t="s">
        <v>84</v>
      </c>
      <c r="Q710">
        <v>25.4</v>
      </c>
      <c r="R710">
        <v>6.5</v>
      </c>
      <c r="S710" t="s">
        <v>180</v>
      </c>
    </row>
    <row r="711" spans="1:19" x14ac:dyDescent="0.35">
      <c r="A711">
        <v>43620</v>
      </c>
      <c r="B711" t="str">
        <f>"043620"</f>
        <v>043620</v>
      </c>
      <c r="C711" t="s">
        <v>3157</v>
      </c>
      <c r="D711" t="s">
        <v>49</v>
      </c>
      <c r="E711" t="s">
        <v>50</v>
      </c>
      <c r="F711" t="s">
        <v>51</v>
      </c>
      <c r="G711" t="s">
        <v>600</v>
      </c>
      <c r="H711" t="s">
        <v>3158</v>
      </c>
      <c r="I711" t="s">
        <v>3159</v>
      </c>
      <c r="J711" t="s">
        <v>3160</v>
      </c>
      <c r="K711" t="s">
        <v>55</v>
      </c>
      <c r="L711" t="s">
        <v>3161</v>
      </c>
      <c r="M711" t="s">
        <v>57</v>
      </c>
      <c r="N711" t="str">
        <f>"050765"</f>
        <v>050765</v>
      </c>
      <c r="O711" t="s">
        <v>58</v>
      </c>
      <c r="P711" t="s">
        <v>59</v>
      </c>
      <c r="Q711">
        <v>8.6999999999999993</v>
      </c>
      <c r="R711">
        <v>18.599999999999994</v>
      </c>
      <c r="S711" t="s">
        <v>60</v>
      </c>
    </row>
    <row r="712" spans="1:19" x14ac:dyDescent="0.35">
      <c r="A712">
        <v>48876</v>
      </c>
      <c r="B712" t="str">
        <f>"048876"</f>
        <v>048876</v>
      </c>
      <c r="C712" t="s">
        <v>3162</v>
      </c>
      <c r="D712" t="s">
        <v>49</v>
      </c>
      <c r="E712" t="s">
        <v>50</v>
      </c>
      <c r="F712" t="s">
        <v>51</v>
      </c>
      <c r="G712" t="s">
        <v>674</v>
      </c>
      <c r="H712" t="s">
        <v>3163</v>
      </c>
      <c r="I712" t="s">
        <v>3164</v>
      </c>
      <c r="J712" t="s">
        <v>3165</v>
      </c>
      <c r="K712" t="s">
        <v>55</v>
      </c>
      <c r="L712" t="s">
        <v>3166</v>
      </c>
      <c r="M712" t="s">
        <v>57</v>
      </c>
      <c r="N712" t="str">
        <f>"047977"</f>
        <v>047977</v>
      </c>
      <c r="O712" t="s">
        <v>115</v>
      </c>
      <c r="P712" t="s">
        <v>76</v>
      </c>
      <c r="Q712">
        <v>33.6</v>
      </c>
      <c r="R712">
        <v>8.4000000000000057</v>
      </c>
      <c r="S712" t="s">
        <v>130</v>
      </c>
    </row>
    <row r="713" spans="1:19" x14ac:dyDescent="0.35">
      <c r="A713">
        <v>52555</v>
      </c>
      <c r="B713" t="str">
        <f>"052555"</f>
        <v>052555</v>
      </c>
      <c r="C713" t="s">
        <v>3167</v>
      </c>
      <c r="D713" t="s">
        <v>49</v>
      </c>
      <c r="E713" t="s">
        <v>606</v>
      </c>
      <c r="F713" t="s">
        <v>51</v>
      </c>
      <c r="G713" t="s">
        <v>200</v>
      </c>
      <c r="H713" t="s">
        <v>3168</v>
      </c>
      <c r="I713" t="s">
        <v>3169</v>
      </c>
      <c r="J713" t="s">
        <v>304</v>
      </c>
      <c r="K713" t="s">
        <v>55</v>
      </c>
      <c r="L713" t="s">
        <v>3170</v>
      </c>
      <c r="M713" t="s">
        <v>57</v>
      </c>
      <c r="N713" t="str">
        <f>"052506"</f>
        <v>052506</v>
      </c>
      <c r="O713" t="s">
        <v>610</v>
      </c>
      <c r="P713" t="s">
        <v>68</v>
      </c>
      <c r="Q713" t="s">
        <v>68</v>
      </c>
      <c r="R713" t="s">
        <v>68</v>
      </c>
      <c r="S713" t="s">
        <v>156</v>
      </c>
    </row>
    <row r="714" spans="1:19" x14ac:dyDescent="0.35">
      <c r="A714">
        <v>43802</v>
      </c>
      <c r="B714" t="str">
        <f>"043802"</f>
        <v>043802</v>
      </c>
      <c r="C714" t="s">
        <v>3171</v>
      </c>
      <c r="D714" t="s">
        <v>49</v>
      </c>
      <c r="E714" t="s">
        <v>50</v>
      </c>
      <c r="F714" t="s">
        <v>51</v>
      </c>
      <c r="G714" t="s">
        <v>600</v>
      </c>
      <c r="H714" t="s">
        <v>1660</v>
      </c>
      <c r="I714" t="s">
        <v>1661</v>
      </c>
      <c r="J714" t="s">
        <v>1348</v>
      </c>
      <c r="K714" t="s">
        <v>55</v>
      </c>
      <c r="L714" t="s">
        <v>1516</v>
      </c>
      <c r="M714" t="s">
        <v>57</v>
      </c>
      <c r="N714" t="str">
        <f>"043802"</f>
        <v>043802</v>
      </c>
      <c r="O714" t="s">
        <v>3171</v>
      </c>
      <c r="P714" t="s">
        <v>281</v>
      </c>
      <c r="Q714">
        <v>100</v>
      </c>
      <c r="R714">
        <v>79.900000000000006</v>
      </c>
      <c r="S714" t="s">
        <v>60</v>
      </c>
    </row>
    <row r="715" spans="1:19" x14ac:dyDescent="0.35">
      <c r="A715">
        <v>50690</v>
      </c>
      <c r="B715" t="str">
        <f>"050690"</f>
        <v>050690</v>
      </c>
      <c r="C715" t="s">
        <v>157</v>
      </c>
      <c r="D715" t="s">
        <v>49</v>
      </c>
      <c r="E715" t="s">
        <v>50</v>
      </c>
      <c r="F715" t="s">
        <v>51</v>
      </c>
      <c r="G715" t="s">
        <v>226</v>
      </c>
      <c r="H715" t="s">
        <v>3172</v>
      </c>
      <c r="I715" t="s">
        <v>3173</v>
      </c>
      <c r="J715" t="s">
        <v>3174</v>
      </c>
      <c r="K715" t="s">
        <v>55</v>
      </c>
      <c r="L715" t="s">
        <v>3175</v>
      </c>
      <c r="M715" t="s">
        <v>57</v>
      </c>
      <c r="N715" t="str">
        <f>"050666"</f>
        <v>050666</v>
      </c>
      <c r="O715" t="s">
        <v>231</v>
      </c>
      <c r="P715" t="s">
        <v>84</v>
      </c>
      <c r="Q715">
        <v>34.6</v>
      </c>
      <c r="R715">
        <v>19.799999999999997</v>
      </c>
      <c r="S715" t="s">
        <v>156</v>
      </c>
    </row>
    <row r="716" spans="1:19" x14ac:dyDescent="0.35">
      <c r="A716">
        <v>43489</v>
      </c>
      <c r="B716" t="str">
        <f>"043489"</f>
        <v>043489</v>
      </c>
      <c r="C716" t="s">
        <v>3176</v>
      </c>
      <c r="D716" t="s">
        <v>49</v>
      </c>
      <c r="E716" t="s">
        <v>50</v>
      </c>
      <c r="F716" t="s">
        <v>51</v>
      </c>
      <c r="G716" t="s">
        <v>264</v>
      </c>
      <c r="H716" t="s">
        <v>1526</v>
      </c>
      <c r="I716" t="s">
        <v>1527</v>
      </c>
      <c r="J716" t="s">
        <v>267</v>
      </c>
      <c r="K716" t="s">
        <v>55</v>
      </c>
      <c r="L716" t="s">
        <v>1528</v>
      </c>
      <c r="M716" t="s">
        <v>57</v>
      </c>
      <c r="N716" t="str">
        <f>"043489"</f>
        <v>043489</v>
      </c>
      <c r="O716" t="s">
        <v>3176</v>
      </c>
      <c r="P716" t="s">
        <v>281</v>
      </c>
      <c r="Q716">
        <v>100</v>
      </c>
      <c r="R716">
        <v>72.8</v>
      </c>
      <c r="S716" t="s">
        <v>77</v>
      </c>
    </row>
    <row r="717" spans="1:19" x14ac:dyDescent="0.35">
      <c r="A717">
        <v>44057</v>
      </c>
      <c r="B717" t="str">
        <f>"044057"</f>
        <v>044057</v>
      </c>
      <c r="C717" t="s">
        <v>3177</v>
      </c>
      <c r="D717" t="s">
        <v>49</v>
      </c>
      <c r="E717" t="s">
        <v>50</v>
      </c>
      <c r="F717" t="s">
        <v>51</v>
      </c>
      <c r="G717" t="s">
        <v>132</v>
      </c>
      <c r="H717" t="s">
        <v>3178</v>
      </c>
      <c r="I717" t="s">
        <v>3179</v>
      </c>
      <c r="J717" t="s">
        <v>3180</v>
      </c>
      <c r="K717" t="s">
        <v>55</v>
      </c>
      <c r="L717" t="s">
        <v>3181</v>
      </c>
      <c r="M717" t="s">
        <v>57</v>
      </c>
      <c r="N717" t="str">
        <f>"050765"</f>
        <v>050765</v>
      </c>
      <c r="O717" t="s">
        <v>58</v>
      </c>
      <c r="P717" t="s">
        <v>84</v>
      </c>
      <c r="Q717">
        <v>52.3</v>
      </c>
      <c r="R717">
        <v>10.099999999999994</v>
      </c>
      <c r="S717" t="s">
        <v>69</v>
      </c>
    </row>
    <row r="718" spans="1:19" x14ac:dyDescent="0.35">
      <c r="A718">
        <v>45880</v>
      </c>
      <c r="B718" t="str">
        <f>"045880"</f>
        <v>045880</v>
      </c>
      <c r="C718" t="s">
        <v>3182</v>
      </c>
      <c r="D718" t="s">
        <v>49</v>
      </c>
      <c r="E718" t="s">
        <v>50</v>
      </c>
      <c r="F718" t="s">
        <v>51</v>
      </c>
      <c r="G718" t="s">
        <v>132</v>
      </c>
      <c r="H718" t="s">
        <v>3183</v>
      </c>
      <c r="I718" t="s">
        <v>3184</v>
      </c>
      <c r="J718" t="s">
        <v>3185</v>
      </c>
      <c r="K718" t="s">
        <v>55</v>
      </c>
      <c r="L718" t="s">
        <v>3186</v>
      </c>
      <c r="M718" t="s">
        <v>57</v>
      </c>
      <c r="N718" t="str">
        <f>"045849"</f>
        <v>045849</v>
      </c>
      <c r="O718" t="s">
        <v>185</v>
      </c>
      <c r="P718" t="s">
        <v>76</v>
      </c>
      <c r="Q718">
        <v>51.3</v>
      </c>
      <c r="R718">
        <v>7.9000000000000057</v>
      </c>
      <c r="S718" t="s">
        <v>69</v>
      </c>
    </row>
    <row r="719" spans="1:19" x14ac:dyDescent="0.35">
      <c r="A719">
        <v>47522</v>
      </c>
      <c r="B719" t="str">
        <f>"047522"</f>
        <v>047522</v>
      </c>
      <c r="C719" t="s">
        <v>3187</v>
      </c>
      <c r="D719" t="s">
        <v>49</v>
      </c>
      <c r="E719" t="s">
        <v>50</v>
      </c>
      <c r="F719" t="s">
        <v>51</v>
      </c>
      <c r="G719" t="s">
        <v>878</v>
      </c>
      <c r="H719" t="s">
        <v>3188</v>
      </c>
      <c r="I719" t="s">
        <v>3189</v>
      </c>
      <c r="J719" t="s">
        <v>3190</v>
      </c>
      <c r="K719" t="s">
        <v>55</v>
      </c>
      <c r="L719" t="s">
        <v>3191</v>
      </c>
      <c r="M719" t="s">
        <v>57</v>
      </c>
      <c r="N719" t="str">
        <f>"014777"</f>
        <v>014777</v>
      </c>
      <c r="O719" t="s">
        <v>293</v>
      </c>
      <c r="P719" t="s">
        <v>76</v>
      </c>
      <c r="Q719">
        <v>60</v>
      </c>
      <c r="R719">
        <v>10.400000000000006</v>
      </c>
      <c r="S719" t="s">
        <v>156</v>
      </c>
    </row>
    <row r="720" spans="1:19" x14ac:dyDescent="0.35">
      <c r="A720">
        <v>50187</v>
      </c>
      <c r="B720" t="str">
        <f>"050187"</f>
        <v>050187</v>
      </c>
      <c r="C720" t="s">
        <v>3192</v>
      </c>
      <c r="D720" t="s">
        <v>49</v>
      </c>
      <c r="E720" t="s">
        <v>50</v>
      </c>
      <c r="F720" t="s">
        <v>51</v>
      </c>
      <c r="G720" t="s">
        <v>169</v>
      </c>
      <c r="H720" t="s">
        <v>3193</v>
      </c>
      <c r="I720" t="s">
        <v>3194</v>
      </c>
      <c r="J720" t="s">
        <v>730</v>
      </c>
      <c r="K720" t="s">
        <v>55</v>
      </c>
      <c r="L720" t="s">
        <v>731</v>
      </c>
      <c r="M720" t="s">
        <v>57</v>
      </c>
      <c r="N720" t="str">
        <f>"050088"</f>
        <v>050088</v>
      </c>
      <c r="O720" t="s">
        <v>416</v>
      </c>
      <c r="P720" t="s">
        <v>84</v>
      </c>
      <c r="Q720">
        <v>24.7</v>
      </c>
      <c r="R720">
        <v>7.5</v>
      </c>
      <c r="S720" t="s">
        <v>77</v>
      </c>
    </row>
    <row r="721" spans="1:19" x14ac:dyDescent="0.35">
      <c r="A721">
        <v>200038</v>
      </c>
      <c r="B721" t="str">
        <f>"200038"</f>
        <v>200038</v>
      </c>
      <c r="C721" t="s">
        <v>3195</v>
      </c>
      <c r="D721" t="s">
        <v>49</v>
      </c>
      <c r="E721" t="s">
        <v>62</v>
      </c>
      <c r="F721" t="s">
        <v>51</v>
      </c>
      <c r="G721" t="s">
        <v>600</v>
      </c>
      <c r="H721" t="s">
        <v>1134</v>
      </c>
      <c r="I721" t="s">
        <v>1135</v>
      </c>
      <c r="J721" t="s">
        <v>1136</v>
      </c>
      <c r="K721" t="s">
        <v>55</v>
      </c>
      <c r="L721" t="s">
        <v>1137</v>
      </c>
      <c r="M721" t="s">
        <v>57</v>
      </c>
      <c r="N721" t="str">
        <f>"N/A"</f>
        <v>N/A</v>
      </c>
      <c r="O721" t="s">
        <v>49</v>
      </c>
      <c r="P721" t="s">
        <v>68</v>
      </c>
      <c r="Q721" t="s">
        <v>68</v>
      </c>
      <c r="R721" t="s">
        <v>68</v>
      </c>
      <c r="S721" t="s">
        <v>60</v>
      </c>
    </row>
    <row r="722" spans="1:19" x14ac:dyDescent="0.35">
      <c r="A722">
        <v>44503</v>
      </c>
      <c r="B722" t="str">
        <f>"044503"</f>
        <v>044503</v>
      </c>
      <c r="C722" t="s">
        <v>3196</v>
      </c>
      <c r="D722" t="s">
        <v>49</v>
      </c>
      <c r="E722" t="s">
        <v>50</v>
      </c>
      <c r="F722" t="s">
        <v>51</v>
      </c>
      <c r="G722" t="s">
        <v>117</v>
      </c>
      <c r="H722" t="s">
        <v>3197</v>
      </c>
      <c r="I722" t="s">
        <v>3198</v>
      </c>
      <c r="J722" t="s">
        <v>3199</v>
      </c>
      <c r="K722" t="s">
        <v>55</v>
      </c>
      <c r="L722" t="s">
        <v>3200</v>
      </c>
      <c r="M722" t="s">
        <v>57</v>
      </c>
      <c r="N722" t="str">
        <f>"050765"</f>
        <v>050765</v>
      </c>
      <c r="O722" t="s">
        <v>58</v>
      </c>
      <c r="P722" t="s">
        <v>59</v>
      </c>
      <c r="Q722">
        <v>21.8</v>
      </c>
      <c r="R722">
        <v>14.700000000000003</v>
      </c>
      <c r="S722" t="s">
        <v>77</v>
      </c>
    </row>
    <row r="723" spans="1:19" x14ac:dyDescent="0.35">
      <c r="A723">
        <v>45054</v>
      </c>
      <c r="B723" t="str">
        <f>"045054"</f>
        <v>045054</v>
      </c>
      <c r="C723" t="s">
        <v>3201</v>
      </c>
      <c r="D723" t="s">
        <v>49</v>
      </c>
      <c r="E723" t="s">
        <v>50</v>
      </c>
      <c r="F723" t="s">
        <v>51</v>
      </c>
      <c r="G723" t="s">
        <v>543</v>
      </c>
      <c r="H723" t="s">
        <v>3202</v>
      </c>
      <c r="I723" t="s">
        <v>3203</v>
      </c>
      <c r="J723" t="s">
        <v>3204</v>
      </c>
      <c r="K723" t="s">
        <v>55</v>
      </c>
      <c r="L723" t="s">
        <v>3205</v>
      </c>
      <c r="M723" t="s">
        <v>57</v>
      </c>
      <c r="N723" t="str">
        <f>"050765"</f>
        <v>050765</v>
      </c>
      <c r="O723" t="s">
        <v>58</v>
      </c>
      <c r="P723" t="s">
        <v>281</v>
      </c>
      <c r="Q723">
        <v>61.3</v>
      </c>
      <c r="R723">
        <v>45.6</v>
      </c>
      <c r="S723" t="s">
        <v>180</v>
      </c>
    </row>
    <row r="724" spans="1:19" x14ac:dyDescent="0.35">
      <c r="A724">
        <v>49239</v>
      </c>
      <c r="B724" t="str">
        <f>"049239"</f>
        <v>049239</v>
      </c>
      <c r="C724" t="s">
        <v>3206</v>
      </c>
      <c r="D724" t="s">
        <v>49</v>
      </c>
      <c r="E724" t="s">
        <v>50</v>
      </c>
      <c r="F724" t="s">
        <v>51</v>
      </c>
      <c r="G724" t="s">
        <v>295</v>
      </c>
      <c r="H724" t="s">
        <v>3207</v>
      </c>
      <c r="I724" t="s">
        <v>3208</v>
      </c>
      <c r="J724" t="s">
        <v>3209</v>
      </c>
      <c r="K724" t="s">
        <v>55</v>
      </c>
      <c r="L724" t="s">
        <v>3210</v>
      </c>
      <c r="M724" t="s">
        <v>57</v>
      </c>
      <c r="N724" t="str">
        <f>"050765"</f>
        <v>050765</v>
      </c>
      <c r="O724" t="s">
        <v>58</v>
      </c>
      <c r="P724" t="s">
        <v>59</v>
      </c>
      <c r="Q724">
        <v>34.9</v>
      </c>
      <c r="R724">
        <v>31.599999999999994</v>
      </c>
      <c r="S724" t="s">
        <v>77</v>
      </c>
    </row>
    <row r="725" spans="1:19" x14ac:dyDescent="0.35">
      <c r="A725">
        <v>50567</v>
      </c>
      <c r="B725" t="str">
        <f>"050567"</f>
        <v>050567</v>
      </c>
      <c r="C725" t="s">
        <v>3211</v>
      </c>
      <c r="D725" t="s">
        <v>49</v>
      </c>
      <c r="E725" t="s">
        <v>50</v>
      </c>
      <c r="F725" t="s">
        <v>51</v>
      </c>
      <c r="G725" t="s">
        <v>187</v>
      </c>
      <c r="H725" t="s">
        <v>3212</v>
      </c>
      <c r="I725" t="s">
        <v>3213</v>
      </c>
      <c r="J725" t="s">
        <v>3214</v>
      </c>
      <c r="K725" t="s">
        <v>55</v>
      </c>
      <c r="L725" t="s">
        <v>3215</v>
      </c>
      <c r="M725" t="s">
        <v>57</v>
      </c>
      <c r="N725" t="str">
        <f>"050526"</f>
        <v>050526</v>
      </c>
      <c r="O725" t="s">
        <v>192</v>
      </c>
      <c r="P725" t="s">
        <v>84</v>
      </c>
      <c r="Q725">
        <v>27</v>
      </c>
      <c r="R725">
        <v>5.2999999999999972</v>
      </c>
      <c r="S725" t="s">
        <v>77</v>
      </c>
    </row>
    <row r="726" spans="1:19" x14ac:dyDescent="0.35">
      <c r="A726">
        <v>50948</v>
      </c>
      <c r="B726" t="str">
        <f>"050948"</f>
        <v>050948</v>
      </c>
      <c r="C726" t="s">
        <v>3216</v>
      </c>
      <c r="D726" t="s">
        <v>49</v>
      </c>
      <c r="E726" t="s">
        <v>163</v>
      </c>
      <c r="F726" t="s">
        <v>51</v>
      </c>
      <c r="G726" t="s">
        <v>63</v>
      </c>
      <c r="H726" t="s">
        <v>2229</v>
      </c>
      <c r="I726" t="s">
        <v>2230</v>
      </c>
      <c r="J726" t="s">
        <v>2231</v>
      </c>
      <c r="K726" t="s">
        <v>55</v>
      </c>
      <c r="L726" t="s">
        <v>2232</v>
      </c>
      <c r="M726" t="s">
        <v>57</v>
      </c>
      <c r="N726" t="str">
        <f>"050765"</f>
        <v>050765</v>
      </c>
      <c r="O726" t="s">
        <v>58</v>
      </c>
      <c r="P726" t="s">
        <v>68</v>
      </c>
      <c r="Q726" t="s">
        <v>68</v>
      </c>
      <c r="R726" t="s">
        <v>68</v>
      </c>
      <c r="S726" t="s">
        <v>69</v>
      </c>
    </row>
    <row r="727" spans="1:19" x14ac:dyDescent="0.35">
      <c r="A727">
        <v>46367</v>
      </c>
      <c r="B727" t="str">
        <f>"046367"</f>
        <v>046367</v>
      </c>
      <c r="C727" t="s">
        <v>3217</v>
      </c>
      <c r="D727" t="s">
        <v>49</v>
      </c>
      <c r="E727" t="s">
        <v>50</v>
      </c>
      <c r="F727" t="s">
        <v>51</v>
      </c>
      <c r="G727" t="s">
        <v>1041</v>
      </c>
      <c r="H727" t="s">
        <v>3218</v>
      </c>
      <c r="I727" t="s">
        <v>3219</v>
      </c>
      <c r="J727" t="s">
        <v>3220</v>
      </c>
      <c r="K727" t="s">
        <v>55</v>
      </c>
      <c r="L727" t="s">
        <v>3221</v>
      </c>
      <c r="M727" t="s">
        <v>57</v>
      </c>
      <c r="N727" t="str">
        <f>"046292"</f>
        <v>046292</v>
      </c>
      <c r="O727" t="s">
        <v>1045</v>
      </c>
      <c r="P727" t="s">
        <v>76</v>
      </c>
      <c r="Q727">
        <v>36.200000000000003</v>
      </c>
      <c r="R727">
        <v>6.7999999999999972</v>
      </c>
      <c r="S727" t="s">
        <v>217</v>
      </c>
    </row>
    <row r="728" spans="1:19" x14ac:dyDescent="0.35">
      <c r="A728">
        <v>49338</v>
      </c>
      <c r="B728" t="str">
        <f>"049338"</f>
        <v>049338</v>
      </c>
      <c r="C728" t="s">
        <v>3222</v>
      </c>
      <c r="D728" t="s">
        <v>49</v>
      </c>
      <c r="E728" t="s">
        <v>50</v>
      </c>
      <c r="F728" t="s">
        <v>51</v>
      </c>
      <c r="G728" t="s">
        <v>150</v>
      </c>
      <c r="H728" t="s">
        <v>3223</v>
      </c>
      <c r="I728" t="s">
        <v>3224</v>
      </c>
      <c r="J728" t="s">
        <v>3225</v>
      </c>
      <c r="K728" t="s">
        <v>55</v>
      </c>
      <c r="L728" t="s">
        <v>3226</v>
      </c>
      <c r="M728" t="s">
        <v>57</v>
      </c>
      <c r="N728" t="str">
        <f>"049304"</f>
        <v>049304</v>
      </c>
      <c r="O728" t="s">
        <v>155</v>
      </c>
      <c r="P728" t="s">
        <v>76</v>
      </c>
      <c r="Q728">
        <v>13.5</v>
      </c>
      <c r="R728">
        <v>1.4000000000000057</v>
      </c>
      <c r="S728" t="s">
        <v>156</v>
      </c>
    </row>
    <row r="729" spans="1:19" x14ac:dyDescent="0.35">
      <c r="A729">
        <v>49890</v>
      </c>
      <c r="B729" t="str">
        <f>"049890"</f>
        <v>049890</v>
      </c>
      <c r="C729" t="s">
        <v>3227</v>
      </c>
      <c r="D729" t="s">
        <v>49</v>
      </c>
      <c r="E729" t="s">
        <v>50</v>
      </c>
      <c r="F729" t="s">
        <v>51</v>
      </c>
      <c r="G729" t="s">
        <v>117</v>
      </c>
      <c r="H729" t="s">
        <v>3228</v>
      </c>
      <c r="I729" t="s">
        <v>3229</v>
      </c>
      <c r="J729" t="s">
        <v>3230</v>
      </c>
      <c r="K729" t="s">
        <v>55</v>
      </c>
      <c r="L729" t="s">
        <v>3231</v>
      </c>
      <c r="M729" t="s">
        <v>57</v>
      </c>
      <c r="N729" t="str">
        <f>"049825"</f>
        <v>049825</v>
      </c>
      <c r="O729" t="s">
        <v>122</v>
      </c>
      <c r="P729" t="s">
        <v>76</v>
      </c>
      <c r="Q729">
        <v>43.3</v>
      </c>
      <c r="R729">
        <v>5.0999999999999943</v>
      </c>
      <c r="S729" t="s">
        <v>77</v>
      </c>
    </row>
    <row r="730" spans="1:19" x14ac:dyDescent="0.35">
      <c r="A730">
        <v>50369</v>
      </c>
      <c r="B730" t="str">
        <f>"050369"</f>
        <v>050369</v>
      </c>
      <c r="C730" t="s">
        <v>3232</v>
      </c>
      <c r="D730" t="s">
        <v>49</v>
      </c>
      <c r="E730" t="s">
        <v>50</v>
      </c>
      <c r="F730" t="s">
        <v>51</v>
      </c>
      <c r="G730" t="s">
        <v>1020</v>
      </c>
      <c r="H730" t="s">
        <v>3233</v>
      </c>
      <c r="I730" t="s">
        <v>3234</v>
      </c>
      <c r="J730" t="s">
        <v>1020</v>
      </c>
      <c r="K730" t="s">
        <v>55</v>
      </c>
      <c r="L730" t="s">
        <v>1023</v>
      </c>
      <c r="M730" t="s">
        <v>57</v>
      </c>
      <c r="N730" t="str">
        <f>"134999"</f>
        <v>134999</v>
      </c>
      <c r="O730" t="s">
        <v>439</v>
      </c>
      <c r="P730" t="s">
        <v>76</v>
      </c>
      <c r="Q730">
        <v>30.8</v>
      </c>
      <c r="R730">
        <v>5.4000000000000057</v>
      </c>
      <c r="S730" t="s">
        <v>156</v>
      </c>
    </row>
    <row r="731" spans="1:19" x14ac:dyDescent="0.35">
      <c r="A731">
        <v>48082</v>
      </c>
      <c r="B731" t="str">
        <f>"048082"</f>
        <v>048082</v>
      </c>
      <c r="C731" t="s">
        <v>3235</v>
      </c>
      <c r="D731" t="s">
        <v>49</v>
      </c>
      <c r="E731" t="s">
        <v>50</v>
      </c>
      <c r="F731" t="s">
        <v>51</v>
      </c>
      <c r="G731" t="s">
        <v>288</v>
      </c>
      <c r="H731" t="s">
        <v>3236</v>
      </c>
      <c r="I731" t="s">
        <v>3237</v>
      </c>
      <c r="J731" t="s">
        <v>3238</v>
      </c>
      <c r="K731" t="s">
        <v>55</v>
      </c>
      <c r="L731" t="s">
        <v>3239</v>
      </c>
      <c r="M731" t="s">
        <v>57</v>
      </c>
      <c r="N731" t="str">
        <f>"014777"</f>
        <v>014777</v>
      </c>
      <c r="O731" t="s">
        <v>293</v>
      </c>
      <c r="P731" t="s">
        <v>84</v>
      </c>
      <c r="Q731">
        <v>43.4</v>
      </c>
      <c r="R731">
        <v>9.0999999999999943</v>
      </c>
      <c r="S731" t="s">
        <v>180</v>
      </c>
    </row>
    <row r="732" spans="1:19" x14ac:dyDescent="0.35">
      <c r="A732">
        <v>49379</v>
      </c>
      <c r="B732" t="str">
        <f>"049379"</f>
        <v>049379</v>
      </c>
      <c r="C732" t="s">
        <v>3240</v>
      </c>
      <c r="D732" t="s">
        <v>49</v>
      </c>
      <c r="E732" t="s">
        <v>50</v>
      </c>
      <c r="F732" t="s">
        <v>51</v>
      </c>
      <c r="G732" t="s">
        <v>150</v>
      </c>
      <c r="H732" t="s">
        <v>3241</v>
      </c>
      <c r="I732" t="s">
        <v>3242</v>
      </c>
      <c r="J732" t="s">
        <v>257</v>
      </c>
      <c r="K732" t="s">
        <v>55</v>
      </c>
      <c r="L732" t="s">
        <v>3243</v>
      </c>
      <c r="M732" t="s">
        <v>57</v>
      </c>
      <c r="N732" t="str">
        <f>"049304"</f>
        <v>049304</v>
      </c>
      <c r="O732" t="s">
        <v>155</v>
      </c>
      <c r="P732" t="s">
        <v>84</v>
      </c>
      <c r="Q732">
        <v>16.899999999999999</v>
      </c>
      <c r="R732">
        <v>13.599999999999994</v>
      </c>
      <c r="S732" t="s">
        <v>156</v>
      </c>
    </row>
    <row r="733" spans="1:19" x14ac:dyDescent="0.35">
      <c r="A733">
        <v>44016</v>
      </c>
      <c r="B733" t="str">
        <f>"044016"</f>
        <v>044016</v>
      </c>
      <c r="C733" t="s">
        <v>3244</v>
      </c>
      <c r="D733" t="s">
        <v>49</v>
      </c>
      <c r="E733" t="s">
        <v>50</v>
      </c>
      <c r="F733" t="s">
        <v>51</v>
      </c>
      <c r="G733" t="s">
        <v>400</v>
      </c>
      <c r="H733" t="s">
        <v>3245</v>
      </c>
      <c r="I733" t="s">
        <v>3246</v>
      </c>
      <c r="J733" t="s">
        <v>2749</v>
      </c>
      <c r="K733" t="s">
        <v>55</v>
      </c>
      <c r="L733" t="s">
        <v>2750</v>
      </c>
      <c r="M733" t="s">
        <v>57</v>
      </c>
      <c r="N733" t="str">
        <f>"050765"</f>
        <v>050765</v>
      </c>
      <c r="O733" t="s">
        <v>58</v>
      </c>
      <c r="P733" t="s">
        <v>84</v>
      </c>
      <c r="Q733">
        <v>74.3</v>
      </c>
      <c r="R733">
        <v>45.9</v>
      </c>
      <c r="S733" t="s">
        <v>156</v>
      </c>
    </row>
    <row r="734" spans="1:19" x14ac:dyDescent="0.35">
      <c r="A734">
        <v>45450</v>
      </c>
      <c r="B734" t="str">
        <f>"045450"</f>
        <v>045450</v>
      </c>
      <c r="C734" t="s">
        <v>3247</v>
      </c>
      <c r="D734" t="s">
        <v>49</v>
      </c>
      <c r="E734" t="s">
        <v>50</v>
      </c>
      <c r="F734" t="s">
        <v>51</v>
      </c>
      <c r="G734" t="s">
        <v>536</v>
      </c>
      <c r="H734" t="s">
        <v>3248</v>
      </c>
      <c r="I734" t="s">
        <v>3249</v>
      </c>
      <c r="J734" t="s">
        <v>1075</v>
      </c>
      <c r="K734" t="s">
        <v>55</v>
      </c>
      <c r="L734" t="s">
        <v>1076</v>
      </c>
      <c r="M734" t="s">
        <v>57</v>
      </c>
      <c r="N734" t="str">
        <f>"050765"</f>
        <v>050765</v>
      </c>
      <c r="O734" t="s">
        <v>58</v>
      </c>
      <c r="P734" t="s">
        <v>76</v>
      </c>
      <c r="Q734">
        <v>76.8</v>
      </c>
      <c r="R734">
        <v>4.4000000000000057</v>
      </c>
      <c r="S734" t="s">
        <v>77</v>
      </c>
    </row>
    <row r="735" spans="1:19" x14ac:dyDescent="0.35">
      <c r="A735">
        <v>45864</v>
      </c>
      <c r="B735" t="str">
        <f>"045864"</f>
        <v>045864</v>
      </c>
      <c r="C735" t="s">
        <v>3250</v>
      </c>
      <c r="D735" t="s">
        <v>49</v>
      </c>
      <c r="E735" t="s">
        <v>50</v>
      </c>
      <c r="F735" t="s">
        <v>51</v>
      </c>
      <c r="G735" t="s">
        <v>132</v>
      </c>
      <c r="H735" t="s">
        <v>3251</v>
      </c>
      <c r="I735" t="s">
        <v>3252</v>
      </c>
      <c r="J735" t="s">
        <v>3253</v>
      </c>
      <c r="K735" t="s">
        <v>55</v>
      </c>
      <c r="L735" t="s">
        <v>3254</v>
      </c>
      <c r="M735" t="s">
        <v>57</v>
      </c>
      <c r="N735" t="str">
        <f>"045849"</f>
        <v>045849</v>
      </c>
      <c r="O735" t="s">
        <v>185</v>
      </c>
      <c r="P735" t="s">
        <v>76</v>
      </c>
      <c r="Q735">
        <v>44.2</v>
      </c>
      <c r="R735">
        <v>5.4000000000000057</v>
      </c>
      <c r="S735" t="s">
        <v>69</v>
      </c>
    </row>
    <row r="736" spans="1:19" x14ac:dyDescent="0.35">
      <c r="A736">
        <v>48355</v>
      </c>
      <c r="B736" t="str">
        <f>"048355"</f>
        <v>048355</v>
      </c>
      <c r="C736" t="s">
        <v>3255</v>
      </c>
      <c r="D736" t="s">
        <v>49</v>
      </c>
      <c r="E736" t="s">
        <v>50</v>
      </c>
      <c r="F736" t="s">
        <v>51</v>
      </c>
      <c r="G736" t="s">
        <v>383</v>
      </c>
      <c r="H736" t="s">
        <v>3256</v>
      </c>
      <c r="I736" t="s">
        <v>3257</v>
      </c>
      <c r="J736" t="s">
        <v>3258</v>
      </c>
      <c r="K736" t="s">
        <v>55</v>
      </c>
      <c r="L736" t="s">
        <v>3259</v>
      </c>
      <c r="M736" t="s">
        <v>57</v>
      </c>
      <c r="N736" t="str">
        <f>"048280"</f>
        <v>048280</v>
      </c>
      <c r="O736" t="s">
        <v>388</v>
      </c>
      <c r="P736" t="s">
        <v>84</v>
      </c>
      <c r="Q736">
        <v>98.6</v>
      </c>
      <c r="R736">
        <v>8.2999999999999972</v>
      </c>
      <c r="S736" t="s">
        <v>77</v>
      </c>
    </row>
    <row r="737" spans="1:19" x14ac:dyDescent="0.35">
      <c r="A737">
        <v>52506</v>
      </c>
      <c r="B737" t="str">
        <f>"052506"</f>
        <v>052506</v>
      </c>
      <c r="C737" t="s">
        <v>610</v>
      </c>
      <c r="D737" t="s">
        <v>49</v>
      </c>
      <c r="E737" t="s">
        <v>606</v>
      </c>
      <c r="F737" t="s">
        <v>51</v>
      </c>
      <c r="G737" t="s">
        <v>600</v>
      </c>
      <c r="H737" t="s">
        <v>3260</v>
      </c>
      <c r="I737" t="s">
        <v>3261</v>
      </c>
      <c r="J737" t="s">
        <v>1348</v>
      </c>
      <c r="K737" t="s">
        <v>55</v>
      </c>
      <c r="L737" t="s">
        <v>1516</v>
      </c>
      <c r="M737" t="s">
        <v>57</v>
      </c>
      <c r="N737" t="str">
        <f>"052506"</f>
        <v>052506</v>
      </c>
      <c r="O737" t="s">
        <v>610</v>
      </c>
      <c r="P737" t="s">
        <v>68</v>
      </c>
      <c r="Q737" t="s">
        <v>68</v>
      </c>
      <c r="R737" t="s">
        <v>68</v>
      </c>
      <c r="S737" t="s">
        <v>60</v>
      </c>
    </row>
    <row r="738" spans="1:19" x14ac:dyDescent="0.35">
      <c r="A738">
        <v>51029</v>
      </c>
      <c r="B738" t="str">
        <f>"051029"</f>
        <v>051029</v>
      </c>
      <c r="C738" t="s">
        <v>3262</v>
      </c>
      <c r="D738" t="s">
        <v>49</v>
      </c>
      <c r="E738" t="s">
        <v>163</v>
      </c>
      <c r="F738" t="s">
        <v>51</v>
      </c>
      <c r="G738" t="s">
        <v>759</v>
      </c>
      <c r="H738" t="s">
        <v>2927</v>
      </c>
      <c r="I738" t="s">
        <v>2928</v>
      </c>
      <c r="J738" t="s">
        <v>2766</v>
      </c>
      <c r="K738" t="s">
        <v>55</v>
      </c>
      <c r="L738" t="s">
        <v>2767</v>
      </c>
      <c r="M738" t="s">
        <v>57</v>
      </c>
      <c r="N738" t="str">
        <f>"050765"</f>
        <v>050765</v>
      </c>
      <c r="O738" t="s">
        <v>58</v>
      </c>
      <c r="P738" t="s">
        <v>68</v>
      </c>
      <c r="Q738" t="s">
        <v>68</v>
      </c>
      <c r="R738" t="s">
        <v>68</v>
      </c>
      <c r="S738" t="s">
        <v>69</v>
      </c>
    </row>
    <row r="739" spans="1:19" x14ac:dyDescent="0.35">
      <c r="A739">
        <v>44669</v>
      </c>
      <c r="B739" t="str">
        <f>"044669"</f>
        <v>044669</v>
      </c>
      <c r="C739" t="s">
        <v>3263</v>
      </c>
      <c r="D739" t="s">
        <v>49</v>
      </c>
      <c r="E739" t="s">
        <v>50</v>
      </c>
      <c r="F739" t="s">
        <v>51</v>
      </c>
      <c r="G739" t="s">
        <v>219</v>
      </c>
      <c r="H739" t="s">
        <v>3264</v>
      </c>
      <c r="I739" t="s">
        <v>3265</v>
      </c>
      <c r="J739" t="s">
        <v>222</v>
      </c>
      <c r="K739" t="s">
        <v>55</v>
      </c>
      <c r="L739" t="s">
        <v>223</v>
      </c>
      <c r="M739" t="s">
        <v>57</v>
      </c>
      <c r="N739" t="str">
        <f>"050765"</f>
        <v>050765</v>
      </c>
      <c r="O739" t="s">
        <v>58</v>
      </c>
      <c r="P739" t="s">
        <v>84</v>
      </c>
      <c r="Q739">
        <v>100</v>
      </c>
      <c r="R739">
        <v>29.200000000000003</v>
      </c>
      <c r="S739" t="s">
        <v>130</v>
      </c>
    </row>
    <row r="740" spans="1:19" x14ac:dyDescent="0.35">
      <c r="A740">
        <v>49775</v>
      </c>
      <c r="B740" t="str">
        <f>"049775"</f>
        <v>049775</v>
      </c>
      <c r="C740" t="s">
        <v>3266</v>
      </c>
      <c r="D740" t="s">
        <v>49</v>
      </c>
      <c r="E740" t="s">
        <v>50</v>
      </c>
      <c r="F740" t="s">
        <v>51</v>
      </c>
      <c r="G740" t="s">
        <v>572</v>
      </c>
      <c r="H740" t="s">
        <v>3267</v>
      </c>
      <c r="I740" t="s">
        <v>3268</v>
      </c>
      <c r="J740" t="s">
        <v>2954</v>
      </c>
      <c r="K740" t="s">
        <v>55</v>
      </c>
      <c r="L740" t="s">
        <v>2955</v>
      </c>
      <c r="M740" t="s">
        <v>57</v>
      </c>
      <c r="N740" t="str">
        <f>"014777"</f>
        <v>014777</v>
      </c>
      <c r="O740" t="s">
        <v>293</v>
      </c>
      <c r="P740" t="s">
        <v>76</v>
      </c>
      <c r="Q740">
        <v>26.9</v>
      </c>
      <c r="R740">
        <v>2.4000000000000057</v>
      </c>
      <c r="S740" t="s">
        <v>180</v>
      </c>
    </row>
    <row r="741" spans="1:19" x14ac:dyDescent="0.35">
      <c r="A741">
        <v>44347</v>
      </c>
      <c r="B741" t="str">
        <f>"044347"</f>
        <v>044347</v>
      </c>
      <c r="C741" t="s">
        <v>3269</v>
      </c>
      <c r="D741" t="s">
        <v>49</v>
      </c>
      <c r="E741" t="s">
        <v>50</v>
      </c>
      <c r="F741" t="s">
        <v>51</v>
      </c>
      <c r="G741" t="s">
        <v>233</v>
      </c>
      <c r="H741" t="s">
        <v>3270</v>
      </c>
      <c r="I741" t="s">
        <v>3271</v>
      </c>
      <c r="J741" t="s">
        <v>3272</v>
      </c>
      <c r="K741" t="s">
        <v>55</v>
      </c>
      <c r="L741" t="s">
        <v>3273</v>
      </c>
      <c r="M741" t="s">
        <v>57</v>
      </c>
      <c r="N741" t="str">
        <f>"050765"</f>
        <v>050765</v>
      </c>
      <c r="O741" t="s">
        <v>58</v>
      </c>
      <c r="P741" t="s">
        <v>84</v>
      </c>
      <c r="Q741">
        <v>60.8</v>
      </c>
      <c r="R741">
        <v>14.900000000000006</v>
      </c>
      <c r="S741" t="s">
        <v>130</v>
      </c>
    </row>
    <row r="742" spans="1:19" x14ac:dyDescent="0.35">
      <c r="A742">
        <v>48298</v>
      </c>
      <c r="B742" t="str">
        <f>"048298"</f>
        <v>048298</v>
      </c>
      <c r="C742" t="s">
        <v>3274</v>
      </c>
      <c r="D742" t="s">
        <v>49</v>
      </c>
      <c r="E742" t="s">
        <v>50</v>
      </c>
      <c r="F742" t="s">
        <v>51</v>
      </c>
      <c r="G742" t="s">
        <v>383</v>
      </c>
      <c r="H742" t="s">
        <v>3275</v>
      </c>
      <c r="I742" t="s">
        <v>3276</v>
      </c>
      <c r="J742" t="s">
        <v>1215</v>
      </c>
      <c r="K742" t="s">
        <v>55</v>
      </c>
      <c r="L742" t="s">
        <v>3277</v>
      </c>
      <c r="M742" t="s">
        <v>57</v>
      </c>
      <c r="N742" t="str">
        <f>"048280"</f>
        <v>048280</v>
      </c>
      <c r="O742" t="s">
        <v>388</v>
      </c>
      <c r="P742" t="s">
        <v>281</v>
      </c>
      <c r="Q742">
        <v>60.1</v>
      </c>
      <c r="R742">
        <v>29.799999999999997</v>
      </c>
      <c r="S742" t="s">
        <v>77</v>
      </c>
    </row>
    <row r="743" spans="1:19" x14ac:dyDescent="0.35">
      <c r="A743">
        <v>50328</v>
      </c>
      <c r="B743" t="str">
        <f>"050328"</f>
        <v>050328</v>
      </c>
      <c r="C743" t="s">
        <v>3278</v>
      </c>
      <c r="D743" t="s">
        <v>49</v>
      </c>
      <c r="E743" t="s">
        <v>50</v>
      </c>
      <c r="F743" t="s">
        <v>51</v>
      </c>
      <c r="G743" t="s">
        <v>1948</v>
      </c>
      <c r="H743" t="s">
        <v>3279</v>
      </c>
      <c r="I743" t="s">
        <v>3280</v>
      </c>
      <c r="J743" t="s">
        <v>3281</v>
      </c>
      <c r="K743" t="s">
        <v>55</v>
      </c>
      <c r="L743" t="s">
        <v>3282</v>
      </c>
      <c r="M743" t="s">
        <v>57</v>
      </c>
      <c r="N743" t="str">
        <f>"046938"</f>
        <v>046938</v>
      </c>
      <c r="O743" t="s">
        <v>1029</v>
      </c>
      <c r="P743" t="s">
        <v>84</v>
      </c>
      <c r="Q743">
        <v>14.5</v>
      </c>
      <c r="R743">
        <v>7.4000000000000057</v>
      </c>
      <c r="S743" t="s">
        <v>60</v>
      </c>
    </row>
    <row r="744" spans="1:19" x14ac:dyDescent="0.35">
      <c r="A744">
        <v>62802</v>
      </c>
      <c r="B744" t="str">
        <f>"062802"</f>
        <v>062802</v>
      </c>
      <c r="C744" t="s">
        <v>3283</v>
      </c>
      <c r="D744" t="s">
        <v>49</v>
      </c>
      <c r="E744" t="s">
        <v>163</v>
      </c>
      <c r="F744" t="s">
        <v>51</v>
      </c>
      <c r="G744" t="s">
        <v>1041</v>
      </c>
      <c r="H744" t="s">
        <v>2155</v>
      </c>
      <c r="I744" t="s">
        <v>2156</v>
      </c>
      <c r="J744" t="s">
        <v>2157</v>
      </c>
      <c r="K744" t="s">
        <v>55</v>
      </c>
      <c r="L744" t="s">
        <v>2158</v>
      </c>
      <c r="M744" t="s">
        <v>57</v>
      </c>
      <c r="N744" t="str">
        <f>"050765"</f>
        <v>050765</v>
      </c>
      <c r="O744" t="s">
        <v>58</v>
      </c>
      <c r="P744" t="s">
        <v>68</v>
      </c>
      <c r="Q744" t="s">
        <v>68</v>
      </c>
      <c r="R744" t="s">
        <v>68</v>
      </c>
      <c r="S744" t="s">
        <v>217</v>
      </c>
    </row>
    <row r="745" spans="1:19" x14ac:dyDescent="0.35">
      <c r="A745">
        <v>48462</v>
      </c>
      <c r="B745" t="str">
        <f>"048462"</f>
        <v>048462</v>
      </c>
      <c r="C745" t="s">
        <v>3284</v>
      </c>
      <c r="D745" t="s">
        <v>49</v>
      </c>
      <c r="E745" t="s">
        <v>50</v>
      </c>
      <c r="F745" t="s">
        <v>51</v>
      </c>
      <c r="G745" t="s">
        <v>406</v>
      </c>
      <c r="H745" t="s">
        <v>3285</v>
      </c>
      <c r="I745" t="s">
        <v>3286</v>
      </c>
      <c r="J745" t="s">
        <v>3287</v>
      </c>
      <c r="K745" t="s">
        <v>55</v>
      </c>
      <c r="L745" t="s">
        <v>3288</v>
      </c>
      <c r="M745" t="s">
        <v>57</v>
      </c>
      <c r="N745" t="str">
        <f>"048454"</f>
        <v>048454</v>
      </c>
      <c r="O745" t="s">
        <v>410</v>
      </c>
      <c r="P745" t="s">
        <v>76</v>
      </c>
      <c r="Q745">
        <v>31.9</v>
      </c>
      <c r="R745">
        <v>6.5999999999999943</v>
      </c>
      <c r="S745" t="s">
        <v>77</v>
      </c>
    </row>
    <row r="746" spans="1:19" x14ac:dyDescent="0.35">
      <c r="A746">
        <v>200101</v>
      </c>
      <c r="B746" t="str">
        <f>"200101"</f>
        <v>200101</v>
      </c>
      <c r="C746" t="s">
        <v>3289</v>
      </c>
      <c r="D746" t="s">
        <v>49</v>
      </c>
      <c r="E746" t="s">
        <v>62</v>
      </c>
      <c r="F746" t="s">
        <v>51</v>
      </c>
      <c r="G746" t="s">
        <v>71</v>
      </c>
      <c r="H746" t="s">
        <v>2989</v>
      </c>
      <c r="I746" t="s">
        <v>2990</v>
      </c>
      <c r="J746" t="s">
        <v>447</v>
      </c>
      <c r="K746" t="s">
        <v>55</v>
      </c>
      <c r="L746" t="s">
        <v>448</v>
      </c>
      <c r="M746" t="s">
        <v>57</v>
      </c>
      <c r="N746" t="str">
        <f>"N/A"</f>
        <v>N/A</v>
      </c>
      <c r="O746" t="s">
        <v>49</v>
      </c>
      <c r="P746" t="s">
        <v>68</v>
      </c>
      <c r="Q746" t="s">
        <v>68</v>
      </c>
      <c r="R746" t="s">
        <v>68</v>
      </c>
      <c r="S746" t="s">
        <v>77</v>
      </c>
    </row>
    <row r="747" spans="1:19" x14ac:dyDescent="0.35">
      <c r="A747">
        <v>44438</v>
      </c>
      <c r="B747" t="str">
        <f>"044438"</f>
        <v>044438</v>
      </c>
      <c r="C747" t="s">
        <v>3290</v>
      </c>
      <c r="D747" t="s">
        <v>49</v>
      </c>
      <c r="E747" t="s">
        <v>50</v>
      </c>
      <c r="F747" t="s">
        <v>51</v>
      </c>
      <c r="G747" t="s">
        <v>271</v>
      </c>
      <c r="H747" t="s">
        <v>3291</v>
      </c>
      <c r="I747" t="s">
        <v>3292</v>
      </c>
      <c r="J747" t="s">
        <v>3293</v>
      </c>
      <c r="K747" t="s">
        <v>55</v>
      </c>
      <c r="L747" t="s">
        <v>3294</v>
      </c>
      <c r="M747" t="s">
        <v>57</v>
      </c>
      <c r="N747" t="str">
        <f>"050765"</f>
        <v>050765</v>
      </c>
      <c r="O747" t="s">
        <v>58</v>
      </c>
      <c r="P747" t="s">
        <v>84</v>
      </c>
      <c r="Q747">
        <v>34.299999999999997</v>
      </c>
      <c r="R747">
        <v>16.599999999999994</v>
      </c>
      <c r="S747" t="s">
        <v>156</v>
      </c>
    </row>
    <row r="748" spans="1:19" x14ac:dyDescent="0.35">
      <c r="A748">
        <v>44891</v>
      </c>
      <c r="B748" t="str">
        <f>"044891"</f>
        <v>044891</v>
      </c>
      <c r="C748" t="s">
        <v>3295</v>
      </c>
      <c r="D748" t="s">
        <v>49</v>
      </c>
      <c r="E748" t="s">
        <v>50</v>
      </c>
      <c r="F748" t="s">
        <v>51</v>
      </c>
      <c r="G748" t="s">
        <v>1296</v>
      </c>
      <c r="H748" t="s">
        <v>3296</v>
      </c>
      <c r="I748" t="s">
        <v>3297</v>
      </c>
      <c r="J748" t="s">
        <v>1299</v>
      </c>
      <c r="K748" t="s">
        <v>55</v>
      </c>
      <c r="L748" t="s">
        <v>1300</v>
      </c>
      <c r="M748" t="s">
        <v>57</v>
      </c>
      <c r="N748" t="str">
        <f>"050765"</f>
        <v>050765</v>
      </c>
      <c r="O748" t="s">
        <v>58</v>
      </c>
      <c r="P748" t="s">
        <v>84</v>
      </c>
      <c r="Q748">
        <v>45.6</v>
      </c>
      <c r="R748">
        <v>14.099999999999994</v>
      </c>
      <c r="S748" t="s">
        <v>156</v>
      </c>
    </row>
    <row r="749" spans="1:19" x14ac:dyDescent="0.35">
      <c r="A749">
        <v>50559</v>
      </c>
      <c r="B749" t="str">
        <f>"050559"</f>
        <v>050559</v>
      </c>
      <c r="C749" t="s">
        <v>2579</v>
      </c>
      <c r="D749" t="s">
        <v>49</v>
      </c>
      <c r="E749" t="s">
        <v>50</v>
      </c>
      <c r="F749" t="s">
        <v>51</v>
      </c>
      <c r="G749" t="s">
        <v>187</v>
      </c>
      <c r="H749" t="s">
        <v>3298</v>
      </c>
      <c r="I749" t="s">
        <v>3299</v>
      </c>
      <c r="J749" t="s">
        <v>397</v>
      </c>
      <c r="K749" t="s">
        <v>55</v>
      </c>
      <c r="L749" t="s">
        <v>398</v>
      </c>
      <c r="M749" t="s">
        <v>57</v>
      </c>
      <c r="N749" t="str">
        <f>"050526"</f>
        <v>050526</v>
      </c>
      <c r="O749" t="s">
        <v>192</v>
      </c>
      <c r="P749" t="s">
        <v>84</v>
      </c>
      <c r="Q749">
        <v>25.7</v>
      </c>
      <c r="R749">
        <v>11.5</v>
      </c>
      <c r="S749" t="s">
        <v>77</v>
      </c>
    </row>
    <row r="750" spans="1:19" x14ac:dyDescent="0.35">
      <c r="A750">
        <v>48512</v>
      </c>
      <c r="B750" t="str">
        <f>"048512"</f>
        <v>048512</v>
      </c>
      <c r="C750" t="s">
        <v>3300</v>
      </c>
      <c r="D750" t="s">
        <v>49</v>
      </c>
      <c r="E750" t="s">
        <v>50</v>
      </c>
      <c r="F750" t="s">
        <v>51</v>
      </c>
      <c r="G750" t="s">
        <v>966</v>
      </c>
      <c r="H750" t="s">
        <v>3301</v>
      </c>
      <c r="I750" t="s">
        <v>3302</v>
      </c>
      <c r="J750" t="s">
        <v>3303</v>
      </c>
      <c r="K750" t="s">
        <v>55</v>
      </c>
      <c r="L750" t="s">
        <v>3304</v>
      </c>
      <c r="M750" t="s">
        <v>57</v>
      </c>
      <c r="N750" t="str">
        <f>"135145"</f>
        <v>135145</v>
      </c>
      <c r="O750" t="s">
        <v>503</v>
      </c>
      <c r="P750" t="s">
        <v>76</v>
      </c>
      <c r="Q750">
        <v>38.9</v>
      </c>
      <c r="R750">
        <v>3.0999999999999943</v>
      </c>
      <c r="S750" t="s">
        <v>130</v>
      </c>
    </row>
    <row r="751" spans="1:19" x14ac:dyDescent="0.35">
      <c r="A751">
        <v>51458</v>
      </c>
      <c r="B751" t="str">
        <f>"051458"</f>
        <v>051458</v>
      </c>
      <c r="C751" t="s">
        <v>3305</v>
      </c>
      <c r="D751" t="s">
        <v>49</v>
      </c>
      <c r="E751" t="s">
        <v>163</v>
      </c>
      <c r="F751" t="s">
        <v>51</v>
      </c>
      <c r="G751" t="s">
        <v>400</v>
      </c>
      <c r="H751" t="s">
        <v>2747</v>
      </c>
      <c r="I751" t="s">
        <v>2748</v>
      </c>
      <c r="J751" t="s">
        <v>2749</v>
      </c>
      <c r="K751" t="s">
        <v>55</v>
      </c>
      <c r="L751" t="s">
        <v>2750</v>
      </c>
      <c r="M751" t="s">
        <v>57</v>
      </c>
      <c r="N751" t="str">
        <f>"050765"</f>
        <v>050765</v>
      </c>
      <c r="O751" t="s">
        <v>58</v>
      </c>
      <c r="P751" t="s">
        <v>68</v>
      </c>
      <c r="Q751" t="s">
        <v>68</v>
      </c>
      <c r="R751" t="s">
        <v>68</v>
      </c>
      <c r="S751" t="s">
        <v>156</v>
      </c>
    </row>
    <row r="752" spans="1:19" x14ac:dyDescent="0.35">
      <c r="A752">
        <v>43885</v>
      </c>
      <c r="B752" t="str">
        <f>"043885"</f>
        <v>043885</v>
      </c>
      <c r="C752" t="s">
        <v>3306</v>
      </c>
      <c r="D752" t="s">
        <v>49</v>
      </c>
      <c r="E752" t="s">
        <v>50</v>
      </c>
      <c r="F752" t="s">
        <v>51</v>
      </c>
      <c r="G752" t="s">
        <v>1193</v>
      </c>
      <c r="H752" t="s">
        <v>3307</v>
      </c>
      <c r="I752" t="s">
        <v>3308</v>
      </c>
      <c r="J752" t="s">
        <v>3309</v>
      </c>
      <c r="K752" t="s">
        <v>55</v>
      </c>
      <c r="L752" t="s">
        <v>3310</v>
      </c>
      <c r="M752" t="s">
        <v>57</v>
      </c>
      <c r="N752" t="str">
        <f>"050765"</f>
        <v>050765</v>
      </c>
      <c r="O752" t="s">
        <v>58</v>
      </c>
      <c r="P752" t="s">
        <v>84</v>
      </c>
      <c r="Q752">
        <v>50.2</v>
      </c>
      <c r="R752">
        <v>12.299999999999997</v>
      </c>
      <c r="S752" t="s">
        <v>156</v>
      </c>
    </row>
    <row r="753" spans="1:19" x14ac:dyDescent="0.35">
      <c r="A753">
        <v>45328</v>
      </c>
      <c r="B753" t="str">
        <f>"045328"</f>
        <v>045328</v>
      </c>
      <c r="C753" t="s">
        <v>3311</v>
      </c>
      <c r="D753" t="s">
        <v>49</v>
      </c>
      <c r="E753" t="s">
        <v>50</v>
      </c>
      <c r="F753" t="s">
        <v>51</v>
      </c>
      <c r="G753" t="s">
        <v>536</v>
      </c>
      <c r="H753" t="s">
        <v>3312</v>
      </c>
      <c r="I753" t="s">
        <v>3313</v>
      </c>
      <c r="J753" t="s">
        <v>536</v>
      </c>
      <c r="K753" t="s">
        <v>55</v>
      </c>
      <c r="L753" t="s">
        <v>2227</v>
      </c>
      <c r="M753" t="s">
        <v>57</v>
      </c>
      <c r="N753" t="str">
        <f>"048280"</f>
        <v>048280</v>
      </c>
      <c r="O753" t="s">
        <v>388</v>
      </c>
      <c r="P753" t="s">
        <v>84</v>
      </c>
      <c r="Q753">
        <v>21.7</v>
      </c>
      <c r="R753">
        <v>7.2000000000000028</v>
      </c>
      <c r="S753" t="s">
        <v>77</v>
      </c>
    </row>
    <row r="754" spans="1:19" x14ac:dyDescent="0.35">
      <c r="A754">
        <v>44552</v>
      </c>
      <c r="B754" t="str">
        <f>"044552"</f>
        <v>044552</v>
      </c>
      <c r="C754" t="s">
        <v>3314</v>
      </c>
      <c r="D754" t="s">
        <v>49</v>
      </c>
      <c r="E754" t="s">
        <v>50</v>
      </c>
      <c r="F754" t="s">
        <v>51</v>
      </c>
      <c r="G754" t="s">
        <v>264</v>
      </c>
      <c r="H754" t="s">
        <v>3315</v>
      </c>
      <c r="I754" t="s">
        <v>3316</v>
      </c>
      <c r="J754" t="s">
        <v>3317</v>
      </c>
      <c r="K754" t="s">
        <v>55</v>
      </c>
      <c r="L754" t="s">
        <v>2559</v>
      </c>
      <c r="M754" t="s">
        <v>57</v>
      </c>
      <c r="N754" t="str">
        <f>"050765"</f>
        <v>050765</v>
      </c>
      <c r="O754" t="s">
        <v>58</v>
      </c>
      <c r="P754" t="s">
        <v>84</v>
      </c>
      <c r="Q754">
        <v>37.4</v>
      </c>
      <c r="R754">
        <v>8.4000000000000057</v>
      </c>
      <c r="S754" t="s">
        <v>77</v>
      </c>
    </row>
    <row r="755" spans="1:19" x14ac:dyDescent="0.35">
      <c r="A755">
        <v>44909</v>
      </c>
      <c r="B755" t="str">
        <f>"044909"</f>
        <v>044909</v>
      </c>
      <c r="C755" t="s">
        <v>3318</v>
      </c>
      <c r="D755" t="s">
        <v>49</v>
      </c>
      <c r="E755" t="s">
        <v>50</v>
      </c>
      <c r="F755" t="s">
        <v>51</v>
      </c>
      <c r="G755" t="s">
        <v>200</v>
      </c>
      <c r="H755" t="s">
        <v>3319</v>
      </c>
      <c r="I755" t="s">
        <v>2034</v>
      </c>
      <c r="J755" t="s">
        <v>304</v>
      </c>
      <c r="K755" t="s">
        <v>55</v>
      </c>
      <c r="L755" t="s">
        <v>3170</v>
      </c>
      <c r="M755" t="s">
        <v>57</v>
      </c>
      <c r="N755" t="str">
        <f>"050765"</f>
        <v>050765</v>
      </c>
      <c r="O755" t="s">
        <v>58</v>
      </c>
      <c r="P755" t="s">
        <v>281</v>
      </c>
      <c r="Q755">
        <v>86.7</v>
      </c>
      <c r="R755">
        <v>72.900000000000006</v>
      </c>
      <c r="S755" t="s">
        <v>156</v>
      </c>
    </row>
    <row r="756" spans="1:19" x14ac:dyDescent="0.35">
      <c r="A756">
        <v>50120</v>
      </c>
      <c r="B756" t="str">
        <f>"050120"</f>
        <v>050120</v>
      </c>
      <c r="C756" t="s">
        <v>3320</v>
      </c>
      <c r="D756" t="s">
        <v>49</v>
      </c>
      <c r="E756" t="s">
        <v>50</v>
      </c>
      <c r="F756" t="s">
        <v>51</v>
      </c>
      <c r="G756" t="s">
        <v>169</v>
      </c>
      <c r="H756" t="s">
        <v>3321</v>
      </c>
      <c r="I756" t="s">
        <v>3322</v>
      </c>
      <c r="J756" t="s">
        <v>3323</v>
      </c>
      <c r="K756" t="s">
        <v>55</v>
      </c>
      <c r="L756" t="s">
        <v>3324</v>
      </c>
      <c r="M756" t="s">
        <v>57</v>
      </c>
      <c r="N756" t="str">
        <f>"050088"</f>
        <v>050088</v>
      </c>
      <c r="O756" t="s">
        <v>416</v>
      </c>
      <c r="P756" t="s">
        <v>84</v>
      </c>
      <c r="Q756">
        <v>53.3</v>
      </c>
      <c r="R756">
        <v>9.7000000000000028</v>
      </c>
      <c r="S756" t="s">
        <v>77</v>
      </c>
    </row>
    <row r="757" spans="1:19" x14ac:dyDescent="0.35">
      <c r="A757">
        <v>44388</v>
      </c>
      <c r="B757" t="str">
        <f>"044388"</f>
        <v>044388</v>
      </c>
      <c r="C757" t="s">
        <v>3325</v>
      </c>
      <c r="D757" t="s">
        <v>49</v>
      </c>
      <c r="E757" t="s">
        <v>50</v>
      </c>
      <c r="F757" t="s">
        <v>51</v>
      </c>
      <c r="G757" t="s">
        <v>406</v>
      </c>
      <c r="H757" t="s">
        <v>3326</v>
      </c>
      <c r="I757" t="s">
        <v>3327</v>
      </c>
      <c r="J757" t="s">
        <v>406</v>
      </c>
      <c r="K757" t="s">
        <v>55</v>
      </c>
      <c r="L757" t="s">
        <v>409</v>
      </c>
      <c r="M757" t="s">
        <v>57</v>
      </c>
      <c r="N757" t="str">
        <f>"050765"</f>
        <v>050765</v>
      </c>
      <c r="O757" t="s">
        <v>58</v>
      </c>
      <c r="P757" t="s">
        <v>59</v>
      </c>
      <c r="Q757">
        <v>17.2</v>
      </c>
      <c r="R757">
        <v>14.299999999999997</v>
      </c>
      <c r="S757" t="s">
        <v>77</v>
      </c>
    </row>
    <row r="758" spans="1:19" x14ac:dyDescent="0.35">
      <c r="A758">
        <v>49510</v>
      </c>
      <c r="B758" t="str">
        <f>"049510"</f>
        <v>049510</v>
      </c>
      <c r="C758" t="s">
        <v>3328</v>
      </c>
      <c r="D758" t="s">
        <v>49</v>
      </c>
      <c r="E758" t="s">
        <v>50</v>
      </c>
      <c r="F758" t="s">
        <v>51</v>
      </c>
      <c r="G758" t="s">
        <v>318</v>
      </c>
      <c r="H758" t="s">
        <v>3329</v>
      </c>
      <c r="I758" t="s">
        <v>3330</v>
      </c>
      <c r="J758" t="s">
        <v>3331</v>
      </c>
      <c r="K758" t="s">
        <v>55</v>
      </c>
      <c r="L758" t="s">
        <v>3332</v>
      </c>
      <c r="M758" t="s">
        <v>57</v>
      </c>
      <c r="N758" t="str">
        <f>"138222"</f>
        <v>138222</v>
      </c>
      <c r="O758" t="s">
        <v>323</v>
      </c>
      <c r="P758" t="s">
        <v>76</v>
      </c>
      <c r="Q758">
        <v>98.2</v>
      </c>
      <c r="R758">
        <v>4.2999999999999972</v>
      </c>
      <c r="S758" t="s">
        <v>130</v>
      </c>
    </row>
    <row r="759" spans="1:19" x14ac:dyDescent="0.35">
      <c r="A759">
        <v>45443</v>
      </c>
      <c r="B759" t="str">
        <f>"045443"</f>
        <v>045443</v>
      </c>
      <c r="C759" t="s">
        <v>3333</v>
      </c>
      <c r="D759" t="s">
        <v>49</v>
      </c>
      <c r="E759" t="s">
        <v>50</v>
      </c>
      <c r="F759" t="s">
        <v>51</v>
      </c>
      <c r="G759" t="s">
        <v>536</v>
      </c>
      <c r="H759" t="s">
        <v>3334</v>
      </c>
      <c r="I759" t="s">
        <v>3335</v>
      </c>
      <c r="J759" t="s">
        <v>3336</v>
      </c>
      <c r="K759" t="s">
        <v>55</v>
      </c>
      <c r="L759" t="s">
        <v>3337</v>
      </c>
      <c r="M759" t="s">
        <v>57</v>
      </c>
      <c r="N759" t="str">
        <f>"050765"</f>
        <v>050765</v>
      </c>
      <c r="O759" t="s">
        <v>58</v>
      </c>
      <c r="P759" t="s">
        <v>76</v>
      </c>
      <c r="Q759">
        <v>50.4</v>
      </c>
      <c r="R759">
        <v>3.2999999999999972</v>
      </c>
      <c r="S759" t="s">
        <v>77</v>
      </c>
    </row>
    <row r="760" spans="1:19" x14ac:dyDescent="0.35">
      <c r="A760">
        <v>48629</v>
      </c>
      <c r="B760" t="str">
        <f>"048629"</f>
        <v>048629</v>
      </c>
      <c r="C760" t="s">
        <v>3338</v>
      </c>
      <c r="D760" t="s">
        <v>49</v>
      </c>
      <c r="E760" t="s">
        <v>50</v>
      </c>
      <c r="F760" t="s">
        <v>51</v>
      </c>
      <c r="G760" t="s">
        <v>325</v>
      </c>
      <c r="H760" t="s">
        <v>3339</v>
      </c>
      <c r="I760" t="s">
        <v>3340</v>
      </c>
      <c r="J760" t="s">
        <v>3341</v>
      </c>
      <c r="K760" t="s">
        <v>55</v>
      </c>
      <c r="L760" t="s">
        <v>3342</v>
      </c>
      <c r="M760" t="s">
        <v>57</v>
      </c>
      <c r="N760" t="str">
        <f>"048603"</f>
        <v>048603</v>
      </c>
      <c r="O760" t="s">
        <v>2174</v>
      </c>
      <c r="P760" t="s">
        <v>76</v>
      </c>
      <c r="Q760">
        <v>13.7</v>
      </c>
      <c r="R760">
        <v>4.0999999999999943</v>
      </c>
      <c r="S760" t="s">
        <v>180</v>
      </c>
    </row>
    <row r="761" spans="1:19" x14ac:dyDescent="0.35">
      <c r="A761">
        <v>200077</v>
      </c>
      <c r="B761" t="str">
        <f>"200077"</f>
        <v>200077</v>
      </c>
      <c r="C761" t="s">
        <v>3343</v>
      </c>
      <c r="D761" t="s">
        <v>49</v>
      </c>
      <c r="E761" t="s">
        <v>62</v>
      </c>
      <c r="F761" t="s">
        <v>51</v>
      </c>
      <c r="G761" t="s">
        <v>194</v>
      </c>
      <c r="H761" t="s">
        <v>3344</v>
      </c>
      <c r="I761" t="s">
        <v>3345</v>
      </c>
      <c r="J761" t="s">
        <v>197</v>
      </c>
      <c r="K761" t="s">
        <v>55</v>
      </c>
      <c r="L761" t="s">
        <v>198</v>
      </c>
      <c r="M761" t="s">
        <v>57</v>
      </c>
      <c r="N761" t="str">
        <f>"N/A"</f>
        <v>N/A</v>
      </c>
      <c r="O761" t="s">
        <v>49</v>
      </c>
      <c r="P761" t="s">
        <v>68</v>
      </c>
      <c r="Q761" t="s">
        <v>68</v>
      </c>
      <c r="R761" t="s">
        <v>68</v>
      </c>
      <c r="S761" t="s">
        <v>130</v>
      </c>
    </row>
    <row r="762" spans="1:19" x14ac:dyDescent="0.35">
      <c r="A762">
        <v>44859</v>
      </c>
      <c r="B762" t="str">
        <f>"044859"</f>
        <v>044859</v>
      </c>
      <c r="C762" t="s">
        <v>3346</v>
      </c>
      <c r="D762" t="s">
        <v>49</v>
      </c>
      <c r="E762" t="s">
        <v>50</v>
      </c>
      <c r="F762" t="s">
        <v>51</v>
      </c>
      <c r="G762" t="s">
        <v>383</v>
      </c>
      <c r="H762" t="s">
        <v>3347</v>
      </c>
      <c r="I762" t="s">
        <v>3348</v>
      </c>
      <c r="J762" t="s">
        <v>3349</v>
      </c>
      <c r="K762" t="s">
        <v>55</v>
      </c>
      <c r="L762" t="s">
        <v>3350</v>
      </c>
      <c r="M762" t="s">
        <v>57</v>
      </c>
      <c r="N762" t="str">
        <f>"050765"</f>
        <v>050765</v>
      </c>
      <c r="O762" t="s">
        <v>58</v>
      </c>
      <c r="P762" t="s">
        <v>84</v>
      </c>
      <c r="Q762">
        <v>79.5</v>
      </c>
      <c r="R762">
        <v>28.299999999999997</v>
      </c>
      <c r="S762" t="s">
        <v>77</v>
      </c>
    </row>
    <row r="763" spans="1:19" x14ac:dyDescent="0.35">
      <c r="A763">
        <v>43901</v>
      </c>
      <c r="B763" t="str">
        <f>"043901"</f>
        <v>043901</v>
      </c>
      <c r="C763" t="s">
        <v>3351</v>
      </c>
      <c r="D763" t="s">
        <v>49</v>
      </c>
      <c r="E763" t="s">
        <v>50</v>
      </c>
      <c r="F763" t="s">
        <v>51</v>
      </c>
      <c r="G763" t="s">
        <v>63</v>
      </c>
      <c r="H763" t="s">
        <v>1234</v>
      </c>
      <c r="I763" t="s">
        <v>1235</v>
      </c>
      <c r="J763" t="s">
        <v>1236</v>
      </c>
      <c r="K763" t="s">
        <v>55</v>
      </c>
      <c r="L763" t="s">
        <v>1237</v>
      </c>
      <c r="M763" t="s">
        <v>57</v>
      </c>
      <c r="N763" t="str">
        <f>"050765"</f>
        <v>050765</v>
      </c>
      <c r="O763" t="s">
        <v>58</v>
      </c>
      <c r="P763" t="s">
        <v>281</v>
      </c>
      <c r="Q763">
        <v>100</v>
      </c>
      <c r="R763">
        <v>100</v>
      </c>
      <c r="S763" t="s">
        <v>69</v>
      </c>
    </row>
    <row r="764" spans="1:19" x14ac:dyDescent="0.35">
      <c r="A764">
        <v>45294</v>
      </c>
      <c r="B764" t="str">
        <f>"045294"</f>
        <v>045294</v>
      </c>
      <c r="C764" t="s">
        <v>3352</v>
      </c>
      <c r="D764" t="s">
        <v>49</v>
      </c>
      <c r="E764" t="s">
        <v>50</v>
      </c>
      <c r="F764" t="s">
        <v>51</v>
      </c>
      <c r="G764" t="s">
        <v>1335</v>
      </c>
      <c r="H764" t="s">
        <v>3353</v>
      </c>
      <c r="I764" t="s">
        <v>3354</v>
      </c>
      <c r="J764" t="s">
        <v>1338</v>
      </c>
      <c r="K764" t="s">
        <v>55</v>
      </c>
      <c r="L764" t="s">
        <v>1339</v>
      </c>
      <c r="M764" t="s">
        <v>57</v>
      </c>
      <c r="N764" t="str">
        <f>"050765"</f>
        <v>050765</v>
      </c>
      <c r="O764" t="s">
        <v>58</v>
      </c>
      <c r="P764" t="s">
        <v>76</v>
      </c>
      <c r="Q764">
        <v>46.6</v>
      </c>
      <c r="R764">
        <v>6.5</v>
      </c>
      <c r="S764" t="s">
        <v>130</v>
      </c>
    </row>
    <row r="765" spans="1:19" x14ac:dyDescent="0.35">
      <c r="A765">
        <v>46482</v>
      </c>
      <c r="B765" t="str">
        <f>"046482"</f>
        <v>046482</v>
      </c>
      <c r="C765" t="s">
        <v>3355</v>
      </c>
      <c r="D765" t="s">
        <v>49</v>
      </c>
      <c r="E765" t="s">
        <v>50</v>
      </c>
      <c r="F765" t="s">
        <v>51</v>
      </c>
      <c r="G765" t="s">
        <v>1613</v>
      </c>
      <c r="H765" t="s">
        <v>3356</v>
      </c>
      <c r="I765" t="s">
        <v>3357</v>
      </c>
      <c r="J765" t="s">
        <v>3358</v>
      </c>
      <c r="K765" t="s">
        <v>55</v>
      </c>
      <c r="L765" t="s">
        <v>3359</v>
      </c>
      <c r="M765" t="s">
        <v>57</v>
      </c>
      <c r="N765" t="str">
        <f>"125252"</f>
        <v>125252</v>
      </c>
      <c r="O765" t="s">
        <v>90</v>
      </c>
      <c r="P765" t="s">
        <v>76</v>
      </c>
      <c r="Q765">
        <v>50.3</v>
      </c>
      <c r="R765">
        <v>6</v>
      </c>
      <c r="S765" t="s">
        <v>130</v>
      </c>
    </row>
    <row r="766" spans="1:19" x14ac:dyDescent="0.35">
      <c r="A766">
        <v>46805</v>
      </c>
      <c r="B766" t="str">
        <f>"046805"</f>
        <v>046805</v>
      </c>
      <c r="C766" t="s">
        <v>3360</v>
      </c>
      <c r="D766" t="s">
        <v>49</v>
      </c>
      <c r="E766" t="s">
        <v>50</v>
      </c>
      <c r="F766" t="s">
        <v>51</v>
      </c>
      <c r="G766" t="s">
        <v>759</v>
      </c>
      <c r="H766" t="s">
        <v>3361</v>
      </c>
      <c r="I766" t="s">
        <v>3362</v>
      </c>
      <c r="J766" t="s">
        <v>3363</v>
      </c>
      <c r="K766" t="s">
        <v>55</v>
      </c>
      <c r="L766" t="s">
        <v>3364</v>
      </c>
      <c r="M766" t="s">
        <v>57</v>
      </c>
      <c r="N766" t="str">
        <f>"125690"</f>
        <v>125690</v>
      </c>
      <c r="O766" t="s">
        <v>262</v>
      </c>
      <c r="P766" t="s">
        <v>76</v>
      </c>
      <c r="Q766">
        <v>29.1</v>
      </c>
      <c r="R766">
        <v>7.7000000000000028</v>
      </c>
      <c r="S766" t="s">
        <v>69</v>
      </c>
    </row>
    <row r="767" spans="1:19" x14ac:dyDescent="0.35">
      <c r="A767">
        <v>200082</v>
      </c>
      <c r="B767" t="str">
        <f>"200082"</f>
        <v>200082</v>
      </c>
      <c r="C767" t="s">
        <v>3365</v>
      </c>
      <c r="D767" t="s">
        <v>49</v>
      </c>
      <c r="E767" t="s">
        <v>62</v>
      </c>
      <c r="F767" t="s">
        <v>51</v>
      </c>
      <c r="G767" t="s">
        <v>663</v>
      </c>
      <c r="H767" t="s">
        <v>3366</v>
      </c>
      <c r="I767" t="s">
        <v>3367</v>
      </c>
      <c r="J767" t="s">
        <v>666</v>
      </c>
      <c r="K767" t="s">
        <v>55</v>
      </c>
      <c r="L767" t="s">
        <v>1605</v>
      </c>
      <c r="M767" t="s">
        <v>57</v>
      </c>
      <c r="N767" t="str">
        <f>"N/A"</f>
        <v>N/A</v>
      </c>
      <c r="O767" t="s">
        <v>49</v>
      </c>
      <c r="P767" t="s">
        <v>68</v>
      </c>
      <c r="Q767" t="s">
        <v>68</v>
      </c>
      <c r="R767" t="s">
        <v>68</v>
      </c>
      <c r="S767" t="s">
        <v>77</v>
      </c>
    </row>
    <row r="768" spans="1:19" x14ac:dyDescent="0.35">
      <c r="A768">
        <v>44271</v>
      </c>
      <c r="B768" t="str">
        <f>"044271"</f>
        <v>044271</v>
      </c>
      <c r="C768" t="s">
        <v>3368</v>
      </c>
      <c r="D768" t="s">
        <v>49</v>
      </c>
      <c r="E768" t="s">
        <v>50</v>
      </c>
      <c r="F768" t="s">
        <v>51</v>
      </c>
      <c r="G768" t="s">
        <v>212</v>
      </c>
      <c r="H768" t="s">
        <v>3369</v>
      </c>
      <c r="I768" t="s">
        <v>3370</v>
      </c>
      <c r="J768" t="s">
        <v>3371</v>
      </c>
      <c r="K768" t="s">
        <v>55</v>
      </c>
      <c r="L768" t="s">
        <v>3372</v>
      </c>
      <c r="M768" t="s">
        <v>57</v>
      </c>
      <c r="N768" t="str">
        <f>"050765"</f>
        <v>050765</v>
      </c>
      <c r="O768" t="s">
        <v>58</v>
      </c>
      <c r="P768" t="s">
        <v>59</v>
      </c>
      <c r="Q768">
        <v>13.6</v>
      </c>
      <c r="R768">
        <v>13.299999999999997</v>
      </c>
      <c r="S768" t="s">
        <v>217</v>
      </c>
    </row>
    <row r="769" spans="1:19" x14ac:dyDescent="0.35">
      <c r="A769">
        <v>45641</v>
      </c>
      <c r="B769" t="str">
        <f>"045641"</f>
        <v>045641</v>
      </c>
      <c r="C769" t="s">
        <v>3373</v>
      </c>
      <c r="D769" t="s">
        <v>49</v>
      </c>
      <c r="E769" t="s">
        <v>50</v>
      </c>
      <c r="F769" t="s">
        <v>51</v>
      </c>
      <c r="G769" t="s">
        <v>344</v>
      </c>
      <c r="H769" t="s">
        <v>3374</v>
      </c>
      <c r="I769" t="s">
        <v>3375</v>
      </c>
      <c r="J769" t="s">
        <v>3376</v>
      </c>
      <c r="K769" t="s">
        <v>55</v>
      </c>
      <c r="L769" t="s">
        <v>3377</v>
      </c>
      <c r="M769" t="s">
        <v>57</v>
      </c>
      <c r="N769" t="str">
        <f>"124297"</f>
        <v>124297</v>
      </c>
      <c r="O769" t="s">
        <v>349</v>
      </c>
      <c r="P769" t="s">
        <v>84</v>
      </c>
      <c r="Q769">
        <v>33.5</v>
      </c>
      <c r="R769">
        <v>27.900000000000006</v>
      </c>
      <c r="S769" t="s">
        <v>156</v>
      </c>
    </row>
    <row r="770" spans="1:19" x14ac:dyDescent="0.35">
      <c r="A770">
        <v>49973</v>
      </c>
      <c r="B770" t="str">
        <f>"049973"</f>
        <v>049973</v>
      </c>
      <c r="C770" t="s">
        <v>3378</v>
      </c>
      <c r="D770" t="s">
        <v>49</v>
      </c>
      <c r="E770" t="s">
        <v>50</v>
      </c>
      <c r="F770" t="s">
        <v>51</v>
      </c>
      <c r="G770" t="s">
        <v>264</v>
      </c>
      <c r="H770" t="s">
        <v>3379</v>
      </c>
      <c r="I770" t="s">
        <v>3380</v>
      </c>
      <c r="J770" t="s">
        <v>3381</v>
      </c>
      <c r="K770" t="s">
        <v>55</v>
      </c>
      <c r="L770" t="s">
        <v>3382</v>
      </c>
      <c r="M770" t="s">
        <v>57</v>
      </c>
      <c r="N770" t="str">
        <f>"049965"</f>
        <v>049965</v>
      </c>
      <c r="O770" t="s">
        <v>269</v>
      </c>
      <c r="P770" t="s">
        <v>59</v>
      </c>
      <c r="Q770">
        <v>44.4</v>
      </c>
      <c r="R770">
        <v>38.9</v>
      </c>
      <c r="S770" t="s">
        <v>77</v>
      </c>
    </row>
    <row r="771" spans="1:19" x14ac:dyDescent="0.35">
      <c r="A771">
        <v>50070</v>
      </c>
      <c r="B771" t="str">
        <f>"050070"</f>
        <v>050070</v>
      </c>
      <c r="C771" t="s">
        <v>3383</v>
      </c>
      <c r="D771" t="s">
        <v>49</v>
      </c>
      <c r="E771" t="s">
        <v>50</v>
      </c>
      <c r="F771" t="s">
        <v>51</v>
      </c>
      <c r="G771" t="s">
        <v>264</v>
      </c>
      <c r="H771" t="s">
        <v>3384</v>
      </c>
      <c r="I771" t="s">
        <v>3385</v>
      </c>
      <c r="J771" t="s">
        <v>3386</v>
      </c>
      <c r="K771" t="s">
        <v>55</v>
      </c>
      <c r="L771" t="s">
        <v>3387</v>
      </c>
      <c r="M771" t="s">
        <v>57</v>
      </c>
      <c r="N771" t="str">
        <f>"050765"</f>
        <v>050765</v>
      </c>
      <c r="O771" t="s">
        <v>58</v>
      </c>
      <c r="P771" t="s">
        <v>59</v>
      </c>
      <c r="Q771">
        <v>19</v>
      </c>
      <c r="R771">
        <v>47.2</v>
      </c>
      <c r="S771" t="s">
        <v>77</v>
      </c>
    </row>
    <row r="772" spans="1:19" x14ac:dyDescent="0.35">
      <c r="A772">
        <v>47852</v>
      </c>
      <c r="B772" t="str">
        <f>"047852"</f>
        <v>047852</v>
      </c>
      <c r="C772" t="s">
        <v>3388</v>
      </c>
      <c r="D772" t="s">
        <v>49</v>
      </c>
      <c r="E772" t="s">
        <v>50</v>
      </c>
      <c r="F772" t="s">
        <v>51</v>
      </c>
      <c r="G772" t="s">
        <v>901</v>
      </c>
      <c r="H772" t="s">
        <v>3389</v>
      </c>
      <c r="I772" t="s">
        <v>3390</v>
      </c>
      <c r="J772" t="s">
        <v>3391</v>
      </c>
      <c r="K772" t="s">
        <v>55</v>
      </c>
      <c r="L772" t="s">
        <v>3392</v>
      </c>
      <c r="M772" t="s">
        <v>57</v>
      </c>
      <c r="N772" t="str">
        <f>"047811"</f>
        <v>047811</v>
      </c>
      <c r="O772" t="s">
        <v>934</v>
      </c>
      <c r="P772" t="s">
        <v>76</v>
      </c>
      <c r="Q772">
        <v>26.9</v>
      </c>
      <c r="R772">
        <v>6</v>
      </c>
      <c r="S772" t="s">
        <v>60</v>
      </c>
    </row>
    <row r="773" spans="1:19" x14ac:dyDescent="0.35">
      <c r="A773">
        <v>59</v>
      </c>
      <c r="B773" t="str">
        <f>"000059"</f>
        <v>000059</v>
      </c>
      <c r="C773" t="s">
        <v>3393</v>
      </c>
      <c r="D773" t="s">
        <v>3394</v>
      </c>
      <c r="E773" t="s">
        <v>3395</v>
      </c>
      <c r="F773" t="s">
        <v>3396</v>
      </c>
      <c r="G773" t="s">
        <v>878</v>
      </c>
      <c r="H773" t="s">
        <v>1395</v>
      </c>
      <c r="I773" t="s">
        <v>1396</v>
      </c>
      <c r="J773" t="s">
        <v>1397</v>
      </c>
      <c r="K773" t="s">
        <v>55</v>
      </c>
      <c r="L773" t="s">
        <v>1398</v>
      </c>
      <c r="M773" t="s">
        <v>57</v>
      </c>
      <c r="N773" t="str">
        <f>"045187"</f>
        <v>045187</v>
      </c>
      <c r="O773" t="s">
        <v>1394</v>
      </c>
      <c r="P773" t="s">
        <v>68</v>
      </c>
      <c r="Q773">
        <v>43.1</v>
      </c>
      <c r="R773">
        <v>13.299999999999997</v>
      </c>
      <c r="S773" t="s">
        <v>156</v>
      </c>
    </row>
    <row r="774" spans="1:19" x14ac:dyDescent="0.35">
      <c r="A774">
        <v>67</v>
      </c>
      <c r="B774" t="str">
        <f>"000067"</f>
        <v>000067</v>
      </c>
      <c r="C774" t="s">
        <v>3397</v>
      </c>
      <c r="D774" t="s">
        <v>3398</v>
      </c>
      <c r="E774" t="s">
        <v>3395</v>
      </c>
      <c r="F774" t="s">
        <v>3396</v>
      </c>
      <c r="G774" t="s">
        <v>878</v>
      </c>
      <c r="H774" t="s">
        <v>1395</v>
      </c>
      <c r="I774" t="s">
        <v>1396</v>
      </c>
      <c r="J774" t="s">
        <v>1397</v>
      </c>
      <c r="K774" t="s">
        <v>55</v>
      </c>
      <c r="L774" t="s">
        <v>1398</v>
      </c>
      <c r="M774" t="s">
        <v>57</v>
      </c>
      <c r="N774" t="str">
        <f>"045187"</f>
        <v>045187</v>
      </c>
      <c r="O774" t="s">
        <v>1394</v>
      </c>
      <c r="P774" t="s">
        <v>68</v>
      </c>
      <c r="Q774">
        <v>43.3</v>
      </c>
      <c r="R774">
        <v>8.7999999999999972</v>
      </c>
      <c r="S774" t="s">
        <v>156</v>
      </c>
    </row>
    <row r="775" spans="1:19" x14ac:dyDescent="0.35">
      <c r="A775">
        <v>83</v>
      </c>
      <c r="B775" t="str">
        <f>"000083"</f>
        <v>000083</v>
      </c>
      <c r="C775" t="s">
        <v>3399</v>
      </c>
      <c r="D775" t="s">
        <v>3400</v>
      </c>
      <c r="E775" t="s">
        <v>3395</v>
      </c>
      <c r="F775" t="s">
        <v>3396</v>
      </c>
      <c r="G775" t="s">
        <v>759</v>
      </c>
      <c r="H775" t="s">
        <v>3401</v>
      </c>
      <c r="I775" t="s">
        <v>3402</v>
      </c>
      <c r="J775" t="s">
        <v>400</v>
      </c>
      <c r="K775" t="s">
        <v>55</v>
      </c>
      <c r="L775" t="s">
        <v>762</v>
      </c>
      <c r="M775" t="s">
        <v>57</v>
      </c>
      <c r="N775" t="str">
        <f>"044743"</f>
        <v>044743</v>
      </c>
      <c r="O775" t="s">
        <v>2663</v>
      </c>
      <c r="P775" t="s">
        <v>68</v>
      </c>
      <c r="Q775">
        <v>100</v>
      </c>
      <c r="R775">
        <v>64.3</v>
      </c>
      <c r="S775" t="s">
        <v>69</v>
      </c>
    </row>
    <row r="776" spans="1:19" x14ac:dyDescent="0.35">
      <c r="A776">
        <v>117</v>
      </c>
      <c r="B776" t="str">
        <f>"000117"</f>
        <v>000117</v>
      </c>
      <c r="C776" t="s">
        <v>3403</v>
      </c>
      <c r="D776" t="s">
        <v>3394</v>
      </c>
      <c r="E776" t="s">
        <v>3395</v>
      </c>
      <c r="F776" t="s">
        <v>3396</v>
      </c>
      <c r="G776" t="s">
        <v>674</v>
      </c>
      <c r="H776" t="s">
        <v>3404</v>
      </c>
      <c r="I776" t="s">
        <v>3405</v>
      </c>
      <c r="J776" t="s">
        <v>3406</v>
      </c>
      <c r="K776" t="s">
        <v>55</v>
      </c>
      <c r="L776" t="s">
        <v>3407</v>
      </c>
      <c r="M776" t="s">
        <v>57</v>
      </c>
      <c r="N776" t="str">
        <f>"048876"</f>
        <v>048876</v>
      </c>
      <c r="O776" t="s">
        <v>3162</v>
      </c>
      <c r="P776" t="s">
        <v>68</v>
      </c>
      <c r="Q776">
        <v>49.5</v>
      </c>
      <c r="R776">
        <v>7.9000000000000057</v>
      </c>
      <c r="S776" t="s">
        <v>130</v>
      </c>
    </row>
    <row r="777" spans="1:19" x14ac:dyDescent="0.35">
      <c r="A777">
        <v>141</v>
      </c>
      <c r="B777" t="str">
        <f>"000141"</f>
        <v>000141</v>
      </c>
      <c r="C777" t="s">
        <v>3408</v>
      </c>
      <c r="D777" t="s">
        <v>3394</v>
      </c>
      <c r="E777" t="s">
        <v>3395</v>
      </c>
      <c r="F777" t="s">
        <v>3396</v>
      </c>
      <c r="G777" t="s">
        <v>861</v>
      </c>
      <c r="H777" t="s">
        <v>3409</v>
      </c>
      <c r="I777" t="s">
        <v>3410</v>
      </c>
      <c r="J777" t="s">
        <v>864</v>
      </c>
      <c r="K777" t="s">
        <v>55</v>
      </c>
      <c r="L777" t="s">
        <v>865</v>
      </c>
      <c r="M777" t="s">
        <v>57</v>
      </c>
      <c r="N777" t="str">
        <f>"065680"</f>
        <v>065680</v>
      </c>
      <c r="O777" t="s">
        <v>1755</v>
      </c>
      <c r="P777" t="s">
        <v>68</v>
      </c>
      <c r="Q777">
        <v>100</v>
      </c>
      <c r="R777">
        <v>3.7000000000000028</v>
      </c>
      <c r="S777" t="s">
        <v>130</v>
      </c>
    </row>
    <row r="778" spans="1:19" x14ac:dyDescent="0.35">
      <c r="A778">
        <v>190</v>
      </c>
      <c r="B778" t="str">
        <f>"000190"</f>
        <v>000190</v>
      </c>
      <c r="C778" t="s">
        <v>3411</v>
      </c>
      <c r="D778" t="s">
        <v>3394</v>
      </c>
      <c r="E778" t="s">
        <v>3395</v>
      </c>
      <c r="F778" t="s">
        <v>3396</v>
      </c>
      <c r="G778" t="s">
        <v>135</v>
      </c>
      <c r="H778" t="s">
        <v>3412</v>
      </c>
      <c r="I778" t="s">
        <v>3413</v>
      </c>
      <c r="J778" t="s">
        <v>3414</v>
      </c>
      <c r="K778" t="s">
        <v>55</v>
      </c>
      <c r="L778" t="s">
        <v>3415</v>
      </c>
      <c r="M778" t="s">
        <v>57</v>
      </c>
      <c r="N778" t="str">
        <f>"047787"</f>
        <v>047787</v>
      </c>
      <c r="O778" t="s">
        <v>742</v>
      </c>
      <c r="P778" t="s">
        <v>68</v>
      </c>
      <c r="Q778">
        <v>62.9</v>
      </c>
      <c r="R778">
        <v>2.2999999999999972</v>
      </c>
      <c r="S778" t="s">
        <v>130</v>
      </c>
    </row>
    <row r="779" spans="1:19" x14ac:dyDescent="0.35">
      <c r="A779">
        <v>208</v>
      </c>
      <c r="B779" t="str">
        <f>"000208"</f>
        <v>000208</v>
      </c>
      <c r="C779" t="s">
        <v>3416</v>
      </c>
      <c r="D779" t="s">
        <v>3398</v>
      </c>
      <c r="E779" t="s">
        <v>3395</v>
      </c>
      <c r="F779" t="s">
        <v>3396</v>
      </c>
      <c r="G779" t="s">
        <v>318</v>
      </c>
      <c r="H779" t="s">
        <v>390</v>
      </c>
      <c r="I779" t="s">
        <v>391</v>
      </c>
      <c r="J779" t="s">
        <v>392</v>
      </c>
      <c r="K779" t="s">
        <v>55</v>
      </c>
      <c r="L779" t="s">
        <v>393</v>
      </c>
      <c r="M779" t="s">
        <v>57</v>
      </c>
      <c r="N779" t="str">
        <f>"049494"</f>
        <v>049494</v>
      </c>
      <c r="O779" t="s">
        <v>389</v>
      </c>
      <c r="P779" t="s">
        <v>68</v>
      </c>
      <c r="Q779">
        <v>40</v>
      </c>
      <c r="R779">
        <v>6.7000000000000028</v>
      </c>
      <c r="S779" t="s">
        <v>130</v>
      </c>
    </row>
    <row r="780" spans="1:19" x14ac:dyDescent="0.35">
      <c r="A780">
        <v>224</v>
      </c>
      <c r="B780" t="str">
        <f>"000224"</f>
        <v>000224</v>
      </c>
      <c r="C780" t="s">
        <v>3417</v>
      </c>
      <c r="D780" t="s">
        <v>3394</v>
      </c>
      <c r="E780" t="s">
        <v>3395</v>
      </c>
      <c r="F780" t="s">
        <v>3396</v>
      </c>
      <c r="G780" t="s">
        <v>63</v>
      </c>
      <c r="H780" t="s">
        <v>3418</v>
      </c>
      <c r="I780" t="s">
        <v>3419</v>
      </c>
      <c r="J780" t="s">
        <v>285</v>
      </c>
      <c r="K780" t="s">
        <v>55</v>
      </c>
      <c r="L780" t="s">
        <v>3032</v>
      </c>
      <c r="M780" t="s">
        <v>57</v>
      </c>
      <c r="N780" t="str">
        <f>"043786"</f>
        <v>043786</v>
      </c>
      <c r="O780" t="s">
        <v>1340</v>
      </c>
      <c r="P780" t="s">
        <v>68</v>
      </c>
      <c r="Q780">
        <v>100</v>
      </c>
      <c r="R780">
        <v>100</v>
      </c>
      <c r="S780" t="s">
        <v>69</v>
      </c>
    </row>
    <row r="781" spans="1:19" x14ac:dyDescent="0.35">
      <c r="A781">
        <v>232</v>
      </c>
      <c r="B781" t="str">
        <f>"000232"</f>
        <v>000232</v>
      </c>
      <c r="C781" t="s">
        <v>3420</v>
      </c>
      <c r="D781" t="s">
        <v>3394</v>
      </c>
      <c r="E781" t="s">
        <v>3395</v>
      </c>
      <c r="F781" t="s">
        <v>3396</v>
      </c>
      <c r="G781" t="s">
        <v>63</v>
      </c>
      <c r="H781" t="s">
        <v>3421</v>
      </c>
      <c r="I781" t="s">
        <v>3422</v>
      </c>
      <c r="J781" t="s">
        <v>3423</v>
      </c>
      <c r="K781" t="s">
        <v>55</v>
      </c>
      <c r="L781" t="s">
        <v>3424</v>
      </c>
      <c r="M781" t="s">
        <v>57</v>
      </c>
      <c r="N781" t="str">
        <f>"044792"</f>
        <v>044792</v>
      </c>
      <c r="O781" t="s">
        <v>2331</v>
      </c>
      <c r="P781" t="s">
        <v>68</v>
      </c>
      <c r="Q781">
        <v>68.099999999999994</v>
      </c>
      <c r="R781">
        <v>93.1</v>
      </c>
      <c r="S781" t="s">
        <v>69</v>
      </c>
    </row>
    <row r="782" spans="1:19" x14ac:dyDescent="0.35">
      <c r="A782">
        <v>257</v>
      </c>
      <c r="B782" t="str">
        <f>"000257"</f>
        <v>000257</v>
      </c>
      <c r="C782" t="s">
        <v>3425</v>
      </c>
      <c r="D782" t="s">
        <v>3394</v>
      </c>
      <c r="E782" t="s">
        <v>3395</v>
      </c>
      <c r="F782" t="s">
        <v>3396</v>
      </c>
      <c r="G782" t="s">
        <v>493</v>
      </c>
      <c r="H782" t="s">
        <v>3426</v>
      </c>
      <c r="I782" t="s">
        <v>3427</v>
      </c>
      <c r="J782" t="s">
        <v>3113</v>
      </c>
      <c r="K782" t="s">
        <v>55</v>
      </c>
      <c r="L782" t="s">
        <v>3114</v>
      </c>
      <c r="M782" t="s">
        <v>57</v>
      </c>
      <c r="N782" t="str">
        <f>"045906"</f>
        <v>045906</v>
      </c>
      <c r="O782" t="s">
        <v>3110</v>
      </c>
      <c r="P782" t="s">
        <v>68</v>
      </c>
      <c r="Q782">
        <v>42.9</v>
      </c>
      <c r="R782">
        <v>4.4000000000000057</v>
      </c>
      <c r="S782" t="s">
        <v>130</v>
      </c>
    </row>
    <row r="783" spans="1:19" x14ac:dyDescent="0.35">
      <c r="A783">
        <v>265</v>
      </c>
      <c r="B783" t="str">
        <f>"000265"</f>
        <v>000265</v>
      </c>
      <c r="C783" t="s">
        <v>3428</v>
      </c>
      <c r="D783" t="s">
        <v>3394</v>
      </c>
      <c r="E783" t="s">
        <v>3395</v>
      </c>
      <c r="F783" t="s">
        <v>3396</v>
      </c>
      <c r="G783" t="s">
        <v>63</v>
      </c>
      <c r="H783" t="s">
        <v>3429</v>
      </c>
      <c r="I783" t="s">
        <v>3430</v>
      </c>
      <c r="J783" t="s">
        <v>452</v>
      </c>
      <c r="K783" t="s">
        <v>55</v>
      </c>
      <c r="L783" t="s">
        <v>453</v>
      </c>
      <c r="M783" t="s">
        <v>57</v>
      </c>
      <c r="N783" t="str">
        <f>"044545"</f>
        <v>044545</v>
      </c>
      <c r="O783" t="s">
        <v>449</v>
      </c>
      <c r="P783" t="s">
        <v>68</v>
      </c>
      <c r="Q783">
        <v>17.100000000000001</v>
      </c>
      <c r="R783">
        <v>18.099999999999994</v>
      </c>
      <c r="S783" t="s">
        <v>69</v>
      </c>
    </row>
    <row r="784" spans="1:19" x14ac:dyDescent="0.35">
      <c r="A784">
        <v>315</v>
      </c>
      <c r="B784" t="str">
        <f>"000315"</f>
        <v>000315</v>
      </c>
      <c r="C784" t="s">
        <v>3431</v>
      </c>
      <c r="D784" t="s">
        <v>3398</v>
      </c>
      <c r="E784" t="s">
        <v>3395</v>
      </c>
      <c r="F784" t="s">
        <v>3396</v>
      </c>
      <c r="G784" t="s">
        <v>493</v>
      </c>
      <c r="H784" t="s">
        <v>3432</v>
      </c>
      <c r="I784" t="s">
        <v>3433</v>
      </c>
      <c r="J784" t="s">
        <v>3113</v>
      </c>
      <c r="K784" t="s">
        <v>55</v>
      </c>
      <c r="L784" t="s">
        <v>3114</v>
      </c>
      <c r="M784" t="s">
        <v>57</v>
      </c>
      <c r="N784" t="str">
        <f>"045906"</f>
        <v>045906</v>
      </c>
      <c r="O784" t="s">
        <v>3110</v>
      </c>
      <c r="P784" t="s">
        <v>68</v>
      </c>
      <c r="Q784">
        <v>34.200000000000003</v>
      </c>
      <c r="R784">
        <v>2.7999999999999972</v>
      </c>
      <c r="S784" t="s">
        <v>130</v>
      </c>
    </row>
    <row r="785" spans="1:19" x14ac:dyDescent="0.35">
      <c r="A785">
        <v>349</v>
      </c>
      <c r="B785" t="str">
        <f>"000349"</f>
        <v>000349</v>
      </c>
      <c r="C785" t="s">
        <v>3434</v>
      </c>
      <c r="D785" t="s">
        <v>3400</v>
      </c>
      <c r="E785" t="s">
        <v>3395</v>
      </c>
      <c r="F785" t="s">
        <v>3396</v>
      </c>
      <c r="G785" t="s">
        <v>878</v>
      </c>
      <c r="H785" t="s">
        <v>3435</v>
      </c>
      <c r="I785" t="s">
        <v>3436</v>
      </c>
      <c r="J785" t="s">
        <v>3437</v>
      </c>
      <c r="K785" t="s">
        <v>55</v>
      </c>
      <c r="L785" t="s">
        <v>3191</v>
      </c>
      <c r="M785" t="s">
        <v>57</v>
      </c>
      <c r="N785" t="str">
        <f>"047522"</f>
        <v>047522</v>
      </c>
      <c r="O785" t="s">
        <v>3187</v>
      </c>
      <c r="P785" t="s">
        <v>68</v>
      </c>
      <c r="Q785">
        <v>66.7</v>
      </c>
      <c r="R785">
        <v>10.099999999999994</v>
      </c>
      <c r="S785" t="s">
        <v>156</v>
      </c>
    </row>
    <row r="786" spans="1:19" x14ac:dyDescent="0.35">
      <c r="A786">
        <v>356</v>
      </c>
      <c r="B786" t="str">
        <f>"000356"</f>
        <v>000356</v>
      </c>
      <c r="C786" t="s">
        <v>3438</v>
      </c>
      <c r="D786" t="s">
        <v>3394</v>
      </c>
      <c r="E786" t="s">
        <v>3395</v>
      </c>
      <c r="F786" t="s">
        <v>3396</v>
      </c>
      <c r="G786" t="s">
        <v>257</v>
      </c>
      <c r="H786" t="s">
        <v>3439</v>
      </c>
      <c r="I786" t="s">
        <v>3440</v>
      </c>
      <c r="J786" t="s">
        <v>3041</v>
      </c>
      <c r="K786" t="s">
        <v>55</v>
      </c>
      <c r="L786" t="s">
        <v>3042</v>
      </c>
      <c r="M786" t="s">
        <v>57</v>
      </c>
      <c r="N786" t="str">
        <f>"048942"</f>
        <v>048942</v>
      </c>
      <c r="O786" t="s">
        <v>3038</v>
      </c>
      <c r="P786" t="s">
        <v>68</v>
      </c>
      <c r="Q786">
        <v>31.4</v>
      </c>
      <c r="R786">
        <v>8.2999999999999972</v>
      </c>
      <c r="S786" t="s">
        <v>156</v>
      </c>
    </row>
    <row r="787" spans="1:19" x14ac:dyDescent="0.35">
      <c r="A787">
        <v>364</v>
      </c>
      <c r="B787" t="str">
        <f>"000364"</f>
        <v>000364</v>
      </c>
      <c r="C787" t="s">
        <v>3441</v>
      </c>
      <c r="D787" t="s">
        <v>3398</v>
      </c>
      <c r="E787" t="s">
        <v>3395</v>
      </c>
      <c r="F787" t="s">
        <v>3396</v>
      </c>
      <c r="G787" t="s">
        <v>1193</v>
      </c>
      <c r="H787" t="s">
        <v>2759</v>
      </c>
      <c r="I787" t="s">
        <v>2760</v>
      </c>
      <c r="J787" t="s">
        <v>2761</v>
      </c>
      <c r="K787" t="s">
        <v>55</v>
      </c>
      <c r="L787" t="s">
        <v>2762</v>
      </c>
      <c r="M787" t="s">
        <v>57</v>
      </c>
      <c r="N787" t="str">
        <f>"045757"</f>
        <v>045757</v>
      </c>
      <c r="O787" t="s">
        <v>2758</v>
      </c>
      <c r="P787" t="s">
        <v>68</v>
      </c>
      <c r="Q787">
        <v>27.3</v>
      </c>
      <c r="R787">
        <v>4.5</v>
      </c>
      <c r="S787" t="s">
        <v>156</v>
      </c>
    </row>
    <row r="788" spans="1:19" x14ac:dyDescent="0.35">
      <c r="A788">
        <v>406</v>
      </c>
      <c r="B788" t="str">
        <f>"000406"</f>
        <v>000406</v>
      </c>
      <c r="C788" t="s">
        <v>3442</v>
      </c>
      <c r="D788" t="s">
        <v>3394</v>
      </c>
      <c r="E788" t="s">
        <v>3395</v>
      </c>
      <c r="F788" t="s">
        <v>3396</v>
      </c>
      <c r="G788" t="s">
        <v>117</v>
      </c>
      <c r="H788" t="s">
        <v>3443</v>
      </c>
      <c r="I788" t="s">
        <v>3444</v>
      </c>
      <c r="J788" t="s">
        <v>1409</v>
      </c>
      <c r="K788" t="s">
        <v>55</v>
      </c>
      <c r="L788" t="s">
        <v>1986</v>
      </c>
      <c r="M788" t="s">
        <v>57</v>
      </c>
      <c r="N788" t="str">
        <f>"043711"</f>
        <v>043711</v>
      </c>
      <c r="O788" t="s">
        <v>3000</v>
      </c>
      <c r="P788" t="s">
        <v>68</v>
      </c>
      <c r="Q788">
        <v>100</v>
      </c>
      <c r="R788">
        <v>74</v>
      </c>
      <c r="S788" t="s">
        <v>77</v>
      </c>
    </row>
    <row r="789" spans="1:19" x14ac:dyDescent="0.35">
      <c r="A789">
        <v>448</v>
      </c>
      <c r="B789" t="str">
        <f>"000448"</f>
        <v>000448</v>
      </c>
      <c r="C789" t="s">
        <v>3445</v>
      </c>
      <c r="D789" t="s">
        <v>3394</v>
      </c>
      <c r="E789" t="s">
        <v>3395</v>
      </c>
      <c r="F789" t="s">
        <v>3396</v>
      </c>
      <c r="G789" t="s">
        <v>1193</v>
      </c>
      <c r="H789" t="s">
        <v>2759</v>
      </c>
      <c r="I789" t="s">
        <v>2760</v>
      </c>
      <c r="J789" t="s">
        <v>2761</v>
      </c>
      <c r="K789" t="s">
        <v>55</v>
      </c>
      <c r="L789" t="s">
        <v>2762</v>
      </c>
      <c r="M789" t="s">
        <v>57</v>
      </c>
      <c r="N789" t="str">
        <f>"045757"</f>
        <v>045757</v>
      </c>
      <c r="O789" t="s">
        <v>2758</v>
      </c>
      <c r="P789" t="s">
        <v>68</v>
      </c>
      <c r="Q789">
        <v>39.4</v>
      </c>
      <c r="R789">
        <v>6.7999999999999972</v>
      </c>
      <c r="S789" t="s">
        <v>156</v>
      </c>
    </row>
    <row r="790" spans="1:19" x14ac:dyDescent="0.35">
      <c r="A790">
        <v>455</v>
      </c>
      <c r="B790" t="str">
        <f>"000455"</f>
        <v>000455</v>
      </c>
      <c r="C790" t="s">
        <v>3446</v>
      </c>
      <c r="D790" t="s">
        <v>3394</v>
      </c>
      <c r="E790" t="s">
        <v>3395</v>
      </c>
      <c r="F790" t="s">
        <v>3396</v>
      </c>
      <c r="G790" t="s">
        <v>2992</v>
      </c>
      <c r="H790" t="s">
        <v>3447</v>
      </c>
      <c r="I790" t="s">
        <v>3448</v>
      </c>
      <c r="J790" t="s">
        <v>2995</v>
      </c>
      <c r="K790" t="s">
        <v>55</v>
      </c>
      <c r="L790" t="s">
        <v>2996</v>
      </c>
      <c r="M790" t="s">
        <v>57</v>
      </c>
      <c r="N790" t="str">
        <f>"050393"</f>
        <v>050393</v>
      </c>
      <c r="O790" t="s">
        <v>2991</v>
      </c>
      <c r="P790" t="s">
        <v>68</v>
      </c>
      <c r="Q790">
        <v>100</v>
      </c>
      <c r="R790">
        <v>3.5</v>
      </c>
      <c r="S790" t="s">
        <v>130</v>
      </c>
    </row>
    <row r="791" spans="1:19" x14ac:dyDescent="0.35">
      <c r="A791">
        <v>463</v>
      </c>
      <c r="B791" t="str">
        <f>"000463"</f>
        <v>000463</v>
      </c>
      <c r="C791" t="s">
        <v>3449</v>
      </c>
      <c r="D791" t="s">
        <v>3398</v>
      </c>
      <c r="E791" t="s">
        <v>3395</v>
      </c>
      <c r="F791" t="s">
        <v>3396</v>
      </c>
      <c r="G791" t="s">
        <v>117</v>
      </c>
      <c r="H791" t="s">
        <v>3450</v>
      </c>
      <c r="I791" t="s">
        <v>3451</v>
      </c>
      <c r="J791" t="s">
        <v>120</v>
      </c>
      <c r="K791" t="s">
        <v>55</v>
      </c>
      <c r="L791" t="s">
        <v>121</v>
      </c>
      <c r="M791" t="s">
        <v>57</v>
      </c>
      <c r="N791" t="str">
        <f>"043497"</f>
        <v>043497</v>
      </c>
      <c r="O791" t="s">
        <v>2889</v>
      </c>
      <c r="P791" t="s">
        <v>68</v>
      </c>
      <c r="Q791">
        <v>100</v>
      </c>
      <c r="R791">
        <v>29.200000000000003</v>
      </c>
      <c r="S791" t="s">
        <v>77</v>
      </c>
    </row>
    <row r="792" spans="1:19" x14ac:dyDescent="0.35">
      <c r="A792">
        <v>471</v>
      </c>
      <c r="B792" t="str">
        <f>"000471"</f>
        <v>000471</v>
      </c>
      <c r="C792" t="s">
        <v>3452</v>
      </c>
      <c r="D792" t="s">
        <v>3394</v>
      </c>
      <c r="E792" t="s">
        <v>3395</v>
      </c>
      <c r="F792" t="s">
        <v>3396</v>
      </c>
      <c r="G792" t="s">
        <v>212</v>
      </c>
      <c r="H792" t="s">
        <v>3453</v>
      </c>
      <c r="I792" t="s">
        <v>3454</v>
      </c>
      <c r="J792" t="s">
        <v>2325</v>
      </c>
      <c r="K792" t="s">
        <v>55</v>
      </c>
      <c r="L792" t="s">
        <v>2326</v>
      </c>
      <c r="M792" t="s">
        <v>57</v>
      </c>
      <c r="N792" t="str">
        <f>"044578"</f>
        <v>044578</v>
      </c>
      <c r="O792" t="s">
        <v>2322</v>
      </c>
      <c r="P792" t="s">
        <v>68</v>
      </c>
      <c r="Q792">
        <v>98.1</v>
      </c>
      <c r="R792">
        <v>41.4</v>
      </c>
      <c r="S792" t="s">
        <v>217</v>
      </c>
    </row>
    <row r="793" spans="1:19" x14ac:dyDescent="0.35">
      <c r="A793">
        <v>489</v>
      </c>
      <c r="B793" t="str">
        <f>"000489"</f>
        <v>000489</v>
      </c>
      <c r="C793" t="s">
        <v>3455</v>
      </c>
      <c r="D793" t="s">
        <v>3394</v>
      </c>
      <c r="E793" t="s">
        <v>3395</v>
      </c>
      <c r="F793" t="s">
        <v>3396</v>
      </c>
      <c r="G793" t="s">
        <v>63</v>
      </c>
      <c r="H793" t="s">
        <v>3456</v>
      </c>
      <c r="I793" t="s">
        <v>3457</v>
      </c>
      <c r="J793" t="s">
        <v>285</v>
      </c>
      <c r="K793" t="s">
        <v>55</v>
      </c>
      <c r="L793" t="s">
        <v>3458</v>
      </c>
      <c r="M793" t="s">
        <v>57</v>
      </c>
      <c r="N793" t="str">
        <f>"043786"</f>
        <v>043786</v>
      </c>
      <c r="O793" t="s">
        <v>1340</v>
      </c>
      <c r="P793" t="s">
        <v>68</v>
      </c>
      <c r="Q793">
        <v>100</v>
      </c>
      <c r="R793">
        <v>80.599999999999994</v>
      </c>
      <c r="S793" t="s">
        <v>69</v>
      </c>
    </row>
    <row r="794" spans="1:19" x14ac:dyDescent="0.35">
      <c r="A794">
        <v>497</v>
      </c>
      <c r="B794" t="str">
        <f>"000497"</f>
        <v>000497</v>
      </c>
      <c r="C794" t="s">
        <v>3459</v>
      </c>
      <c r="D794" t="s">
        <v>3394</v>
      </c>
      <c r="E794" t="s">
        <v>3395</v>
      </c>
      <c r="F794" t="s">
        <v>3396</v>
      </c>
      <c r="G794" t="s">
        <v>600</v>
      </c>
      <c r="H794" t="s">
        <v>3460</v>
      </c>
      <c r="I794" t="s">
        <v>3461</v>
      </c>
      <c r="J794" t="s">
        <v>1348</v>
      </c>
      <c r="K794" t="s">
        <v>55</v>
      </c>
      <c r="L794" t="s">
        <v>3462</v>
      </c>
      <c r="M794" t="s">
        <v>57</v>
      </c>
      <c r="N794" t="str">
        <f>"043802"</f>
        <v>043802</v>
      </c>
      <c r="O794" t="s">
        <v>3171</v>
      </c>
      <c r="P794" t="s">
        <v>68</v>
      </c>
      <c r="Q794">
        <v>100</v>
      </c>
      <c r="R794">
        <v>80.2</v>
      </c>
      <c r="S794" t="s">
        <v>60</v>
      </c>
    </row>
    <row r="795" spans="1:19" x14ac:dyDescent="0.35">
      <c r="A795">
        <v>505</v>
      </c>
      <c r="B795" t="str">
        <f>"000505"</f>
        <v>000505</v>
      </c>
      <c r="C795" t="s">
        <v>3463</v>
      </c>
      <c r="D795" t="s">
        <v>3394</v>
      </c>
      <c r="E795" t="s">
        <v>3395</v>
      </c>
      <c r="F795" t="s">
        <v>3396</v>
      </c>
      <c r="G795" t="s">
        <v>600</v>
      </c>
      <c r="H795" t="s">
        <v>3464</v>
      </c>
      <c r="I795" t="s">
        <v>3465</v>
      </c>
      <c r="J795" t="s">
        <v>3466</v>
      </c>
      <c r="K795" t="s">
        <v>55</v>
      </c>
      <c r="L795" t="s">
        <v>3467</v>
      </c>
      <c r="M795" t="s">
        <v>57</v>
      </c>
      <c r="N795" t="str">
        <f>"044800"</f>
        <v>044800</v>
      </c>
      <c r="O795" t="s">
        <v>1133</v>
      </c>
      <c r="P795" t="s">
        <v>68</v>
      </c>
      <c r="Q795">
        <v>56.6</v>
      </c>
      <c r="R795">
        <v>47.4</v>
      </c>
      <c r="S795" t="s">
        <v>60</v>
      </c>
    </row>
    <row r="796" spans="1:19" x14ac:dyDescent="0.35">
      <c r="A796">
        <v>513</v>
      </c>
      <c r="B796" t="str">
        <f>"000513"</f>
        <v>000513</v>
      </c>
      <c r="C796" t="s">
        <v>3468</v>
      </c>
      <c r="D796" t="s">
        <v>3398</v>
      </c>
      <c r="E796" t="s">
        <v>3395</v>
      </c>
      <c r="F796" t="s">
        <v>3396</v>
      </c>
      <c r="G796" t="s">
        <v>600</v>
      </c>
      <c r="H796" t="s">
        <v>3469</v>
      </c>
      <c r="I796" t="s">
        <v>3470</v>
      </c>
      <c r="J796" t="s">
        <v>1348</v>
      </c>
      <c r="K796" t="s">
        <v>55</v>
      </c>
      <c r="L796" t="s">
        <v>2733</v>
      </c>
      <c r="M796" t="s">
        <v>57</v>
      </c>
      <c r="N796" t="str">
        <f>"043802"</f>
        <v>043802</v>
      </c>
      <c r="O796" t="s">
        <v>3171</v>
      </c>
      <c r="P796" t="s">
        <v>68</v>
      </c>
      <c r="Q796">
        <v>100</v>
      </c>
      <c r="R796">
        <v>100</v>
      </c>
      <c r="S796" t="s">
        <v>60</v>
      </c>
    </row>
    <row r="797" spans="1:19" x14ac:dyDescent="0.35">
      <c r="A797">
        <v>539</v>
      </c>
      <c r="B797" t="str">
        <f>"000539"</f>
        <v>000539</v>
      </c>
      <c r="C797" t="s">
        <v>3471</v>
      </c>
      <c r="D797" t="s">
        <v>3394</v>
      </c>
      <c r="E797" t="s">
        <v>3395</v>
      </c>
      <c r="F797" t="s">
        <v>3396</v>
      </c>
      <c r="G797" t="s">
        <v>92</v>
      </c>
      <c r="H797" t="s">
        <v>418</v>
      </c>
      <c r="I797" t="s">
        <v>419</v>
      </c>
      <c r="J797" t="s">
        <v>420</v>
      </c>
      <c r="K797" t="s">
        <v>55</v>
      </c>
      <c r="L797" t="s">
        <v>421</v>
      </c>
      <c r="M797" t="s">
        <v>57</v>
      </c>
      <c r="N797" t="str">
        <f>"046847"</f>
        <v>046847</v>
      </c>
      <c r="O797" t="s">
        <v>417</v>
      </c>
      <c r="P797" t="s">
        <v>68</v>
      </c>
      <c r="Q797">
        <v>43.1</v>
      </c>
      <c r="R797">
        <v>4.2999999999999972</v>
      </c>
      <c r="S797" t="s">
        <v>60</v>
      </c>
    </row>
    <row r="798" spans="1:19" x14ac:dyDescent="0.35">
      <c r="A798">
        <v>547</v>
      </c>
      <c r="B798" t="str">
        <f>"000547"</f>
        <v>000547</v>
      </c>
      <c r="C798" t="s">
        <v>3472</v>
      </c>
      <c r="D798" t="s">
        <v>3394</v>
      </c>
      <c r="E798" t="s">
        <v>3395</v>
      </c>
      <c r="F798" t="s">
        <v>3396</v>
      </c>
      <c r="G798" t="s">
        <v>244</v>
      </c>
      <c r="H798" t="s">
        <v>3473</v>
      </c>
      <c r="I798" t="s">
        <v>3474</v>
      </c>
      <c r="J798" t="s">
        <v>1179</v>
      </c>
      <c r="K798" t="s">
        <v>55</v>
      </c>
      <c r="L798" t="s">
        <v>3475</v>
      </c>
      <c r="M798" t="s">
        <v>57</v>
      </c>
      <c r="N798" t="str">
        <f>"044404"</f>
        <v>044404</v>
      </c>
      <c r="O798" t="s">
        <v>1176</v>
      </c>
      <c r="P798" t="s">
        <v>68</v>
      </c>
      <c r="Q798">
        <v>100</v>
      </c>
      <c r="R798">
        <v>34.200000000000003</v>
      </c>
      <c r="S798" t="s">
        <v>217</v>
      </c>
    </row>
    <row r="799" spans="1:19" x14ac:dyDescent="0.35">
      <c r="A799">
        <v>562</v>
      </c>
      <c r="B799" t="str">
        <f>"000562"</f>
        <v>000562</v>
      </c>
      <c r="C799" t="s">
        <v>3476</v>
      </c>
      <c r="D799" t="s">
        <v>3398</v>
      </c>
      <c r="E799" t="s">
        <v>3395</v>
      </c>
      <c r="F799" t="s">
        <v>3396</v>
      </c>
      <c r="G799" t="s">
        <v>92</v>
      </c>
      <c r="H799" t="s">
        <v>418</v>
      </c>
      <c r="I799" t="s">
        <v>419</v>
      </c>
      <c r="J799" t="s">
        <v>420</v>
      </c>
      <c r="K799" t="s">
        <v>55</v>
      </c>
      <c r="L799" t="s">
        <v>421</v>
      </c>
      <c r="M799" t="s">
        <v>57</v>
      </c>
      <c r="N799" t="str">
        <f>"046847"</f>
        <v>046847</v>
      </c>
      <c r="O799" t="s">
        <v>417</v>
      </c>
      <c r="P799" t="s">
        <v>68</v>
      </c>
      <c r="Q799">
        <v>34</v>
      </c>
      <c r="R799">
        <v>3.7999999999999972</v>
      </c>
      <c r="S799" t="s">
        <v>60</v>
      </c>
    </row>
    <row r="800" spans="1:19" x14ac:dyDescent="0.35">
      <c r="A800">
        <v>596</v>
      </c>
      <c r="B800" t="str">
        <f>"000596"</f>
        <v>000596</v>
      </c>
      <c r="C800" t="s">
        <v>3477</v>
      </c>
      <c r="D800" t="s">
        <v>3394</v>
      </c>
      <c r="E800" t="s">
        <v>3395</v>
      </c>
      <c r="F800" t="s">
        <v>3396</v>
      </c>
      <c r="G800" t="s">
        <v>1041</v>
      </c>
      <c r="H800" t="s">
        <v>3478</v>
      </c>
      <c r="I800" t="s">
        <v>3479</v>
      </c>
      <c r="J800" t="s">
        <v>3480</v>
      </c>
      <c r="K800" t="s">
        <v>55</v>
      </c>
      <c r="L800" t="s">
        <v>3481</v>
      </c>
      <c r="M800" t="s">
        <v>57</v>
      </c>
      <c r="N800" t="str">
        <f>"046359"</f>
        <v>046359</v>
      </c>
      <c r="O800" t="s">
        <v>1040</v>
      </c>
      <c r="P800" t="s">
        <v>68</v>
      </c>
      <c r="Q800">
        <v>33.5</v>
      </c>
      <c r="R800">
        <v>12.400000000000006</v>
      </c>
      <c r="S800" t="s">
        <v>217</v>
      </c>
    </row>
    <row r="801" spans="1:19" x14ac:dyDescent="0.35">
      <c r="A801">
        <v>612</v>
      </c>
      <c r="B801" t="str">
        <f>"000612"</f>
        <v>000612</v>
      </c>
      <c r="C801" t="s">
        <v>3482</v>
      </c>
      <c r="D801" t="s">
        <v>3400</v>
      </c>
      <c r="E801" t="s">
        <v>3395</v>
      </c>
      <c r="F801" t="s">
        <v>3396</v>
      </c>
      <c r="G801" t="s">
        <v>1041</v>
      </c>
      <c r="H801" t="s">
        <v>3483</v>
      </c>
      <c r="I801" t="s">
        <v>3484</v>
      </c>
      <c r="J801" t="s">
        <v>2025</v>
      </c>
      <c r="K801" t="s">
        <v>55</v>
      </c>
      <c r="L801" t="s">
        <v>2026</v>
      </c>
      <c r="M801" t="s">
        <v>57</v>
      </c>
      <c r="N801" t="str">
        <f>"046359"</f>
        <v>046359</v>
      </c>
      <c r="O801" t="s">
        <v>1040</v>
      </c>
      <c r="P801" t="s">
        <v>68</v>
      </c>
      <c r="Q801">
        <v>36.9</v>
      </c>
      <c r="R801">
        <v>14.400000000000006</v>
      </c>
      <c r="S801" t="s">
        <v>217</v>
      </c>
    </row>
    <row r="802" spans="1:19" x14ac:dyDescent="0.35">
      <c r="A802">
        <v>620</v>
      </c>
      <c r="B802" t="str">
        <f>"000620"</f>
        <v>000620</v>
      </c>
      <c r="C802" t="s">
        <v>3485</v>
      </c>
      <c r="D802" t="s">
        <v>3394</v>
      </c>
      <c r="E802" t="s">
        <v>3395</v>
      </c>
      <c r="F802" t="s">
        <v>3396</v>
      </c>
      <c r="G802" t="s">
        <v>493</v>
      </c>
      <c r="H802" t="s">
        <v>3486</v>
      </c>
      <c r="I802" t="s">
        <v>3487</v>
      </c>
      <c r="J802" t="s">
        <v>3488</v>
      </c>
      <c r="K802" t="s">
        <v>55</v>
      </c>
      <c r="L802" t="s">
        <v>3489</v>
      </c>
      <c r="M802" t="s">
        <v>57</v>
      </c>
      <c r="N802" t="str">
        <f>"045914"</f>
        <v>045914</v>
      </c>
      <c r="O802" t="s">
        <v>2523</v>
      </c>
      <c r="P802" t="s">
        <v>68</v>
      </c>
      <c r="Q802">
        <v>100</v>
      </c>
      <c r="R802">
        <v>9.5</v>
      </c>
      <c r="S802" t="s">
        <v>130</v>
      </c>
    </row>
    <row r="803" spans="1:19" x14ac:dyDescent="0.35">
      <c r="A803">
        <v>638</v>
      </c>
      <c r="B803" t="str">
        <f>"000638"</f>
        <v>000638</v>
      </c>
      <c r="C803" t="s">
        <v>3490</v>
      </c>
      <c r="D803" t="s">
        <v>3394</v>
      </c>
      <c r="E803" t="s">
        <v>3395</v>
      </c>
      <c r="F803" t="s">
        <v>3396</v>
      </c>
      <c r="G803" t="s">
        <v>117</v>
      </c>
      <c r="H803" t="s">
        <v>3491</v>
      </c>
      <c r="I803" t="s">
        <v>3492</v>
      </c>
      <c r="J803" t="s">
        <v>977</v>
      </c>
      <c r="K803" t="s">
        <v>55</v>
      </c>
      <c r="L803" t="s">
        <v>978</v>
      </c>
      <c r="M803" t="s">
        <v>57</v>
      </c>
      <c r="N803" t="str">
        <f>"049858"</f>
        <v>049858</v>
      </c>
      <c r="O803" t="s">
        <v>2490</v>
      </c>
      <c r="P803" t="s">
        <v>68</v>
      </c>
      <c r="Q803">
        <v>39.5</v>
      </c>
      <c r="R803">
        <v>23.599999999999994</v>
      </c>
      <c r="S803" t="s">
        <v>77</v>
      </c>
    </row>
    <row r="804" spans="1:19" x14ac:dyDescent="0.35">
      <c r="A804">
        <v>653</v>
      </c>
      <c r="B804" t="str">
        <f>"000653"</f>
        <v>000653</v>
      </c>
      <c r="C804" t="s">
        <v>3493</v>
      </c>
      <c r="D804" t="s">
        <v>3394</v>
      </c>
      <c r="E804" t="s">
        <v>3395</v>
      </c>
      <c r="F804" t="s">
        <v>3396</v>
      </c>
      <c r="G804" t="s">
        <v>212</v>
      </c>
      <c r="H804" t="s">
        <v>3494</v>
      </c>
      <c r="I804" t="s">
        <v>3495</v>
      </c>
      <c r="J804" t="s">
        <v>215</v>
      </c>
      <c r="K804" t="s">
        <v>55</v>
      </c>
      <c r="L804" t="s">
        <v>1405</v>
      </c>
      <c r="M804" t="s">
        <v>57</v>
      </c>
      <c r="N804" t="str">
        <f>"043851"</f>
        <v>043851</v>
      </c>
      <c r="O804" t="s">
        <v>1402</v>
      </c>
      <c r="P804" t="s">
        <v>68</v>
      </c>
      <c r="Q804">
        <v>41.5</v>
      </c>
      <c r="R804">
        <v>27.700000000000003</v>
      </c>
      <c r="S804" t="s">
        <v>217</v>
      </c>
    </row>
    <row r="805" spans="1:19" x14ac:dyDescent="0.35">
      <c r="A805">
        <v>687</v>
      </c>
      <c r="B805" t="str">
        <f>"000687"</f>
        <v>000687</v>
      </c>
      <c r="C805" t="s">
        <v>3496</v>
      </c>
      <c r="D805" t="s">
        <v>3398</v>
      </c>
      <c r="E805" t="s">
        <v>3395</v>
      </c>
      <c r="F805" t="s">
        <v>3396</v>
      </c>
      <c r="G805" t="s">
        <v>212</v>
      </c>
      <c r="H805" t="s">
        <v>3497</v>
      </c>
      <c r="I805" t="s">
        <v>3498</v>
      </c>
      <c r="J805" t="s">
        <v>215</v>
      </c>
      <c r="K805" t="s">
        <v>55</v>
      </c>
      <c r="L805" t="s">
        <v>2514</v>
      </c>
      <c r="M805" t="s">
        <v>57</v>
      </c>
      <c r="N805" t="str">
        <f>"047340"</f>
        <v>047340</v>
      </c>
      <c r="O805" t="s">
        <v>2511</v>
      </c>
      <c r="P805" t="s">
        <v>68</v>
      </c>
      <c r="Q805">
        <v>13.2</v>
      </c>
      <c r="R805">
        <v>15.200000000000003</v>
      </c>
      <c r="S805" t="s">
        <v>217</v>
      </c>
    </row>
    <row r="806" spans="1:19" x14ac:dyDescent="0.35">
      <c r="A806">
        <v>711</v>
      </c>
      <c r="B806" t="str">
        <f>"000711"</f>
        <v>000711</v>
      </c>
      <c r="C806" t="s">
        <v>3499</v>
      </c>
      <c r="D806" t="s">
        <v>3394</v>
      </c>
      <c r="E806" t="s">
        <v>3395</v>
      </c>
      <c r="F806" t="s">
        <v>3396</v>
      </c>
      <c r="G806" t="s">
        <v>132</v>
      </c>
      <c r="H806" t="s">
        <v>3500</v>
      </c>
      <c r="I806" t="s">
        <v>3501</v>
      </c>
      <c r="J806" t="s">
        <v>3185</v>
      </c>
      <c r="K806" t="s">
        <v>55</v>
      </c>
      <c r="L806" t="s">
        <v>3186</v>
      </c>
      <c r="M806" t="s">
        <v>57</v>
      </c>
      <c r="N806" t="str">
        <f>"045880"</f>
        <v>045880</v>
      </c>
      <c r="O806" t="s">
        <v>3182</v>
      </c>
      <c r="P806" t="s">
        <v>68</v>
      </c>
      <c r="Q806">
        <v>50</v>
      </c>
      <c r="R806">
        <v>8.5999999999999943</v>
      </c>
      <c r="S806" t="s">
        <v>69</v>
      </c>
    </row>
    <row r="807" spans="1:19" x14ac:dyDescent="0.35">
      <c r="A807">
        <v>729</v>
      </c>
      <c r="B807" t="str">
        <f>"000729"</f>
        <v>000729</v>
      </c>
      <c r="C807" t="s">
        <v>3502</v>
      </c>
      <c r="D807" t="s">
        <v>3394</v>
      </c>
      <c r="E807" t="s">
        <v>3395</v>
      </c>
      <c r="F807" t="s">
        <v>3396</v>
      </c>
      <c r="G807" t="s">
        <v>63</v>
      </c>
      <c r="H807" t="s">
        <v>3503</v>
      </c>
      <c r="I807" t="s">
        <v>3504</v>
      </c>
      <c r="J807" t="s">
        <v>285</v>
      </c>
      <c r="K807" t="s">
        <v>55</v>
      </c>
      <c r="L807" t="s">
        <v>102</v>
      </c>
      <c r="M807" t="s">
        <v>57</v>
      </c>
      <c r="N807" t="str">
        <f>"043786"</f>
        <v>043786</v>
      </c>
      <c r="O807" t="s">
        <v>1340</v>
      </c>
      <c r="P807" t="s">
        <v>68</v>
      </c>
      <c r="Q807">
        <v>100</v>
      </c>
      <c r="R807">
        <v>97.1</v>
      </c>
      <c r="S807" t="s">
        <v>69</v>
      </c>
    </row>
    <row r="808" spans="1:19" x14ac:dyDescent="0.35">
      <c r="A808">
        <v>737</v>
      </c>
      <c r="B808" t="str">
        <f>"000737"</f>
        <v>000737</v>
      </c>
      <c r="C808" t="s">
        <v>3505</v>
      </c>
      <c r="D808" t="s">
        <v>3506</v>
      </c>
      <c r="E808" t="s">
        <v>3395</v>
      </c>
      <c r="F808" t="s">
        <v>3396</v>
      </c>
      <c r="G808" t="s">
        <v>117</v>
      </c>
      <c r="H808" t="s">
        <v>3507</v>
      </c>
      <c r="I808" t="s">
        <v>3508</v>
      </c>
      <c r="J808" t="s">
        <v>977</v>
      </c>
      <c r="K808" t="s">
        <v>55</v>
      </c>
      <c r="L808" t="s">
        <v>1779</v>
      </c>
      <c r="M808" t="s">
        <v>57</v>
      </c>
      <c r="N808" t="str">
        <f>"044354"</f>
        <v>044354</v>
      </c>
      <c r="O808" t="s">
        <v>974</v>
      </c>
      <c r="P808" t="s">
        <v>68</v>
      </c>
      <c r="Q808">
        <v>100</v>
      </c>
      <c r="R808">
        <v>35.200000000000003</v>
      </c>
      <c r="S808" t="s">
        <v>77</v>
      </c>
    </row>
    <row r="809" spans="1:19" x14ac:dyDescent="0.35">
      <c r="A809">
        <v>745</v>
      </c>
      <c r="B809" t="str">
        <f>"000745"</f>
        <v>000745</v>
      </c>
      <c r="C809" t="s">
        <v>26</v>
      </c>
      <c r="D809" t="s">
        <v>3394</v>
      </c>
      <c r="E809" t="s">
        <v>3395</v>
      </c>
      <c r="F809" t="s">
        <v>3396</v>
      </c>
      <c r="G809" t="s">
        <v>572</v>
      </c>
      <c r="H809" t="s">
        <v>3509</v>
      </c>
      <c r="I809" t="s">
        <v>3510</v>
      </c>
      <c r="J809" t="s">
        <v>2060</v>
      </c>
      <c r="K809" t="s">
        <v>55</v>
      </c>
      <c r="L809" t="s">
        <v>2061</v>
      </c>
      <c r="M809" t="s">
        <v>57</v>
      </c>
      <c r="N809" t="str">
        <f>"049759"</f>
        <v>049759</v>
      </c>
      <c r="O809" t="s">
        <v>2057</v>
      </c>
      <c r="P809" t="s">
        <v>68</v>
      </c>
      <c r="Q809">
        <v>15</v>
      </c>
      <c r="R809">
        <v>6.9000000000000057</v>
      </c>
      <c r="S809" t="s">
        <v>180</v>
      </c>
    </row>
    <row r="810" spans="1:19" x14ac:dyDescent="0.35">
      <c r="A810">
        <v>752</v>
      </c>
      <c r="B810" t="str">
        <f>"000752"</f>
        <v>000752</v>
      </c>
      <c r="C810" t="s">
        <v>3511</v>
      </c>
      <c r="D810" t="s">
        <v>3398</v>
      </c>
      <c r="E810" t="s">
        <v>3395</v>
      </c>
      <c r="F810" t="s">
        <v>3396</v>
      </c>
      <c r="G810" t="s">
        <v>572</v>
      </c>
      <c r="H810" t="s">
        <v>2058</v>
      </c>
      <c r="I810" t="s">
        <v>2059</v>
      </c>
      <c r="J810" t="s">
        <v>2060</v>
      </c>
      <c r="K810" t="s">
        <v>55</v>
      </c>
      <c r="L810" t="s">
        <v>2061</v>
      </c>
      <c r="M810" t="s">
        <v>57</v>
      </c>
      <c r="N810" t="str">
        <f>"049759"</f>
        <v>049759</v>
      </c>
      <c r="O810" t="s">
        <v>2057</v>
      </c>
      <c r="P810" t="s">
        <v>68</v>
      </c>
      <c r="Q810">
        <v>3.9</v>
      </c>
      <c r="R810">
        <v>4.2999999999999972</v>
      </c>
      <c r="S810" t="s">
        <v>180</v>
      </c>
    </row>
    <row r="811" spans="1:19" x14ac:dyDescent="0.35">
      <c r="A811">
        <v>760</v>
      </c>
      <c r="B811" t="str">
        <f>"000760"</f>
        <v>000760</v>
      </c>
      <c r="C811" t="s">
        <v>3512</v>
      </c>
      <c r="D811" t="s">
        <v>3394</v>
      </c>
      <c r="E811" t="s">
        <v>3395</v>
      </c>
      <c r="F811" t="s">
        <v>3396</v>
      </c>
      <c r="G811" t="s">
        <v>175</v>
      </c>
      <c r="H811" t="s">
        <v>3513</v>
      </c>
      <c r="I811" t="s">
        <v>3514</v>
      </c>
      <c r="J811" t="s">
        <v>379</v>
      </c>
      <c r="K811" t="s">
        <v>55</v>
      </c>
      <c r="L811" t="s">
        <v>380</v>
      </c>
      <c r="M811" t="s">
        <v>57</v>
      </c>
      <c r="N811" t="str">
        <f>"046623"</f>
        <v>046623</v>
      </c>
      <c r="O811" t="s">
        <v>376</v>
      </c>
      <c r="P811" t="s">
        <v>68</v>
      </c>
      <c r="Q811">
        <v>38.299999999999997</v>
      </c>
      <c r="R811">
        <v>4.4000000000000057</v>
      </c>
      <c r="S811" t="s">
        <v>180</v>
      </c>
    </row>
    <row r="812" spans="1:19" x14ac:dyDescent="0.35">
      <c r="A812">
        <v>778</v>
      </c>
      <c r="B812" t="str">
        <f>"000778"</f>
        <v>000778</v>
      </c>
      <c r="C812" t="s">
        <v>3515</v>
      </c>
      <c r="D812" t="s">
        <v>3398</v>
      </c>
      <c r="E812" t="s">
        <v>3395</v>
      </c>
      <c r="F812" t="s">
        <v>3396</v>
      </c>
      <c r="G812" t="s">
        <v>175</v>
      </c>
      <c r="H812" t="s">
        <v>3513</v>
      </c>
      <c r="I812" t="s">
        <v>3514</v>
      </c>
      <c r="J812" t="s">
        <v>379</v>
      </c>
      <c r="K812" t="s">
        <v>55</v>
      </c>
      <c r="L812" t="s">
        <v>380</v>
      </c>
      <c r="M812" t="s">
        <v>57</v>
      </c>
      <c r="N812" t="str">
        <f>"046623"</f>
        <v>046623</v>
      </c>
      <c r="O812" t="s">
        <v>376</v>
      </c>
      <c r="P812" t="s">
        <v>68</v>
      </c>
      <c r="Q812">
        <v>28.9</v>
      </c>
      <c r="R812">
        <v>3.4000000000000057</v>
      </c>
      <c r="S812" t="s">
        <v>180</v>
      </c>
    </row>
    <row r="813" spans="1:19" x14ac:dyDescent="0.35">
      <c r="A813">
        <v>802</v>
      </c>
      <c r="B813" t="str">
        <f>"000802"</f>
        <v>000802</v>
      </c>
      <c r="C813" t="s">
        <v>3516</v>
      </c>
      <c r="D813" t="s">
        <v>3394</v>
      </c>
      <c r="E813" t="s">
        <v>3395</v>
      </c>
      <c r="F813" t="s">
        <v>3396</v>
      </c>
      <c r="G813" t="s">
        <v>172</v>
      </c>
      <c r="H813" t="s">
        <v>3517</v>
      </c>
      <c r="I813" t="s">
        <v>3518</v>
      </c>
      <c r="J813" t="s">
        <v>600</v>
      </c>
      <c r="K813" t="s">
        <v>55</v>
      </c>
      <c r="L813" t="s">
        <v>939</v>
      </c>
      <c r="M813" t="s">
        <v>57</v>
      </c>
      <c r="N813" t="str">
        <f>"044008"</f>
        <v>044008</v>
      </c>
      <c r="O813" t="s">
        <v>1579</v>
      </c>
      <c r="P813" t="s">
        <v>68</v>
      </c>
      <c r="Q813">
        <v>67.599999999999994</v>
      </c>
      <c r="R813">
        <v>19.099999999999994</v>
      </c>
      <c r="S813" t="s">
        <v>217</v>
      </c>
    </row>
    <row r="814" spans="1:19" x14ac:dyDescent="0.35">
      <c r="A814">
        <v>810</v>
      </c>
      <c r="B814" t="str">
        <f>"000810"</f>
        <v>000810</v>
      </c>
      <c r="C814" t="s">
        <v>3519</v>
      </c>
      <c r="D814" t="s">
        <v>3398</v>
      </c>
      <c r="E814" t="s">
        <v>3395</v>
      </c>
      <c r="F814" t="s">
        <v>3396</v>
      </c>
      <c r="G814" t="s">
        <v>200</v>
      </c>
      <c r="H814" t="s">
        <v>3520</v>
      </c>
      <c r="I814" t="s">
        <v>3521</v>
      </c>
      <c r="J814" t="s">
        <v>2680</v>
      </c>
      <c r="K814" t="s">
        <v>55</v>
      </c>
      <c r="L814" t="s">
        <v>2681</v>
      </c>
      <c r="M814" t="s">
        <v>57</v>
      </c>
      <c r="N814" t="str">
        <f>"048207"</f>
        <v>048207</v>
      </c>
      <c r="O814" t="s">
        <v>2677</v>
      </c>
      <c r="P814" t="s">
        <v>68</v>
      </c>
      <c r="Q814">
        <v>10</v>
      </c>
      <c r="R814">
        <v>7.5</v>
      </c>
      <c r="S814" t="s">
        <v>156</v>
      </c>
    </row>
    <row r="815" spans="1:19" x14ac:dyDescent="0.35">
      <c r="A815">
        <v>828</v>
      </c>
      <c r="B815" t="str">
        <f>"000828"</f>
        <v>000828</v>
      </c>
      <c r="C815" t="s">
        <v>3522</v>
      </c>
      <c r="D815" t="s">
        <v>3394</v>
      </c>
      <c r="E815" t="s">
        <v>3395</v>
      </c>
      <c r="F815" t="s">
        <v>3396</v>
      </c>
      <c r="G815" t="s">
        <v>63</v>
      </c>
      <c r="H815" t="s">
        <v>3523</v>
      </c>
      <c r="I815" t="s">
        <v>3524</v>
      </c>
      <c r="J815" t="s">
        <v>285</v>
      </c>
      <c r="K815" t="s">
        <v>55</v>
      </c>
      <c r="L815" t="s">
        <v>3525</v>
      </c>
      <c r="M815" t="s">
        <v>57</v>
      </c>
      <c r="N815" t="str">
        <f>"043786"</f>
        <v>043786</v>
      </c>
      <c r="O815" t="s">
        <v>1340</v>
      </c>
      <c r="P815" t="s">
        <v>68</v>
      </c>
      <c r="Q815">
        <v>100</v>
      </c>
      <c r="R815">
        <v>100</v>
      </c>
      <c r="S815" t="s">
        <v>69</v>
      </c>
    </row>
    <row r="816" spans="1:19" x14ac:dyDescent="0.35">
      <c r="A816">
        <v>836</v>
      </c>
      <c r="B816" t="str">
        <f>"000836"</f>
        <v>000836</v>
      </c>
      <c r="C816" t="s">
        <v>3526</v>
      </c>
      <c r="D816" t="s">
        <v>3394</v>
      </c>
      <c r="E816" t="s">
        <v>3395</v>
      </c>
      <c r="F816" t="s">
        <v>3396</v>
      </c>
      <c r="G816" t="s">
        <v>434</v>
      </c>
      <c r="H816" t="s">
        <v>435</v>
      </c>
      <c r="I816" t="s">
        <v>436</v>
      </c>
      <c r="J816" t="s">
        <v>437</v>
      </c>
      <c r="K816" t="s">
        <v>55</v>
      </c>
      <c r="L816" t="s">
        <v>438</v>
      </c>
      <c r="M816" t="s">
        <v>57</v>
      </c>
      <c r="N816" t="str">
        <f>"048991"</f>
        <v>048991</v>
      </c>
      <c r="O816" t="s">
        <v>433</v>
      </c>
      <c r="P816" t="s">
        <v>68</v>
      </c>
      <c r="Q816">
        <v>31.3</v>
      </c>
      <c r="R816">
        <v>7.4000000000000057</v>
      </c>
      <c r="S816" t="s">
        <v>156</v>
      </c>
    </row>
    <row r="817" spans="1:19" x14ac:dyDescent="0.35">
      <c r="A817">
        <v>844</v>
      </c>
      <c r="B817" t="str">
        <f>"000844"</f>
        <v>000844</v>
      </c>
      <c r="C817" t="s">
        <v>3527</v>
      </c>
      <c r="D817" t="s">
        <v>3398</v>
      </c>
      <c r="E817" t="s">
        <v>3395</v>
      </c>
      <c r="F817" t="s">
        <v>3396</v>
      </c>
      <c r="G817" t="s">
        <v>434</v>
      </c>
      <c r="H817" t="s">
        <v>435</v>
      </c>
      <c r="I817" t="s">
        <v>436</v>
      </c>
      <c r="J817" t="s">
        <v>437</v>
      </c>
      <c r="K817" t="s">
        <v>55</v>
      </c>
      <c r="L817" t="s">
        <v>438</v>
      </c>
      <c r="M817" t="s">
        <v>57</v>
      </c>
      <c r="N817" t="str">
        <f>"048991"</f>
        <v>048991</v>
      </c>
      <c r="O817" t="s">
        <v>433</v>
      </c>
      <c r="P817" t="s">
        <v>68</v>
      </c>
      <c r="Q817">
        <v>23.4</v>
      </c>
      <c r="R817">
        <v>8.4000000000000057</v>
      </c>
      <c r="S817" t="s">
        <v>156</v>
      </c>
    </row>
    <row r="818" spans="1:19" x14ac:dyDescent="0.35">
      <c r="A818">
        <v>851</v>
      </c>
      <c r="B818" t="str">
        <f>"000851"</f>
        <v>000851</v>
      </c>
      <c r="C818" t="s">
        <v>3528</v>
      </c>
      <c r="D818" t="s">
        <v>3394</v>
      </c>
      <c r="E818" t="s">
        <v>3395</v>
      </c>
      <c r="F818" t="s">
        <v>3396</v>
      </c>
      <c r="G818" t="s">
        <v>187</v>
      </c>
      <c r="H818" t="s">
        <v>3529</v>
      </c>
      <c r="I818" t="s">
        <v>3530</v>
      </c>
      <c r="J818" t="s">
        <v>2108</v>
      </c>
      <c r="K818" t="s">
        <v>55</v>
      </c>
      <c r="L818" t="s">
        <v>2109</v>
      </c>
      <c r="M818" t="s">
        <v>57</v>
      </c>
      <c r="N818" t="str">
        <f>"050583"</f>
        <v>050583</v>
      </c>
      <c r="O818" t="s">
        <v>2105</v>
      </c>
      <c r="P818" t="s">
        <v>68</v>
      </c>
      <c r="Q818">
        <v>40.4</v>
      </c>
      <c r="R818">
        <v>8.7000000000000028</v>
      </c>
      <c r="S818" t="s">
        <v>77</v>
      </c>
    </row>
    <row r="819" spans="1:19" x14ac:dyDescent="0.35">
      <c r="A819">
        <v>877</v>
      </c>
      <c r="B819" t="str">
        <f>"000877"</f>
        <v>000877</v>
      </c>
      <c r="C819" t="s">
        <v>3531</v>
      </c>
      <c r="D819" t="s">
        <v>3394</v>
      </c>
      <c r="E819" t="s">
        <v>3395</v>
      </c>
      <c r="F819" t="s">
        <v>3396</v>
      </c>
      <c r="G819" t="s">
        <v>406</v>
      </c>
      <c r="H819" t="s">
        <v>3532</v>
      </c>
      <c r="I819" t="s">
        <v>3533</v>
      </c>
      <c r="J819" t="s">
        <v>909</v>
      </c>
      <c r="K819" t="s">
        <v>55</v>
      </c>
      <c r="L819" t="s">
        <v>910</v>
      </c>
      <c r="M819" t="s">
        <v>57</v>
      </c>
      <c r="N819" t="str">
        <f>"043661"</f>
        <v>043661</v>
      </c>
      <c r="O819" t="s">
        <v>906</v>
      </c>
      <c r="P819" t="s">
        <v>68</v>
      </c>
      <c r="Q819">
        <v>24.9</v>
      </c>
      <c r="R819">
        <v>11.099999999999994</v>
      </c>
      <c r="S819" t="s">
        <v>77</v>
      </c>
    </row>
    <row r="820" spans="1:19" x14ac:dyDescent="0.35">
      <c r="A820">
        <v>885</v>
      </c>
      <c r="B820" t="str">
        <f>"000885"</f>
        <v>000885</v>
      </c>
      <c r="C820" t="s">
        <v>3534</v>
      </c>
      <c r="D820" t="s">
        <v>3394</v>
      </c>
      <c r="E820" t="s">
        <v>3395</v>
      </c>
      <c r="F820" t="s">
        <v>3396</v>
      </c>
      <c r="G820" t="s">
        <v>821</v>
      </c>
      <c r="H820" t="s">
        <v>2091</v>
      </c>
      <c r="I820" t="s">
        <v>2092</v>
      </c>
      <c r="J820" t="s">
        <v>2093</v>
      </c>
      <c r="K820" t="s">
        <v>55</v>
      </c>
      <c r="L820" t="s">
        <v>2094</v>
      </c>
      <c r="M820" t="s">
        <v>57</v>
      </c>
      <c r="N820" t="str">
        <f>"047415"</f>
        <v>047415</v>
      </c>
      <c r="O820" t="s">
        <v>2090</v>
      </c>
      <c r="P820" t="s">
        <v>68</v>
      </c>
      <c r="Q820">
        <v>29.4</v>
      </c>
      <c r="R820">
        <v>15</v>
      </c>
      <c r="S820" t="s">
        <v>156</v>
      </c>
    </row>
    <row r="821" spans="1:19" x14ac:dyDescent="0.35">
      <c r="A821">
        <v>893</v>
      </c>
      <c r="B821" t="str">
        <f>"000893"</f>
        <v>000893</v>
      </c>
      <c r="C821" t="s">
        <v>3535</v>
      </c>
      <c r="D821" t="s">
        <v>3398</v>
      </c>
      <c r="E821" t="s">
        <v>3395</v>
      </c>
      <c r="F821" t="s">
        <v>3396</v>
      </c>
      <c r="G821" t="s">
        <v>821</v>
      </c>
      <c r="H821" t="s">
        <v>2091</v>
      </c>
      <c r="I821" t="s">
        <v>2092</v>
      </c>
      <c r="J821" t="s">
        <v>2093</v>
      </c>
      <c r="K821" t="s">
        <v>55</v>
      </c>
      <c r="L821" t="s">
        <v>2094</v>
      </c>
      <c r="M821" t="s">
        <v>57</v>
      </c>
      <c r="N821" t="str">
        <f>"047415"</f>
        <v>047415</v>
      </c>
      <c r="O821" t="s">
        <v>2090</v>
      </c>
      <c r="P821" t="s">
        <v>68</v>
      </c>
      <c r="Q821">
        <v>26</v>
      </c>
      <c r="R821">
        <v>14.299999999999997</v>
      </c>
      <c r="S821" t="s">
        <v>156</v>
      </c>
    </row>
    <row r="822" spans="1:19" x14ac:dyDescent="0.35">
      <c r="A822">
        <v>901</v>
      </c>
      <c r="B822" t="str">
        <f>"000901"</f>
        <v>000901</v>
      </c>
      <c r="C822" t="s">
        <v>3536</v>
      </c>
      <c r="D822" t="s">
        <v>3394</v>
      </c>
      <c r="E822" t="s">
        <v>3395</v>
      </c>
      <c r="F822" t="s">
        <v>3396</v>
      </c>
      <c r="G822" t="s">
        <v>175</v>
      </c>
      <c r="H822" t="s">
        <v>1274</v>
      </c>
      <c r="I822" t="s">
        <v>1275</v>
      </c>
      <c r="J822" t="s">
        <v>597</v>
      </c>
      <c r="K822" t="s">
        <v>55</v>
      </c>
      <c r="L822" t="s">
        <v>598</v>
      </c>
      <c r="M822" t="s">
        <v>57</v>
      </c>
      <c r="N822" t="str">
        <f>"046631"</f>
        <v>046631</v>
      </c>
      <c r="O822" t="s">
        <v>1273</v>
      </c>
      <c r="P822" t="s">
        <v>68</v>
      </c>
      <c r="Q822">
        <v>25.7</v>
      </c>
      <c r="R822">
        <v>5</v>
      </c>
      <c r="S822" t="s">
        <v>180</v>
      </c>
    </row>
    <row r="823" spans="1:19" x14ac:dyDescent="0.35">
      <c r="A823">
        <v>919</v>
      </c>
      <c r="B823" t="str">
        <f>"000919"</f>
        <v>000919</v>
      </c>
      <c r="C823" t="s">
        <v>3537</v>
      </c>
      <c r="D823" t="s">
        <v>3398</v>
      </c>
      <c r="E823" t="s">
        <v>3395</v>
      </c>
      <c r="F823" t="s">
        <v>3396</v>
      </c>
      <c r="G823" t="s">
        <v>175</v>
      </c>
      <c r="H823" t="s">
        <v>1274</v>
      </c>
      <c r="I823" t="s">
        <v>1275</v>
      </c>
      <c r="J823" t="s">
        <v>597</v>
      </c>
      <c r="K823" t="s">
        <v>55</v>
      </c>
      <c r="L823" t="s">
        <v>598</v>
      </c>
      <c r="M823" t="s">
        <v>57</v>
      </c>
      <c r="N823" t="str">
        <f>"046631"</f>
        <v>046631</v>
      </c>
      <c r="O823" t="s">
        <v>1273</v>
      </c>
      <c r="P823" t="s">
        <v>68</v>
      </c>
      <c r="Q823">
        <v>14.2</v>
      </c>
      <c r="R823">
        <v>3.9000000000000057</v>
      </c>
      <c r="S823" t="s">
        <v>180</v>
      </c>
    </row>
    <row r="824" spans="1:19" x14ac:dyDescent="0.35">
      <c r="A824">
        <v>927</v>
      </c>
      <c r="B824" t="str">
        <f>"000927"</f>
        <v>000927</v>
      </c>
      <c r="C824" t="s">
        <v>3538</v>
      </c>
      <c r="D824" t="s">
        <v>3394</v>
      </c>
      <c r="E824" t="s">
        <v>3395</v>
      </c>
      <c r="F824" t="s">
        <v>3396</v>
      </c>
      <c r="G824" t="s">
        <v>344</v>
      </c>
      <c r="H824" t="s">
        <v>3539</v>
      </c>
      <c r="I824" t="s">
        <v>3540</v>
      </c>
      <c r="J824" t="s">
        <v>274</v>
      </c>
      <c r="K824" t="s">
        <v>55</v>
      </c>
      <c r="L824" t="s">
        <v>275</v>
      </c>
      <c r="M824" t="s">
        <v>57</v>
      </c>
      <c r="N824" t="str">
        <f>"047043"</f>
        <v>047043</v>
      </c>
      <c r="O824" t="s">
        <v>1322</v>
      </c>
      <c r="P824" t="s">
        <v>68</v>
      </c>
      <c r="Q824">
        <v>24.5</v>
      </c>
      <c r="R824">
        <v>19.299999999999997</v>
      </c>
      <c r="S824" t="s">
        <v>156</v>
      </c>
    </row>
    <row r="825" spans="1:19" x14ac:dyDescent="0.35">
      <c r="A825">
        <v>935</v>
      </c>
      <c r="B825" t="str">
        <f>"000935"</f>
        <v>000935</v>
      </c>
      <c r="C825" t="s">
        <v>3541</v>
      </c>
      <c r="D825" t="s">
        <v>3398</v>
      </c>
      <c r="E825" t="s">
        <v>3395</v>
      </c>
      <c r="F825" t="s">
        <v>3396</v>
      </c>
      <c r="G825" t="s">
        <v>344</v>
      </c>
      <c r="H825" t="s">
        <v>1323</v>
      </c>
      <c r="I825" t="s">
        <v>1324</v>
      </c>
      <c r="J825" t="s">
        <v>274</v>
      </c>
      <c r="K825" t="s">
        <v>55</v>
      </c>
      <c r="L825" t="s">
        <v>275</v>
      </c>
      <c r="M825" t="s">
        <v>57</v>
      </c>
      <c r="N825" t="str">
        <f>"047043"</f>
        <v>047043</v>
      </c>
      <c r="O825" t="s">
        <v>1322</v>
      </c>
      <c r="P825" t="s">
        <v>68</v>
      </c>
      <c r="Q825">
        <v>17.100000000000001</v>
      </c>
      <c r="R825">
        <v>21.599999999999994</v>
      </c>
      <c r="S825" t="s">
        <v>156</v>
      </c>
    </row>
    <row r="826" spans="1:19" x14ac:dyDescent="0.35">
      <c r="A826">
        <v>943</v>
      </c>
      <c r="B826" t="str">
        <f>"000943"</f>
        <v>000943</v>
      </c>
      <c r="C826" t="s">
        <v>3542</v>
      </c>
      <c r="D826" t="s">
        <v>3543</v>
      </c>
      <c r="E826" t="s">
        <v>3395</v>
      </c>
      <c r="F826" t="s">
        <v>3396</v>
      </c>
      <c r="G826" t="s">
        <v>63</v>
      </c>
      <c r="H826" t="s">
        <v>3544</v>
      </c>
      <c r="I826" t="s">
        <v>3545</v>
      </c>
      <c r="J826" t="s">
        <v>66</v>
      </c>
      <c r="K826" t="s">
        <v>55</v>
      </c>
      <c r="L826" t="s">
        <v>2232</v>
      </c>
      <c r="M826" t="s">
        <v>57</v>
      </c>
      <c r="N826" t="str">
        <f>"044636"</f>
        <v>044636</v>
      </c>
      <c r="O826" t="s">
        <v>1331</v>
      </c>
      <c r="P826" t="s">
        <v>68</v>
      </c>
      <c r="Q826" t="s">
        <v>68</v>
      </c>
      <c r="R826" t="s">
        <v>68</v>
      </c>
      <c r="S826" t="s">
        <v>69</v>
      </c>
    </row>
    <row r="827" spans="1:19" x14ac:dyDescent="0.35">
      <c r="A827">
        <v>943</v>
      </c>
      <c r="B827" t="str">
        <f>"000943"</f>
        <v>000943</v>
      </c>
      <c r="C827" t="s">
        <v>3542</v>
      </c>
      <c r="D827" t="s">
        <v>2188</v>
      </c>
      <c r="E827" t="s">
        <v>3395</v>
      </c>
      <c r="F827" t="s">
        <v>3396</v>
      </c>
      <c r="G827" t="s">
        <v>63</v>
      </c>
      <c r="H827" t="s">
        <v>3544</v>
      </c>
      <c r="I827" t="s">
        <v>3545</v>
      </c>
      <c r="J827" t="s">
        <v>66</v>
      </c>
      <c r="K827" t="s">
        <v>55</v>
      </c>
      <c r="L827" t="s">
        <v>2232</v>
      </c>
      <c r="M827" t="s">
        <v>57</v>
      </c>
      <c r="N827" t="str">
        <f>"044636"</f>
        <v>044636</v>
      </c>
      <c r="O827" t="s">
        <v>1331</v>
      </c>
      <c r="P827" t="s">
        <v>68</v>
      </c>
      <c r="Q827" t="s">
        <v>68</v>
      </c>
      <c r="R827" t="s">
        <v>68</v>
      </c>
      <c r="S827" t="s">
        <v>69</v>
      </c>
    </row>
    <row r="828" spans="1:19" x14ac:dyDescent="0.35">
      <c r="A828">
        <v>950</v>
      </c>
      <c r="B828" t="str">
        <f>"000950"</f>
        <v>000950</v>
      </c>
      <c r="C828" t="s">
        <v>3546</v>
      </c>
      <c r="D828" t="s">
        <v>3394</v>
      </c>
      <c r="E828" t="s">
        <v>3395</v>
      </c>
      <c r="F828" t="s">
        <v>3396</v>
      </c>
      <c r="G828" t="s">
        <v>169</v>
      </c>
      <c r="H828" t="s">
        <v>3547</v>
      </c>
      <c r="I828" t="s">
        <v>3548</v>
      </c>
      <c r="J828" t="s">
        <v>1811</v>
      </c>
      <c r="K828" t="s">
        <v>55</v>
      </c>
      <c r="L828" t="s">
        <v>1812</v>
      </c>
      <c r="M828" t="s">
        <v>57</v>
      </c>
      <c r="N828" t="str">
        <f>"045567"</f>
        <v>045567</v>
      </c>
      <c r="O828" t="s">
        <v>1808</v>
      </c>
      <c r="P828" t="s">
        <v>68</v>
      </c>
      <c r="Q828">
        <v>53.6</v>
      </c>
      <c r="R828">
        <v>8</v>
      </c>
      <c r="S828" t="s">
        <v>77</v>
      </c>
    </row>
    <row r="829" spans="1:19" x14ac:dyDescent="0.35">
      <c r="A829">
        <v>968</v>
      </c>
      <c r="B829" t="str">
        <f>"000968"</f>
        <v>000968</v>
      </c>
      <c r="C829" t="s">
        <v>3549</v>
      </c>
      <c r="D829" t="s">
        <v>3394</v>
      </c>
      <c r="E829" t="s">
        <v>3395</v>
      </c>
      <c r="F829" t="s">
        <v>3396</v>
      </c>
      <c r="G829" t="s">
        <v>200</v>
      </c>
      <c r="H829" t="s">
        <v>3550</v>
      </c>
      <c r="I829" t="s">
        <v>3551</v>
      </c>
      <c r="J829" t="s">
        <v>304</v>
      </c>
      <c r="K829" t="s">
        <v>55</v>
      </c>
      <c r="L829" t="s">
        <v>3552</v>
      </c>
      <c r="M829" t="s">
        <v>57</v>
      </c>
      <c r="N829" t="str">
        <f>"044909"</f>
        <v>044909</v>
      </c>
      <c r="O829" t="s">
        <v>3318</v>
      </c>
      <c r="P829" t="s">
        <v>68</v>
      </c>
      <c r="Q829">
        <v>99.4</v>
      </c>
      <c r="R829">
        <v>82.4</v>
      </c>
      <c r="S829" t="s">
        <v>156</v>
      </c>
    </row>
    <row r="830" spans="1:19" x14ac:dyDescent="0.35">
      <c r="A830">
        <v>976</v>
      </c>
      <c r="B830" t="str">
        <f>"000976"</f>
        <v>000976</v>
      </c>
      <c r="C830" t="s">
        <v>3553</v>
      </c>
      <c r="D830" t="s">
        <v>3394</v>
      </c>
      <c r="E830" t="s">
        <v>3395</v>
      </c>
      <c r="F830" t="s">
        <v>3396</v>
      </c>
      <c r="G830" t="s">
        <v>821</v>
      </c>
      <c r="H830" t="s">
        <v>1377</v>
      </c>
      <c r="I830" t="s">
        <v>1378</v>
      </c>
      <c r="J830" t="s">
        <v>1379</v>
      </c>
      <c r="K830" t="s">
        <v>55</v>
      </c>
      <c r="L830" t="s">
        <v>1380</v>
      </c>
      <c r="M830" t="s">
        <v>57</v>
      </c>
      <c r="N830" t="str">
        <f>"047423"</f>
        <v>047423</v>
      </c>
      <c r="O830" t="s">
        <v>1376</v>
      </c>
      <c r="P830" t="s">
        <v>68</v>
      </c>
      <c r="Q830">
        <v>20.7</v>
      </c>
      <c r="R830">
        <v>4.9000000000000057</v>
      </c>
      <c r="S830" t="s">
        <v>156</v>
      </c>
    </row>
    <row r="831" spans="1:19" x14ac:dyDescent="0.35">
      <c r="A831">
        <v>992</v>
      </c>
      <c r="B831" t="str">
        <f>"000992"</f>
        <v>000992</v>
      </c>
      <c r="C831" t="s">
        <v>3554</v>
      </c>
      <c r="D831" t="s">
        <v>3398</v>
      </c>
      <c r="E831" t="s">
        <v>3395</v>
      </c>
      <c r="F831" t="s">
        <v>3396</v>
      </c>
      <c r="G831" t="s">
        <v>821</v>
      </c>
      <c r="H831" t="s">
        <v>1377</v>
      </c>
      <c r="I831" t="s">
        <v>1378</v>
      </c>
      <c r="J831" t="s">
        <v>1379</v>
      </c>
      <c r="K831" t="s">
        <v>55</v>
      </c>
      <c r="L831" t="s">
        <v>1380</v>
      </c>
      <c r="M831" t="s">
        <v>57</v>
      </c>
      <c r="N831" t="str">
        <f>"047423"</f>
        <v>047423</v>
      </c>
      <c r="O831" t="s">
        <v>1376</v>
      </c>
      <c r="P831" t="s">
        <v>68</v>
      </c>
      <c r="Q831">
        <v>22.9</v>
      </c>
      <c r="R831">
        <v>3.9000000000000057</v>
      </c>
      <c r="S831" t="s">
        <v>156</v>
      </c>
    </row>
    <row r="832" spans="1:19" x14ac:dyDescent="0.35">
      <c r="A832">
        <v>1024</v>
      </c>
      <c r="B832" t="str">
        <f>"001024"</f>
        <v>001024</v>
      </c>
      <c r="C832" t="s">
        <v>3555</v>
      </c>
      <c r="D832" t="s">
        <v>3394</v>
      </c>
      <c r="E832" t="s">
        <v>3395</v>
      </c>
      <c r="F832" t="s">
        <v>3396</v>
      </c>
      <c r="G832" t="s">
        <v>264</v>
      </c>
      <c r="H832" t="s">
        <v>3556</v>
      </c>
      <c r="I832" t="s">
        <v>3557</v>
      </c>
      <c r="J832" t="s">
        <v>1576</v>
      </c>
      <c r="K832" t="s">
        <v>55</v>
      </c>
      <c r="L832" t="s">
        <v>1577</v>
      </c>
      <c r="M832" t="s">
        <v>57</v>
      </c>
      <c r="N832" t="str">
        <f>"049981"</f>
        <v>049981</v>
      </c>
      <c r="O832" t="s">
        <v>1573</v>
      </c>
      <c r="P832" t="s">
        <v>68</v>
      </c>
      <c r="Q832">
        <v>13</v>
      </c>
      <c r="R832">
        <v>20.799999999999997</v>
      </c>
      <c r="S832" t="s">
        <v>77</v>
      </c>
    </row>
    <row r="833" spans="1:19" x14ac:dyDescent="0.35">
      <c r="A833">
        <v>1040</v>
      </c>
      <c r="B833" t="str">
        <f>"001040"</f>
        <v>001040</v>
      </c>
      <c r="C833" t="s">
        <v>3558</v>
      </c>
      <c r="D833" t="s">
        <v>3394</v>
      </c>
      <c r="E833" t="s">
        <v>3395</v>
      </c>
      <c r="F833" t="s">
        <v>3396</v>
      </c>
      <c r="G833" t="s">
        <v>63</v>
      </c>
      <c r="H833" t="s">
        <v>3559</v>
      </c>
      <c r="I833" t="s">
        <v>3560</v>
      </c>
      <c r="J833" t="s">
        <v>285</v>
      </c>
      <c r="K833" t="s">
        <v>55</v>
      </c>
      <c r="L833" t="s">
        <v>3561</v>
      </c>
      <c r="M833" t="s">
        <v>57</v>
      </c>
      <c r="N833" t="str">
        <f>"043786"</f>
        <v>043786</v>
      </c>
      <c r="O833" t="s">
        <v>1340</v>
      </c>
      <c r="P833" t="s">
        <v>68</v>
      </c>
      <c r="Q833">
        <v>100</v>
      </c>
      <c r="R833">
        <v>76.3</v>
      </c>
      <c r="S833" t="s">
        <v>69</v>
      </c>
    </row>
    <row r="834" spans="1:19" x14ac:dyDescent="0.35">
      <c r="A834">
        <v>1057</v>
      </c>
      <c r="B834" t="str">
        <f>"001057"</f>
        <v>001057</v>
      </c>
      <c r="C834" t="s">
        <v>3562</v>
      </c>
      <c r="D834" t="s">
        <v>3394</v>
      </c>
      <c r="E834" t="s">
        <v>3395</v>
      </c>
      <c r="F834" t="s">
        <v>3396</v>
      </c>
      <c r="G834" t="s">
        <v>63</v>
      </c>
      <c r="H834" t="s">
        <v>3563</v>
      </c>
      <c r="I834" t="s">
        <v>3564</v>
      </c>
      <c r="J834" t="s">
        <v>1863</v>
      </c>
      <c r="K834" t="s">
        <v>55</v>
      </c>
      <c r="L834" t="s">
        <v>1864</v>
      </c>
      <c r="M834" t="s">
        <v>57</v>
      </c>
      <c r="N834" t="str">
        <f>"046607"</f>
        <v>046607</v>
      </c>
      <c r="O834" t="s">
        <v>1860</v>
      </c>
      <c r="P834" t="s">
        <v>68</v>
      </c>
      <c r="Q834" t="s">
        <v>68</v>
      </c>
      <c r="R834" t="s">
        <v>68</v>
      </c>
      <c r="S834" t="s">
        <v>69</v>
      </c>
    </row>
    <row r="835" spans="1:19" x14ac:dyDescent="0.35">
      <c r="A835">
        <v>1073</v>
      </c>
      <c r="B835" t="str">
        <f>"001073"</f>
        <v>001073</v>
      </c>
      <c r="C835" t="s">
        <v>3565</v>
      </c>
      <c r="D835" t="s">
        <v>3394</v>
      </c>
      <c r="E835" t="s">
        <v>3395</v>
      </c>
      <c r="F835" t="s">
        <v>3396</v>
      </c>
      <c r="G835" t="s">
        <v>600</v>
      </c>
      <c r="H835" t="s">
        <v>3566</v>
      </c>
      <c r="I835" t="s">
        <v>3567</v>
      </c>
      <c r="J835" t="s">
        <v>1348</v>
      </c>
      <c r="K835" t="s">
        <v>55</v>
      </c>
      <c r="L835" t="s">
        <v>3568</v>
      </c>
      <c r="M835" t="s">
        <v>57</v>
      </c>
      <c r="N835" t="str">
        <f>"046979"</f>
        <v>046979</v>
      </c>
      <c r="O835" t="s">
        <v>1587</v>
      </c>
      <c r="P835" t="s">
        <v>68</v>
      </c>
      <c r="Q835">
        <v>78.5</v>
      </c>
      <c r="R835">
        <v>76.5</v>
      </c>
      <c r="S835" t="s">
        <v>60</v>
      </c>
    </row>
    <row r="836" spans="1:19" x14ac:dyDescent="0.35">
      <c r="A836">
        <v>1081</v>
      </c>
      <c r="B836" t="str">
        <f>"001081"</f>
        <v>001081</v>
      </c>
      <c r="C836" t="s">
        <v>3569</v>
      </c>
      <c r="D836" t="s">
        <v>3398</v>
      </c>
      <c r="E836" t="s">
        <v>3395</v>
      </c>
      <c r="F836" t="s">
        <v>3396</v>
      </c>
      <c r="G836" t="s">
        <v>855</v>
      </c>
      <c r="H836" t="s">
        <v>3570</v>
      </c>
      <c r="I836" t="s">
        <v>3571</v>
      </c>
      <c r="J836" t="s">
        <v>855</v>
      </c>
      <c r="K836" t="s">
        <v>55</v>
      </c>
      <c r="L836" t="s">
        <v>1457</v>
      </c>
      <c r="M836" t="s">
        <v>57</v>
      </c>
      <c r="N836" t="str">
        <f>"043505"</f>
        <v>043505</v>
      </c>
      <c r="O836" t="s">
        <v>3139</v>
      </c>
      <c r="P836" t="s">
        <v>68</v>
      </c>
      <c r="Q836">
        <v>25.5</v>
      </c>
      <c r="R836">
        <v>10.599999999999994</v>
      </c>
      <c r="S836" t="s">
        <v>77</v>
      </c>
    </row>
    <row r="837" spans="1:19" x14ac:dyDescent="0.35">
      <c r="A837">
        <v>1099</v>
      </c>
      <c r="B837" t="str">
        <f>"001099"</f>
        <v>001099</v>
      </c>
      <c r="C837" t="s">
        <v>3572</v>
      </c>
      <c r="D837" t="s">
        <v>3400</v>
      </c>
      <c r="E837" t="s">
        <v>3395</v>
      </c>
      <c r="F837" t="s">
        <v>3396</v>
      </c>
      <c r="G837" t="s">
        <v>855</v>
      </c>
      <c r="H837" t="s">
        <v>3573</v>
      </c>
      <c r="I837" t="s">
        <v>3574</v>
      </c>
      <c r="J837" t="s">
        <v>855</v>
      </c>
      <c r="K837" t="s">
        <v>55</v>
      </c>
      <c r="L837" t="s">
        <v>1457</v>
      </c>
      <c r="M837" t="s">
        <v>57</v>
      </c>
      <c r="N837" t="str">
        <f>"043505"</f>
        <v>043505</v>
      </c>
      <c r="O837" t="s">
        <v>3139</v>
      </c>
      <c r="P837" t="s">
        <v>68</v>
      </c>
      <c r="Q837">
        <v>38.200000000000003</v>
      </c>
      <c r="R837">
        <v>8.2999999999999972</v>
      </c>
      <c r="S837" t="s">
        <v>77</v>
      </c>
    </row>
    <row r="838" spans="1:19" x14ac:dyDescent="0.35">
      <c r="A838">
        <v>1107</v>
      </c>
      <c r="B838" t="str">
        <f>"001107"</f>
        <v>001107</v>
      </c>
      <c r="C838" t="s">
        <v>3575</v>
      </c>
      <c r="D838" t="s">
        <v>3394</v>
      </c>
      <c r="E838" t="s">
        <v>3395</v>
      </c>
      <c r="F838" t="s">
        <v>3396</v>
      </c>
      <c r="G838" t="s">
        <v>52</v>
      </c>
      <c r="H838" t="s">
        <v>3576</v>
      </c>
      <c r="I838" t="s">
        <v>3577</v>
      </c>
      <c r="J838" t="s">
        <v>3578</v>
      </c>
      <c r="K838" t="s">
        <v>55</v>
      </c>
      <c r="L838" t="s">
        <v>3579</v>
      </c>
      <c r="M838" t="s">
        <v>57</v>
      </c>
      <c r="N838" t="str">
        <f>"046755"</f>
        <v>046755</v>
      </c>
      <c r="O838" t="s">
        <v>1319</v>
      </c>
      <c r="P838" t="s">
        <v>68</v>
      </c>
      <c r="Q838">
        <v>28.8</v>
      </c>
      <c r="R838">
        <v>9.5999999999999943</v>
      </c>
      <c r="S838" t="s">
        <v>60</v>
      </c>
    </row>
    <row r="839" spans="1:19" x14ac:dyDescent="0.35">
      <c r="A839">
        <v>1123</v>
      </c>
      <c r="B839" t="str">
        <f>"001123"</f>
        <v>001123</v>
      </c>
      <c r="C839" t="s">
        <v>3580</v>
      </c>
      <c r="D839" t="s">
        <v>3398</v>
      </c>
      <c r="E839" t="s">
        <v>3395</v>
      </c>
      <c r="F839" t="s">
        <v>3396</v>
      </c>
      <c r="G839" t="s">
        <v>132</v>
      </c>
      <c r="H839" t="s">
        <v>3581</v>
      </c>
      <c r="I839" t="s">
        <v>3582</v>
      </c>
      <c r="J839" t="s">
        <v>132</v>
      </c>
      <c r="K839" t="s">
        <v>55</v>
      </c>
      <c r="L839" t="s">
        <v>184</v>
      </c>
      <c r="M839" t="s">
        <v>57</v>
      </c>
      <c r="N839" t="str">
        <f>"043513"</f>
        <v>043513</v>
      </c>
      <c r="O839" t="s">
        <v>1141</v>
      </c>
      <c r="P839" t="s">
        <v>68</v>
      </c>
      <c r="Q839">
        <v>100</v>
      </c>
      <c r="R839">
        <v>39.1</v>
      </c>
      <c r="S839" t="s">
        <v>69</v>
      </c>
    </row>
    <row r="840" spans="1:19" x14ac:dyDescent="0.35">
      <c r="A840">
        <v>1131</v>
      </c>
      <c r="B840" t="str">
        <f>"001131"</f>
        <v>001131</v>
      </c>
      <c r="C840" t="s">
        <v>3583</v>
      </c>
      <c r="D840" t="s">
        <v>3394</v>
      </c>
      <c r="E840" t="s">
        <v>3395</v>
      </c>
      <c r="F840" t="s">
        <v>3396</v>
      </c>
      <c r="G840" t="s">
        <v>1567</v>
      </c>
      <c r="H840" t="s">
        <v>3584</v>
      </c>
      <c r="I840" t="s">
        <v>3585</v>
      </c>
      <c r="J840" t="s">
        <v>3056</v>
      </c>
      <c r="K840" t="s">
        <v>55</v>
      </c>
      <c r="L840" t="s">
        <v>3057</v>
      </c>
      <c r="M840" t="s">
        <v>57</v>
      </c>
      <c r="N840" t="str">
        <f>"049098"</f>
        <v>049098</v>
      </c>
      <c r="O840" t="s">
        <v>3053</v>
      </c>
      <c r="P840" t="s">
        <v>68</v>
      </c>
      <c r="Q840">
        <v>39.9</v>
      </c>
      <c r="R840">
        <v>7.5999999999999943</v>
      </c>
      <c r="S840" t="s">
        <v>60</v>
      </c>
    </row>
    <row r="841" spans="1:19" x14ac:dyDescent="0.35">
      <c r="A841">
        <v>1149</v>
      </c>
      <c r="B841" t="str">
        <f>"001149"</f>
        <v>001149</v>
      </c>
      <c r="C841" t="s">
        <v>3586</v>
      </c>
      <c r="D841" t="s">
        <v>3398</v>
      </c>
      <c r="E841" t="s">
        <v>3395</v>
      </c>
      <c r="F841" t="s">
        <v>3396</v>
      </c>
      <c r="G841" t="s">
        <v>493</v>
      </c>
      <c r="H841" t="s">
        <v>3587</v>
      </c>
      <c r="I841" t="s">
        <v>3588</v>
      </c>
      <c r="J841" t="s">
        <v>3589</v>
      </c>
      <c r="K841" t="s">
        <v>55</v>
      </c>
      <c r="L841" t="s">
        <v>3590</v>
      </c>
      <c r="M841" t="s">
        <v>57</v>
      </c>
      <c r="N841" t="str">
        <f>"043521"</f>
        <v>043521</v>
      </c>
      <c r="O841" t="s">
        <v>1104</v>
      </c>
      <c r="P841" t="s">
        <v>68</v>
      </c>
      <c r="Q841">
        <v>32</v>
      </c>
      <c r="R841">
        <v>16.799999999999997</v>
      </c>
      <c r="S841" t="s">
        <v>130</v>
      </c>
    </row>
    <row r="842" spans="1:19" x14ac:dyDescent="0.35">
      <c r="A842">
        <v>1172</v>
      </c>
      <c r="B842" t="str">
        <f>"001172"</f>
        <v>001172</v>
      </c>
      <c r="C842" t="s">
        <v>3591</v>
      </c>
      <c r="D842" t="s">
        <v>3394</v>
      </c>
      <c r="E842" t="s">
        <v>3395</v>
      </c>
      <c r="F842" t="s">
        <v>3396</v>
      </c>
      <c r="G842" t="s">
        <v>400</v>
      </c>
      <c r="H842" t="s">
        <v>3592</v>
      </c>
      <c r="I842" t="s">
        <v>3593</v>
      </c>
      <c r="J842" t="s">
        <v>2749</v>
      </c>
      <c r="K842" t="s">
        <v>55</v>
      </c>
      <c r="L842" t="s">
        <v>2750</v>
      </c>
      <c r="M842" t="s">
        <v>57</v>
      </c>
      <c r="N842" t="str">
        <f>"044016"</f>
        <v>044016</v>
      </c>
      <c r="O842" t="s">
        <v>3244</v>
      </c>
      <c r="P842" t="s">
        <v>68</v>
      </c>
      <c r="Q842">
        <v>100</v>
      </c>
      <c r="R842">
        <v>54</v>
      </c>
      <c r="S842" t="s">
        <v>156</v>
      </c>
    </row>
    <row r="843" spans="1:19" x14ac:dyDescent="0.35">
      <c r="A843">
        <v>1180</v>
      </c>
      <c r="B843" t="str">
        <f>"001180"</f>
        <v>001180</v>
      </c>
      <c r="C843" t="s">
        <v>3594</v>
      </c>
      <c r="D843" t="s">
        <v>3394</v>
      </c>
      <c r="E843" t="s">
        <v>3395</v>
      </c>
      <c r="F843" t="s">
        <v>3396</v>
      </c>
      <c r="G843" t="s">
        <v>1296</v>
      </c>
      <c r="H843" t="s">
        <v>1908</v>
      </c>
      <c r="I843" t="s">
        <v>1909</v>
      </c>
      <c r="J843" t="s">
        <v>1910</v>
      </c>
      <c r="K843" t="s">
        <v>55</v>
      </c>
      <c r="L843" t="s">
        <v>1911</v>
      </c>
      <c r="M843" t="s">
        <v>57</v>
      </c>
      <c r="N843" t="str">
        <f>"049684"</f>
        <v>049684</v>
      </c>
      <c r="O843" t="s">
        <v>1907</v>
      </c>
      <c r="P843" t="s">
        <v>68</v>
      </c>
      <c r="Q843">
        <v>29.7</v>
      </c>
      <c r="R843">
        <v>5.7999999999999972</v>
      </c>
      <c r="S843" t="s">
        <v>156</v>
      </c>
    </row>
    <row r="844" spans="1:19" x14ac:dyDescent="0.35">
      <c r="A844">
        <v>1198</v>
      </c>
      <c r="B844" t="str">
        <f>"001198"</f>
        <v>001198</v>
      </c>
      <c r="C844" t="s">
        <v>3595</v>
      </c>
      <c r="D844" t="s">
        <v>3398</v>
      </c>
      <c r="E844" t="s">
        <v>3395</v>
      </c>
      <c r="F844" t="s">
        <v>3396</v>
      </c>
      <c r="G844" t="s">
        <v>1296</v>
      </c>
      <c r="H844" t="s">
        <v>1908</v>
      </c>
      <c r="I844" t="s">
        <v>1909</v>
      </c>
      <c r="J844" t="s">
        <v>1910</v>
      </c>
      <c r="K844" t="s">
        <v>55</v>
      </c>
      <c r="L844" t="s">
        <v>1911</v>
      </c>
      <c r="M844" t="s">
        <v>57</v>
      </c>
      <c r="N844" t="str">
        <f>"049684"</f>
        <v>049684</v>
      </c>
      <c r="O844" t="s">
        <v>1907</v>
      </c>
      <c r="P844" t="s">
        <v>68</v>
      </c>
      <c r="Q844">
        <v>17.7</v>
      </c>
      <c r="R844">
        <v>4.5</v>
      </c>
      <c r="S844" t="s">
        <v>156</v>
      </c>
    </row>
    <row r="845" spans="1:19" x14ac:dyDescent="0.35">
      <c r="A845">
        <v>1206</v>
      </c>
      <c r="B845" t="str">
        <f>"001206"</f>
        <v>001206</v>
      </c>
      <c r="C845" t="s">
        <v>3596</v>
      </c>
      <c r="D845" t="s">
        <v>3394</v>
      </c>
      <c r="E845" t="s">
        <v>3395</v>
      </c>
      <c r="F845" t="s">
        <v>3396</v>
      </c>
      <c r="G845" t="s">
        <v>295</v>
      </c>
      <c r="H845" t="s">
        <v>1145</v>
      </c>
      <c r="I845" t="s">
        <v>1146</v>
      </c>
      <c r="J845" t="s">
        <v>1147</v>
      </c>
      <c r="K845" t="s">
        <v>55</v>
      </c>
      <c r="L845" t="s">
        <v>1148</v>
      </c>
      <c r="M845" t="s">
        <v>57</v>
      </c>
      <c r="N845" t="str">
        <f>"049247"</f>
        <v>049247</v>
      </c>
      <c r="O845" t="s">
        <v>1144</v>
      </c>
      <c r="P845" t="s">
        <v>68</v>
      </c>
      <c r="Q845">
        <v>48</v>
      </c>
      <c r="R845">
        <v>8</v>
      </c>
      <c r="S845" t="s">
        <v>77</v>
      </c>
    </row>
    <row r="846" spans="1:19" x14ac:dyDescent="0.35">
      <c r="A846">
        <v>1230</v>
      </c>
      <c r="B846" t="str">
        <f>"001230"</f>
        <v>001230</v>
      </c>
      <c r="C846" t="s">
        <v>3597</v>
      </c>
      <c r="D846" t="s">
        <v>3394</v>
      </c>
      <c r="E846" t="s">
        <v>3395</v>
      </c>
      <c r="F846" t="s">
        <v>3396</v>
      </c>
      <c r="G846" t="s">
        <v>511</v>
      </c>
      <c r="H846" t="s">
        <v>3598</v>
      </c>
      <c r="I846" t="s">
        <v>3599</v>
      </c>
      <c r="J846" t="s">
        <v>1049</v>
      </c>
      <c r="K846" t="s">
        <v>55</v>
      </c>
      <c r="L846" t="s">
        <v>1050</v>
      </c>
      <c r="M846" t="s">
        <v>57</v>
      </c>
      <c r="N846" t="str">
        <f>"047191"</f>
        <v>047191</v>
      </c>
      <c r="O846" t="s">
        <v>1046</v>
      </c>
      <c r="P846" t="s">
        <v>68</v>
      </c>
      <c r="Q846">
        <v>6.3</v>
      </c>
      <c r="R846">
        <v>10.599999999999994</v>
      </c>
      <c r="S846" t="s">
        <v>69</v>
      </c>
    </row>
    <row r="847" spans="1:19" x14ac:dyDescent="0.35">
      <c r="A847">
        <v>1255</v>
      </c>
      <c r="B847" t="str">
        <f>"001255"</f>
        <v>001255</v>
      </c>
      <c r="C847" t="s">
        <v>3600</v>
      </c>
      <c r="D847" t="s">
        <v>3394</v>
      </c>
      <c r="E847" t="s">
        <v>3395</v>
      </c>
      <c r="F847" t="s">
        <v>3396</v>
      </c>
      <c r="G847" t="s">
        <v>434</v>
      </c>
      <c r="H847" t="s">
        <v>3601</v>
      </c>
      <c r="I847" t="s">
        <v>3602</v>
      </c>
      <c r="J847" t="s">
        <v>3603</v>
      </c>
      <c r="K847" t="s">
        <v>55</v>
      </c>
      <c r="L847" t="s">
        <v>3604</v>
      </c>
      <c r="M847" t="s">
        <v>57</v>
      </c>
      <c r="N847" t="str">
        <f>"045575"</f>
        <v>045575</v>
      </c>
      <c r="O847" t="s">
        <v>1767</v>
      </c>
      <c r="P847" t="s">
        <v>68</v>
      </c>
      <c r="Q847">
        <v>57.5</v>
      </c>
      <c r="R847">
        <v>9.2999999999999972</v>
      </c>
      <c r="S847" t="s">
        <v>156</v>
      </c>
    </row>
    <row r="848" spans="1:19" x14ac:dyDescent="0.35">
      <c r="A848">
        <v>1297</v>
      </c>
      <c r="B848" t="str">
        <f>"001297"</f>
        <v>001297</v>
      </c>
      <c r="C848" t="s">
        <v>3605</v>
      </c>
      <c r="D848" t="s">
        <v>3398</v>
      </c>
      <c r="E848" t="s">
        <v>3395</v>
      </c>
      <c r="F848" t="s">
        <v>3396</v>
      </c>
      <c r="G848" t="s">
        <v>295</v>
      </c>
      <c r="H848" t="s">
        <v>3606</v>
      </c>
      <c r="I848" t="s">
        <v>3607</v>
      </c>
      <c r="J848" t="s">
        <v>748</v>
      </c>
      <c r="K848" t="s">
        <v>55</v>
      </c>
      <c r="L848" t="s">
        <v>749</v>
      </c>
      <c r="M848" t="s">
        <v>57</v>
      </c>
      <c r="N848" t="str">
        <f>"049171"</f>
        <v>049171</v>
      </c>
      <c r="O848" t="s">
        <v>745</v>
      </c>
      <c r="P848" t="s">
        <v>68</v>
      </c>
      <c r="Q848">
        <v>5</v>
      </c>
      <c r="R848">
        <v>18.299999999999997</v>
      </c>
      <c r="S848" t="s">
        <v>77</v>
      </c>
    </row>
    <row r="849" spans="1:19" x14ac:dyDescent="0.35">
      <c r="A849">
        <v>1313</v>
      </c>
      <c r="B849" t="str">
        <f>"001313"</f>
        <v>001313</v>
      </c>
      <c r="C849" t="s">
        <v>3608</v>
      </c>
      <c r="D849" t="s">
        <v>3394</v>
      </c>
      <c r="E849" t="s">
        <v>3395</v>
      </c>
      <c r="F849" t="s">
        <v>3396</v>
      </c>
      <c r="G849" t="s">
        <v>295</v>
      </c>
      <c r="H849" t="s">
        <v>3609</v>
      </c>
      <c r="I849" t="s">
        <v>3610</v>
      </c>
      <c r="J849" t="s">
        <v>748</v>
      </c>
      <c r="K849" t="s">
        <v>55</v>
      </c>
      <c r="L849" t="s">
        <v>749</v>
      </c>
      <c r="M849" t="s">
        <v>57</v>
      </c>
      <c r="N849" t="str">
        <f>"049171"</f>
        <v>049171</v>
      </c>
      <c r="O849" t="s">
        <v>745</v>
      </c>
      <c r="P849" t="s">
        <v>68</v>
      </c>
      <c r="Q849">
        <v>3.8</v>
      </c>
      <c r="R849">
        <v>21</v>
      </c>
      <c r="S849" t="s">
        <v>77</v>
      </c>
    </row>
    <row r="850" spans="1:19" x14ac:dyDescent="0.35">
      <c r="A850">
        <v>1321</v>
      </c>
      <c r="B850" t="str">
        <f>"001321"</f>
        <v>001321</v>
      </c>
      <c r="C850" t="s">
        <v>3611</v>
      </c>
      <c r="D850" t="s">
        <v>3394</v>
      </c>
      <c r="E850" t="s">
        <v>3395</v>
      </c>
      <c r="F850" t="s">
        <v>3396</v>
      </c>
      <c r="G850" t="s">
        <v>132</v>
      </c>
      <c r="H850" t="s">
        <v>3612</v>
      </c>
      <c r="I850" t="s">
        <v>3613</v>
      </c>
      <c r="J850" t="s">
        <v>3614</v>
      </c>
      <c r="K850" t="s">
        <v>55</v>
      </c>
      <c r="L850" t="s">
        <v>3615</v>
      </c>
      <c r="M850" t="s">
        <v>57</v>
      </c>
      <c r="N850" t="str">
        <f>"044057"</f>
        <v>044057</v>
      </c>
      <c r="O850" t="s">
        <v>3177</v>
      </c>
      <c r="P850" t="s">
        <v>68</v>
      </c>
      <c r="Q850">
        <v>35.700000000000003</v>
      </c>
      <c r="R850">
        <v>8</v>
      </c>
      <c r="S850" t="s">
        <v>69</v>
      </c>
    </row>
    <row r="851" spans="1:19" x14ac:dyDescent="0.35">
      <c r="A851">
        <v>1339</v>
      </c>
      <c r="B851" t="str">
        <f>"001339"</f>
        <v>001339</v>
      </c>
      <c r="C851" t="s">
        <v>3616</v>
      </c>
      <c r="D851" t="s">
        <v>3400</v>
      </c>
      <c r="E851" t="s">
        <v>3395</v>
      </c>
      <c r="F851" t="s">
        <v>3396</v>
      </c>
      <c r="G851" t="s">
        <v>383</v>
      </c>
      <c r="H851" t="s">
        <v>3617</v>
      </c>
      <c r="I851" t="s">
        <v>3618</v>
      </c>
      <c r="J851" t="s">
        <v>1215</v>
      </c>
      <c r="K851" t="s">
        <v>55</v>
      </c>
      <c r="L851" t="s">
        <v>3277</v>
      </c>
      <c r="M851" t="s">
        <v>57</v>
      </c>
      <c r="N851" t="str">
        <f>"048298"</f>
        <v>048298</v>
      </c>
      <c r="O851" t="s">
        <v>3274</v>
      </c>
      <c r="P851" t="s">
        <v>68</v>
      </c>
      <c r="Q851">
        <v>62.1</v>
      </c>
      <c r="R851">
        <v>31</v>
      </c>
      <c r="S851" t="s">
        <v>77</v>
      </c>
    </row>
    <row r="852" spans="1:19" x14ac:dyDescent="0.35">
      <c r="A852">
        <v>1347</v>
      </c>
      <c r="B852" t="str">
        <f>"001347"</f>
        <v>001347</v>
      </c>
      <c r="C852" t="s">
        <v>3619</v>
      </c>
      <c r="D852" t="s">
        <v>3394</v>
      </c>
      <c r="E852" t="s">
        <v>3395</v>
      </c>
      <c r="F852" t="s">
        <v>3396</v>
      </c>
      <c r="G852" t="s">
        <v>600</v>
      </c>
      <c r="H852" t="s">
        <v>3620</v>
      </c>
      <c r="I852" t="s">
        <v>3621</v>
      </c>
      <c r="J852" t="s">
        <v>3622</v>
      </c>
      <c r="K852" t="s">
        <v>55</v>
      </c>
      <c r="L852" t="s">
        <v>3623</v>
      </c>
      <c r="M852" t="s">
        <v>57</v>
      </c>
      <c r="N852" t="str">
        <f>"047019"</f>
        <v>047019</v>
      </c>
      <c r="O852" t="s">
        <v>1345</v>
      </c>
      <c r="P852" t="s">
        <v>68</v>
      </c>
      <c r="Q852">
        <v>20.5</v>
      </c>
      <c r="R852">
        <v>22.799999999999997</v>
      </c>
      <c r="S852" t="s">
        <v>60</v>
      </c>
    </row>
    <row r="853" spans="1:19" x14ac:dyDescent="0.35">
      <c r="A853">
        <v>1354</v>
      </c>
      <c r="B853" t="str">
        <f>"001354"</f>
        <v>001354</v>
      </c>
      <c r="C853" t="s">
        <v>3624</v>
      </c>
      <c r="D853" t="s">
        <v>3394</v>
      </c>
      <c r="E853" t="s">
        <v>3395</v>
      </c>
      <c r="F853" t="s">
        <v>3396</v>
      </c>
      <c r="G853" t="s">
        <v>143</v>
      </c>
      <c r="H853" t="s">
        <v>3625</v>
      </c>
      <c r="I853" t="s">
        <v>3626</v>
      </c>
      <c r="J853" t="s">
        <v>2986</v>
      </c>
      <c r="K853" t="s">
        <v>55</v>
      </c>
      <c r="L853" t="s">
        <v>2987</v>
      </c>
      <c r="M853" t="s">
        <v>57</v>
      </c>
      <c r="N853" t="str">
        <f>"048116"</f>
        <v>048116</v>
      </c>
      <c r="O853" t="s">
        <v>2983</v>
      </c>
      <c r="P853" t="s">
        <v>68</v>
      </c>
      <c r="Q853">
        <v>13.8</v>
      </c>
      <c r="R853">
        <v>20.5</v>
      </c>
      <c r="S853" t="s">
        <v>69</v>
      </c>
    </row>
    <row r="854" spans="1:19" x14ac:dyDescent="0.35">
      <c r="A854">
        <v>1362</v>
      </c>
      <c r="B854" t="str">
        <f>"001362"</f>
        <v>001362</v>
      </c>
      <c r="C854" t="s">
        <v>3627</v>
      </c>
      <c r="D854" t="s">
        <v>3394</v>
      </c>
      <c r="E854" t="s">
        <v>3395</v>
      </c>
      <c r="F854" t="s">
        <v>3396</v>
      </c>
      <c r="G854" t="s">
        <v>143</v>
      </c>
      <c r="H854" t="s">
        <v>3628</v>
      </c>
      <c r="I854" t="s">
        <v>3629</v>
      </c>
      <c r="J854" t="s">
        <v>2986</v>
      </c>
      <c r="K854" t="s">
        <v>55</v>
      </c>
      <c r="L854" t="s">
        <v>2987</v>
      </c>
      <c r="M854" t="s">
        <v>57</v>
      </c>
      <c r="N854" t="str">
        <f>"048116"</f>
        <v>048116</v>
      </c>
      <c r="O854" t="s">
        <v>2983</v>
      </c>
      <c r="P854" t="s">
        <v>68</v>
      </c>
      <c r="Q854">
        <v>8</v>
      </c>
      <c r="R854">
        <v>21</v>
      </c>
      <c r="S854" t="s">
        <v>69</v>
      </c>
    </row>
    <row r="855" spans="1:19" x14ac:dyDescent="0.35">
      <c r="A855">
        <v>1370</v>
      </c>
      <c r="B855" t="str">
        <f>"001370"</f>
        <v>001370</v>
      </c>
      <c r="C855" t="s">
        <v>3630</v>
      </c>
      <c r="D855" t="s">
        <v>3398</v>
      </c>
      <c r="E855" t="s">
        <v>3395</v>
      </c>
      <c r="F855" t="s">
        <v>3396</v>
      </c>
      <c r="G855" t="s">
        <v>143</v>
      </c>
      <c r="H855" t="s">
        <v>3631</v>
      </c>
      <c r="I855" t="s">
        <v>3632</v>
      </c>
      <c r="J855" t="s">
        <v>2986</v>
      </c>
      <c r="K855" t="s">
        <v>55</v>
      </c>
      <c r="L855" t="s">
        <v>2987</v>
      </c>
      <c r="M855" t="s">
        <v>57</v>
      </c>
      <c r="N855" t="str">
        <f>"048116"</f>
        <v>048116</v>
      </c>
      <c r="O855" t="s">
        <v>2983</v>
      </c>
      <c r="P855" t="s">
        <v>68</v>
      </c>
      <c r="Q855">
        <v>9.3000000000000007</v>
      </c>
      <c r="R855">
        <v>19.299999999999997</v>
      </c>
      <c r="S855" t="s">
        <v>69</v>
      </c>
    </row>
    <row r="856" spans="1:19" x14ac:dyDescent="0.35">
      <c r="A856">
        <v>1388</v>
      </c>
      <c r="B856" t="str">
        <f>"001388"</f>
        <v>001388</v>
      </c>
      <c r="C856" t="s">
        <v>3633</v>
      </c>
      <c r="D856" t="s">
        <v>3398</v>
      </c>
      <c r="E856" t="s">
        <v>3395</v>
      </c>
      <c r="F856" t="s">
        <v>3396</v>
      </c>
      <c r="G856" t="s">
        <v>143</v>
      </c>
      <c r="H856" t="s">
        <v>1150</v>
      </c>
      <c r="I856" t="s">
        <v>1151</v>
      </c>
      <c r="J856" t="s">
        <v>1152</v>
      </c>
      <c r="K856" t="s">
        <v>55</v>
      </c>
      <c r="L856" t="s">
        <v>1153</v>
      </c>
      <c r="M856" t="s">
        <v>57</v>
      </c>
      <c r="N856" t="str">
        <f>"048124"</f>
        <v>048124</v>
      </c>
      <c r="O856" t="s">
        <v>1149</v>
      </c>
      <c r="P856" t="s">
        <v>68</v>
      </c>
      <c r="Q856">
        <v>8.5</v>
      </c>
      <c r="R856">
        <v>11.700000000000003</v>
      </c>
      <c r="S856" t="s">
        <v>69</v>
      </c>
    </row>
    <row r="857" spans="1:19" x14ac:dyDescent="0.35">
      <c r="A857">
        <v>1396</v>
      </c>
      <c r="B857" t="str">
        <f>"001396"</f>
        <v>001396</v>
      </c>
      <c r="C857" t="s">
        <v>3634</v>
      </c>
      <c r="D857" t="s">
        <v>3394</v>
      </c>
      <c r="E857" t="s">
        <v>3395</v>
      </c>
      <c r="F857" t="s">
        <v>3396</v>
      </c>
      <c r="G857" t="s">
        <v>600</v>
      </c>
      <c r="H857" t="s">
        <v>3635</v>
      </c>
      <c r="I857" t="s">
        <v>3636</v>
      </c>
      <c r="J857" t="s">
        <v>1348</v>
      </c>
      <c r="K857" t="s">
        <v>55</v>
      </c>
      <c r="L857" t="s">
        <v>3637</v>
      </c>
      <c r="M857" t="s">
        <v>57</v>
      </c>
      <c r="N857" t="str">
        <f>"043802"</f>
        <v>043802</v>
      </c>
      <c r="O857" t="s">
        <v>3171</v>
      </c>
      <c r="P857" t="s">
        <v>68</v>
      </c>
      <c r="Q857">
        <v>100</v>
      </c>
      <c r="R857">
        <v>59.7</v>
      </c>
      <c r="S857" t="s">
        <v>60</v>
      </c>
    </row>
    <row r="858" spans="1:19" x14ac:dyDescent="0.35">
      <c r="A858">
        <v>1404</v>
      </c>
      <c r="B858" t="str">
        <f>"001404"</f>
        <v>001404</v>
      </c>
      <c r="C858" t="s">
        <v>3634</v>
      </c>
      <c r="D858" t="s">
        <v>3394</v>
      </c>
      <c r="E858" t="s">
        <v>3395</v>
      </c>
      <c r="F858" t="s">
        <v>3396</v>
      </c>
      <c r="G858" t="s">
        <v>117</v>
      </c>
      <c r="H858" t="s">
        <v>3638</v>
      </c>
      <c r="I858" t="s">
        <v>3639</v>
      </c>
      <c r="J858" t="s">
        <v>1409</v>
      </c>
      <c r="K858" t="s">
        <v>55</v>
      </c>
      <c r="L858" t="s">
        <v>3640</v>
      </c>
      <c r="M858" t="s">
        <v>57</v>
      </c>
      <c r="N858" t="str">
        <f>"049932"</f>
        <v>049932</v>
      </c>
      <c r="O858" t="s">
        <v>1406</v>
      </c>
      <c r="P858" t="s">
        <v>68</v>
      </c>
      <c r="Q858">
        <v>47.5</v>
      </c>
      <c r="R858">
        <v>31.799999999999997</v>
      </c>
      <c r="S858" t="s">
        <v>77</v>
      </c>
    </row>
    <row r="859" spans="1:19" x14ac:dyDescent="0.35">
      <c r="A859">
        <v>1412</v>
      </c>
      <c r="B859" t="str">
        <f>"001412"</f>
        <v>001412</v>
      </c>
      <c r="C859" t="s">
        <v>3641</v>
      </c>
      <c r="D859" t="s">
        <v>3394</v>
      </c>
      <c r="E859" t="s">
        <v>3395</v>
      </c>
      <c r="F859" t="s">
        <v>3396</v>
      </c>
      <c r="G859" t="s">
        <v>2304</v>
      </c>
      <c r="H859" t="s">
        <v>2963</v>
      </c>
      <c r="I859" t="s">
        <v>2964</v>
      </c>
      <c r="J859" t="s">
        <v>2304</v>
      </c>
      <c r="K859" t="s">
        <v>55</v>
      </c>
      <c r="L859" t="s">
        <v>2369</v>
      </c>
      <c r="M859" t="s">
        <v>57</v>
      </c>
      <c r="N859" t="str">
        <f>"046706"</f>
        <v>046706</v>
      </c>
      <c r="O859" t="s">
        <v>2962</v>
      </c>
      <c r="P859" t="s">
        <v>68</v>
      </c>
      <c r="Q859">
        <v>24.6</v>
      </c>
      <c r="R859">
        <v>15.299999999999997</v>
      </c>
      <c r="S859" t="s">
        <v>156</v>
      </c>
    </row>
    <row r="860" spans="1:19" x14ac:dyDescent="0.35">
      <c r="A860">
        <v>1420</v>
      </c>
      <c r="B860" t="str">
        <f>"001420"</f>
        <v>001420</v>
      </c>
      <c r="C860" t="s">
        <v>3642</v>
      </c>
      <c r="D860" t="s">
        <v>3398</v>
      </c>
      <c r="E860" t="s">
        <v>3395</v>
      </c>
      <c r="F860" t="s">
        <v>3396</v>
      </c>
      <c r="G860" t="s">
        <v>2304</v>
      </c>
      <c r="H860" t="s">
        <v>2963</v>
      </c>
      <c r="I860" t="s">
        <v>2964</v>
      </c>
      <c r="J860" t="s">
        <v>2304</v>
      </c>
      <c r="K860" t="s">
        <v>55</v>
      </c>
      <c r="L860" t="s">
        <v>2369</v>
      </c>
      <c r="M860" t="s">
        <v>57</v>
      </c>
      <c r="N860" t="str">
        <f>"046706"</f>
        <v>046706</v>
      </c>
      <c r="O860" t="s">
        <v>2962</v>
      </c>
      <c r="P860" t="s">
        <v>68</v>
      </c>
      <c r="Q860">
        <v>16.3</v>
      </c>
      <c r="R860">
        <v>12.799999999999997</v>
      </c>
      <c r="S860" t="s">
        <v>156</v>
      </c>
    </row>
    <row r="861" spans="1:19" x14ac:dyDescent="0.35">
      <c r="A861">
        <v>1438</v>
      </c>
      <c r="B861" t="str">
        <f>"001438"</f>
        <v>001438</v>
      </c>
      <c r="C861" t="s">
        <v>3643</v>
      </c>
      <c r="D861" t="s">
        <v>3394</v>
      </c>
      <c r="E861" t="s">
        <v>3395</v>
      </c>
      <c r="F861" t="s">
        <v>3396</v>
      </c>
      <c r="G861" t="s">
        <v>244</v>
      </c>
      <c r="H861" t="s">
        <v>3644</v>
      </c>
      <c r="I861" t="s">
        <v>3645</v>
      </c>
      <c r="J861" t="s">
        <v>3646</v>
      </c>
      <c r="K861" t="s">
        <v>55</v>
      </c>
      <c r="L861" t="s">
        <v>3647</v>
      </c>
      <c r="M861" t="s">
        <v>57</v>
      </c>
      <c r="N861" t="str">
        <f>"046094"</f>
        <v>046094</v>
      </c>
      <c r="O861" t="s">
        <v>243</v>
      </c>
      <c r="P861" t="s">
        <v>68</v>
      </c>
      <c r="Q861">
        <v>45.2</v>
      </c>
      <c r="R861">
        <v>14.700000000000003</v>
      </c>
      <c r="S861" t="s">
        <v>217</v>
      </c>
    </row>
    <row r="862" spans="1:19" x14ac:dyDescent="0.35">
      <c r="A862">
        <v>1446</v>
      </c>
      <c r="B862" t="str">
        <f>"001446"</f>
        <v>001446</v>
      </c>
      <c r="C862" t="s">
        <v>3648</v>
      </c>
      <c r="D862" t="s">
        <v>3398</v>
      </c>
      <c r="E862" t="s">
        <v>3395</v>
      </c>
      <c r="F862" t="s">
        <v>3396</v>
      </c>
      <c r="G862" t="s">
        <v>169</v>
      </c>
      <c r="H862" t="s">
        <v>1538</v>
      </c>
      <c r="I862" t="s">
        <v>1539</v>
      </c>
      <c r="J862" t="s">
        <v>1540</v>
      </c>
      <c r="K862" t="s">
        <v>55</v>
      </c>
      <c r="L862" t="s">
        <v>1541</v>
      </c>
      <c r="M862" t="s">
        <v>57</v>
      </c>
      <c r="N862" t="str">
        <f>"050179"</f>
        <v>050179</v>
      </c>
      <c r="O862" t="s">
        <v>1537</v>
      </c>
      <c r="P862" t="s">
        <v>68</v>
      </c>
      <c r="Q862">
        <v>36.700000000000003</v>
      </c>
      <c r="R862">
        <v>5.0999999999999943</v>
      </c>
      <c r="S862" t="s">
        <v>77</v>
      </c>
    </row>
    <row r="863" spans="1:19" x14ac:dyDescent="0.35">
      <c r="A863">
        <v>1453</v>
      </c>
      <c r="B863" t="str">
        <f>"001453"</f>
        <v>001453</v>
      </c>
      <c r="C863" t="s">
        <v>3649</v>
      </c>
      <c r="D863" t="s">
        <v>3400</v>
      </c>
      <c r="E863" t="s">
        <v>3395</v>
      </c>
      <c r="F863" t="s">
        <v>3396</v>
      </c>
      <c r="G863" t="s">
        <v>318</v>
      </c>
      <c r="H863" t="s">
        <v>3329</v>
      </c>
      <c r="I863" t="s">
        <v>3330</v>
      </c>
      <c r="J863" t="s">
        <v>3331</v>
      </c>
      <c r="K863" t="s">
        <v>55</v>
      </c>
      <c r="L863" t="s">
        <v>3332</v>
      </c>
      <c r="M863" t="s">
        <v>57</v>
      </c>
      <c r="N863" t="str">
        <f>"049510"</f>
        <v>049510</v>
      </c>
      <c r="O863" t="s">
        <v>3328</v>
      </c>
      <c r="P863" t="s">
        <v>68</v>
      </c>
      <c r="Q863">
        <v>96.8</v>
      </c>
      <c r="R863">
        <v>5.7000000000000028</v>
      </c>
      <c r="S863" t="s">
        <v>130</v>
      </c>
    </row>
    <row r="864" spans="1:19" x14ac:dyDescent="0.35">
      <c r="A864">
        <v>1461</v>
      </c>
      <c r="B864" t="str">
        <f>"001461"</f>
        <v>001461</v>
      </c>
      <c r="C864" t="s">
        <v>3650</v>
      </c>
      <c r="D864" t="s">
        <v>3394</v>
      </c>
      <c r="E864" t="s">
        <v>3395</v>
      </c>
      <c r="F864" t="s">
        <v>3396</v>
      </c>
      <c r="G864" t="s">
        <v>169</v>
      </c>
      <c r="H864" t="s">
        <v>3651</v>
      </c>
      <c r="I864" t="s">
        <v>3652</v>
      </c>
      <c r="J864" t="s">
        <v>3653</v>
      </c>
      <c r="K864" t="s">
        <v>55</v>
      </c>
      <c r="L864" t="s">
        <v>3654</v>
      </c>
      <c r="M864" t="s">
        <v>57</v>
      </c>
      <c r="N864" t="str">
        <f>"050153"</f>
        <v>050153</v>
      </c>
      <c r="O864" t="s">
        <v>1091</v>
      </c>
      <c r="P864" t="s">
        <v>68</v>
      </c>
      <c r="Q864">
        <v>53.8</v>
      </c>
      <c r="R864">
        <v>6.0999999999999943</v>
      </c>
      <c r="S864" t="s">
        <v>77</v>
      </c>
    </row>
    <row r="865" spans="1:19" x14ac:dyDescent="0.35">
      <c r="A865">
        <v>1537</v>
      </c>
      <c r="B865" t="str">
        <f>"001537"</f>
        <v>001537</v>
      </c>
      <c r="C865" t="s">
        <v>3655</v>
      </c>
      <c r="D865" t="s">
        <v>3394</v>
      </c>
      <c r="E865" t="s">
        <v>3395</v>
      </c>
      <c r="F865" t="s">
        <v>3396</v>
      </c>
      <c r="G865" t="s">
        <v>264</v>
      </c>
      <c r="H865" t="s">
        <v>3656</v>
      </c>
      <c r="I865" t="s">
        <v>3657</v>
      </c>
      <c r="J865" t="s">
        <v>267</v>
      </c>
      <c r="K865" t="s">
        <v>55</v>
      </c>
      <c r="L865" t="s">
        <v>3658</v>
      </c>
      <c r="M865" t="s">
        <v>57</v>
      </c>
      <c r="N865" t="str">
        <f>"043489"</f>
        <v>043489</v>
      </c>
      <c r="O865" t="s">
        <v>3176</v>
      </c>
      <c r="P865" t="s">
        <v>68</v>
      </c>
      <c r="Q865">
        <v>100</v>
      </c>
      <c r="R865">
        <v>77.900000000000006</v>
      </c>
      <c r="S865" t="s">
        <v>77</v>
      </c>
    </row>
    <row r="866" spans="1:19" x14ac:dyDescent="0.35">
      <c r="A866">
        <v>1545</v>
      </c>
      <c r="B866" t="str">
        <f>"001545"</f>
        <v>001545</v>
      </c>
      <c r="C866" t="s">
        <v>3659</v>
      </c>
      <c r="D866" t="s">
        <v>3398</v>
      </c>
      <c r="E866" t="s">
        <v>3395</v>
      </c>
      <c r="F866" t="s">
        <v>3396</v>
      </c>
      <c r="G866" t="s">
        <v>264</v>
      </c>
      <c r="H866" t="s">
        <v>3660</v>
      </c>
      <c r="I866" t="s">
        <v>3661</v>
      </c>
      <c r="J866" t="s">
        <v>2558</v>
      </c>
      <c r="K866" t="s">
        <v>55</v>
      </c>
      <c r="L866" t="s">
        <v>2559</v>
      </c>
      <c r="M866" t="s">
        <v>57</v>
      </c>
      <c r="N866" t="str">
        <f>"043539"</f>
        <v>043539</v>
      </c>
      <c r="O866" t="s">
        <v>2555</v>
      </c>
      <c r="P866" t="s">
        <v>68</v>
      </c>
      <c r="Q866">
        <v>65.400000000000006</v>
      </c>
      <c r="R866">
        <v>27.700000000000003</v>
      </c>
      <c r="S866" t="s">
        <v>77</v>
      </c>
    </row>
    <row r="867" spans="1:19" x14ac:dyDescent="0.35">
      <c r="A867">
        <v>1578</v>
      </c>
      <c r="B867" t="str">
        <f>"001578"</f>
        <v>001578</v>
      </c>
      <c r="C867" t="s">
        <v>3662</v>
      </c>
      <c r="D867" t="s">
        <v>3400</v>
      </c>
      <c r="E867" t="s">
        <v>3395</v>
      </c>
      <c r="F867" t="s">
        <v>3396</v>
      </c>
      <c r="G867" t="s">
        <v>124</v>
      </c>
      <c r="H867" t="s">
        <v>3663</v>
      </c>
      <c r="I867" t="s">
        <v>3664</v>
      </c>
      <c r="J867" t="s">
        <v>2829</v>
      </c>
      <c r="K867" t="s">
        <v>55</v>
      </c>
      <c r="L867" t="s">
        <v>2830</v>
      </c>
      <c r="M867" t="s">
        <v>57</v>
      </c>
      <c r="N867" t="str">
        <f>"050500"</f>
        <v>050500</v>
      </c>
      <c r="O867" t="s">
        <v>2826</v>
      </c>
      <c r="P867" t="s">
        <v>68</v>
      </c>
      <c r="Q867">
        <v>38.5</v>
      </c>
      <c r="R867">
        <v>6.2999999999999972</v>
      </c>
      <c r="S867" t="s">
        <v>130</v>
      </c>
    </row>
    <row r="868" spans="1:19" x14ac:dyDescent="0.35">
      <c r="A868">
        <v>1594</v>
      </c>
      <c r="B868" t="str">
        <f>"001594"</f>
        <v>001594</v>
      </c>
      <c r="C868" t="s">
        <v>3665</v>
      </c>
      <c r="D868" t="s">
        <v>3394</v>
      </c>
      <c r="E868" t="s">
        <v>3395</v>
      </c>
      <c r="F868" t="s">
        <v>3396</v>
      </c>
      <c r="G868" t="s">
        <v>233</v>
      </c>
      <c r="H868" t="s">
        <v>2711</v>
      </c>
      <c r="I868" t="s">
        <v>2712</v>
      </c>
      <c r="J868" t="s">
        <v>2713</v>
      </c>
      <c r="K868" t="s">
        <v>55</v>
      </c>
      <c r="L868" t="s">
        <v>2714</v>
      </c>
      <c r="M868" t="s">
        <v>57</v>
      </c>
      <c r="N868" t="str">
        <f>"045203"</f>
        <v>045203</v>
      </c>
      <c r="O868" t="s">
        <v>2710</v>
      </c>
      <c r="P868" t="s">
        <v>68</v>
      </c>
      <c r="Q868">
        <v>46.3</v>
      </c>
      <c r="R868">
        <v>3.0999999999999943</v>
      </c>
      <c r="S868" t="s">
        <v>130</v>
      </c>
    </row>
    <row r="869" spans="1:19" x14ac:dyDescent="0.35">
      <c r="A869">
        <v>1602</v>
      </c>
      <c r="B869" t="str">
        <f>"001602"</f>
        <v>001602</v>
      </c>
      <c r="C869" t="s">
        <v>3666</v>
      </c>
      <c r="D869" t="s">
        <v>3398</v>
      </c>
      <c r="E869" t="s">
        <v>3395</v>
      </c>
      <c r="F869" t="s">
        <v>3396</v>
      </c>
      <c r="G869" t="s">
        <v>233</v>
      </c>
      <c r="H869" t="s">
        <v>3667</v>
      </c>
      <c r="I869" t="s">
        <v>3668</v>
      </c>
      <c r="J869" t="s">
        <v>2713</v>
      </c>
      <c r="K869" t="s">
        <v>55</v>
      </c>
      <c r="L869" t="s">
        <v>2714</v>
      </c>
      <c r="M869" t="s">
        <v>57</v>
      </c>
      <c r="N869" t="str">
        <f>"045203"</f>
        <v>045203</v>
      </c>
      <c r="O869" t="s">
        <v>2710</v>
      </c>
      <c r="P869" t="s">
        <v>68</v>
      </c>
      <c r="Q869">
        <v>33.799999999999997</v>
      </c>
      <c r="R869">
        <v>4.5</v>
      </c>
      <c r="S869" t="s">
        <v>130</v>
      </c>
    </row>
    <row r="870" spans="1:19" x14ac:dyDescent="0.35">
      <c r="A870">
        <v>1628</v>
      </c>
      <c r="B870" t="str">
        <f>"001628"</f>
        <v>001628</v>
      </c>
      <c r="C870" t="s">
        <v>3669</v>
      </c>
      <c r="D870" t="s">
        <v>3394</v>
      </c>
      <c r="E870" t="s">
        <v>3395</v>
      </c>
      <c r="F870" t="s">
        <v>3396</v>
      </c>
      <c r="G870" t="s">
        <v>143</v>
      </c>
      <c r="H870" t="s">
        <v>3670</v>
      </c>
      <c r="I870" t="s">
        <v>3671</v>
      </c>
      <c r="J870" t="s">
        <v>3076</v>
      </c>
      <c r="K870" t="s">
        <v>55</v>
      </c>
      <c r="L870" t="s">
        <v>3077</v>
      </c>
      <c r="M870" t="s">
        <v>57</v>
      </c>
      <c r="N870" t="str">
        <f>"044768"</f>
        <v>044768</v>
      </c>
      <c r="O870" t="s">
        <v>3073</v>
      </c>
      <c r="P870" t="s">
        <v>68</v>
      </c>
      <c r="Q870">
        <v>43.6</v>
      </c>
      <c r="R870">
        <v>22.299999999999997</v>
      </c>
      <c r="S870" t="s">
        <v>69</v>
      </c>
    </row>
    <row r="871" spans="1:19" x14ac:dyDescent="0.35">
      <c r="A871">
        <v>1644</v>
      </c>
      <c r="B871" t="str">
        <f>"001644"</f>
        <v>001644</v>
      </c>
      <c r="C871" t="s">
        <v>3672</v>
      </c>
      <c r="D871" t="s">
        <v>3394</v>
      </c>
      <c r="E871" t="s">
        <v>3395</v>
      </c>
      <c r="F871" t="s">
        <v>3396</v>
      </c>
      <c r="G871" t="s">
        <v>600</v>
      </c>
      <c r="H871" t="s">
        <v>3673</v>
      </c>
      <c r="I871" t="s">
        <v>3674</v>
      </c>
      <c r="J871" t="s">
        <v>1017</v>
      </c>
      <c r="K871" t="s">
        <v>55</v>
      </c>
      <c r="L871" t="s">
        <v>1018</v>
      </c>
      <c r="M871" t="s">
        <v>57</v>
      </c>
      <c r="N871" t="str">
        <f>"044933"</f>
        <v>044933</v>
      </c>
      <c r="O871" t="s">
        <v>1014</v>
      </c>
      <c r="P871" t="s">
        <v>68</v>
      </c>
      <c r="Q871">
        <v>1.4</v>
      </c>
      <c r="R871">
        <v>9.2999999999999972</v>
      </c>
      <c r="S871" t="s">
        <v>60</v>
      </c>
    </row>
    <row r="872" spans="1:19" x14ac:dyDescent="0.35">
      <c r="A872">
        <v>1669</v>
      </c>
      <c r="B872" t="str">
        <f>"001669"</f>
        <v>001669</v>
      </c>
      <c r="C872" t="s">
        <v>3675</v>
      </c>
      <c r="D872" t="s">
        <v>3394</v>
      </c>
      <c r="E872" t="s">
        <v>3395</v>
      </c>
      <c r="F872" t="s">
        <v>3396</v>
      </c>
      <c r="G872" t="s">
        <v>169</v>
      </c>
      <c r="H872" t="s">
        <v>3676</v>
      </c>
      <c r="I872" t="s">
        <v>3677</v>
      </c>
      <c r="J872" t="s">
        <v>2898</v>
      </c>
      <c r="K872" t="s">
        <v>55</v>
      </c>
      <c r="L872" t="s">
        <v>2899</v>
      </c>
      <c r="M872" t="s">
        <v>57</v>
      </c>
      <c r="N872" t="str">
        <f>"050245"</f>
        <v>050245</v>
      </c>
      <c r="O872" t="s">
        <v>2895</v>
      </c>
      <c r="P872" t="s">
        <v>68</v>
      </c>
      <c r="Q872">
        <v>59</v>
      </c>
      <c r="R872">
        <v>15.799999999999997</v>
      </c>
      <c r="S872" t="s">
        <v>77</v>
      </c>
    </row>
    <row r="873" spans="1:19" x14ac:dyDescent="0.35">
      <c r="A873">
        <v>1677</v>
      </c>
      <c r="B873" t="str">
        <f>"001677"</f>
        <v>001677</v>
      </c>
      <c r="C873" t="s">
        <v>3678</v>
      </c>
      <c r="D873" t="s">
        <v>3394</v>
      </c>
      <c r="E873" t="s">
        <v>3395</v>
      </c>
      <c r="F873" t="s">
        <v>3396</v>
      </c>
      <c r="G873" t="s">
        <v>63</v>
      </c>
      <c r="H873" t="s">
        <v>3679</v>
      </c>
      <c r="I873" t="s">
        <v>3680</v>
      </c>
      <c r="J873" t="s">
        <v>3051</v>
      </c>
      <c r="K873" t="s">
        <v>55</v>
      </c>
      <c r="L873" t="s">
        <v>3052</v>
      </c>
      <c r="M873" t="s">
        <v>57</v>
      </c>
      <c r="N873" t="str">
        <f>"045062"</f>
        <v>045062</v>
      </c>
      <c r="O873" t="s">
        <v>3048</v>
      </c>
      <c r="P873" t="s">
        <v>68</v>
      </c>
      <c r="Q873">
        <v>15.2</v>
      </c>
      <c r="R873">
        <v>22.900000000000006</v>
      </c>
      <c r="S873" t="s">
        <v>69</v>
      </c>
    </row>
    <row r="874" spans="1:19" x14ac:dyDescent="0.35">
      <c r="A874">
        <v>1685</v>
      </c>
      <c r="B874" t="str">
        <f>"001685"</f>
        <v>001685</v>
      </c>
      <c r="C874" t="s">
        <v>3681</v>
      </c>
      <c r="D874" t="s">
        <v>3394</v>
      </c>
      <c r="E874" t="s">
        <v>3395</v>
      </c>
      <c r="F874" t="s">
        <v>3396</v>
      </c>
      <c r="G874" t="s">
        <v>257</v>
      </c>
      <c r="H874" t="s">
        <v>3682</v>
      </c>
      <c r="I874" t="s">
        <v>3683</v>
      </c>
      <c r="J874" t="s">
        <v>1725</v>
      </c>
      <c r="K874" t="s">
        <v>55</v>
      </c>
      <c r="L874" t="s">
        <v>1726</v>
      </c>
      <c r="M874" t="s">
        <v>57</v>
      </c>
      <c r="N874" t="str">
        <f>"044651"</f>
        <v>044651</v>
      </c>
      <c r="O874" t="s">
        <v>1722</v>
      </c>
      <c r="P874" t="s">
        <v>68</v>
      </c>
      <c r="Q874">
        <v>44.8</v>
      </c>
      <c r="R874">
        <v>21</v>
      </c>
      <c r="S874" t="s">
        <v>156</v>
      </c>
    </row>
    <row r="875" spans="1:19" x14ac:dyDescent="0.35">
      <c r="A875">
        <v>1693</v>
      </c>
      <c r="B875" t="str">
        <f>"001693"</f>
        <v>001693</v>
      </c>
      <c r="C875" t="s">
        <v>3684</v>
      </c>
      <c r="D875" t="s">
        <v>3394</v>
      </c>
      <c r="E875" t="s">
        <v>3395</v>
      </c>
      <c r="F875" t="s">
        <v>3396</v>
      </c>
      <c r="G875" t="s">
        <v>1041</v>
      </c>
      <c r="H875" t="s">
        <v>3685</v>
      </c>
      <c r="I875" t="s">
        <v>3686</v>
      </c>
      <c r="J875" t="s">
        <v>2025</v>
      </c>
      <c r="K875" t="s">
        <v>55</v>
      </c>
      <c r="L875" t="s">
        <v>2026</v>
      </c>
      <c r="M875" t="s">
        <v>57</v>
      </c>
      <c r="N875" t="str">
        <f>"046300"</f>
        <v>046300</v>
      </c>
      <c r="O875" t="s">
        <v>2394</v>
      </c>
      <c r="P875" t="s">
        <v>68</v>
      </c>
      <c r="Q875">
        <v>42.2</v>
      </c>
      <c r="R875">
        <v>16</v>
      </c>
      <c r="S875" t="s">
        <v>217</v>
      </c>
    </row>
    <row r="876" spans="1:19" x14ac:dyDescent="0.35">
      <c r="A876">
        <v>1701</v>
      </c>
      <c r="B876" t="str">
        <f>"001701"</f>
        <v>001701</v>
      </c>
      <c r="C876" t="s">
        <v>3687</v>
      </c>
      <c r="D876" t="s">
        <v>3398</v>
      </c>
      <c r="E876" t="s">
        <v>3395</v>
      </c>
      <c r="F876" t="s">
        <v>3396</v>
      </c>
      <c r="G876" t="s">
        <v>1041</v>
      </c>
      <c r="H876" t="s">
        <v>3688</v>
      </c>
      <c r="I876" t="s">
        <v>3689</v>
      </c>
      <c r="J876" t="s">
        <v>2025</v>
      </c>
      <c r="K876" t="s">
        <v>55</v>
      </c>
      <c r="L876" t="s">
        <v>2026</v>
      </c>
      <c r="M876" t="s">
        <v>57</v>
      </c>
      <c r="N876" t="str">
        <f>"046300"</f>
        <v>046300</v>
      </c>
      <c r="O876" t="s">
        <v>2394</v>
      </c>
      <c r="P876" t="s">
        <v>68</v>
      </c>
      <c r="Q876">
        <v>35.4</v>
      </c>
      <c r="R876">
        <v>14.799999999999997</v>
      </c>
      <c r="S876" t="s">
        <v>217</v>
      </c>
    </row>
    <row r="877" spans="1:19" x14ac:dyDescent="0.35">
      <c r="A877">
        <v>1735</v>
      </c>
      <c r="B877" t="str">
        <f>"001735"</f>
        <v>001735</v>
      </c>
      <c r="C877" t="s">
        <v>3690</v>
      </c>
      <c r="D877" t="s">
        <v>3394</v>
      </c>
      <c r="E877" t="s">
        <v>3395</v>
      </c>
      <c r="F877" t="s">
        <v>3396</v>
      </c>
      <c r="G877" t="s">
        <v>264</v>
      </c>
      <c r="H877" t="s">
        <v>3691</v>
      </c>
      <c r="I877" t="s">
        <v>3692</v>
      </c>
      <c r="J877" t="s">
        <v>267</v>
      </c>
      <c r="K877" t="s">
        <v>55</v>
      </c>
      <c r="L877" t="s">
        <v>3693</v>
      </c>
      <c r="M877" t="s">
        <v>57</v>
      </c>
      <c r="N877" t="str">
        <f>"050054"</f>
        <v>050054</v>
      </c>
      <c r="O877" t="s">
        <v>2276</v>
      </c>
      <c r="P877" t="s">
        <v>68</v>
      </c>
      <c r="Q877">
        <v>4.4000000000000004</v>
      </c>
      <c r="R877">
        <v>17</v>
      </c>
      <c r="S877" t="s">
        <v>77</v>
      </c>
    </row>
    <row r="878" spans="1:19" x14ac:dyDescent="0.35">
      <c r="A878">
        <v>1743</v>
      </c>
      <c r="B878" t="str">
        <f>"001743"</f>
        <v>001743</v>
      </c>
      <c r="C878" t="s">
        <v>3690</v>
      </c>
      <c r="D878" t="s">
        <v>3394</v>
      </c>
      <c r="E878" t="s">
        <v>3395</v>
      </c>
      <c r="F878" t="s">
        <v>3396</v>
      </c>
      <c r="G878" t="s">
        <v>1193</v>
      </c>
      <c r="H878" t="s">
        <v>3694</v>
      </c>
      <c r="I878" t="s">
        <v>3695</v>
      </c>
      <c r="J878" t="s">
        <v>1196</v>
      </c>
      <c r="K878" t="s">
        <v>55</v>
      </c>
      <c r="L878" t="s">
        <v>1197</v>
      </c>
      <c r="M878" t="s">
        <v>57</v>
      </c>
      <c r="N878" t="str">
        <f>"045765"</f>
        <v>045765</v>
      </c>
      <c r="O878" t="s">
        <v>1192</v>
      </c>
      <c r="P878" t="s">
        <v>68</v>
      </c>
      <c r="Q878">
        <v>43.5</v>
      </c>
      <c r="R878">
        <v>17.299999999999997</v>
      </c>
      <c r="S878" t="s">
        <v>156</v>
      </c>
    </row>
    <row r="879" spans="1:19" x14ac:dyDescent="0.35">
      <c r="A879">
        <v>1750</v>
      </c>
      <c r="B879" t="str">
        <f>"001750"</f>
        <v>001750</v>
      </c>
      <c r="C879" t="s">
        <v>3696</v>
      </c>
      <c r="D879" t="s">
        <v>3398</v>
      </c>
      <c r="E879" t="s">
        <v>3395</v>
      </c>
      <c r="F879" t="s">
        <v>3396</v>
      </c>
      <c r="G879" t="s">
        <v>1193</v>
      </c>
      <c r="H879" t="s">
        <v>3697</v>
      </c>
      <c r="I879" t="s">
        <v>3698</v>
      </c>
      <c r="J879" t="s">
        <v>1196</v>
      </c>
      <c r="K879" t="s">
        <v>55</v>
      </c>
      <c r="L879" t="s">
        <v>1197</v>
      </c>
      <c r="M879" t="s">
        <v>57</v>
      </c>
      <c r="N879" t="str">
        <f>"045765"</f>
        <v>045765</v>
      </c>
      <c r="O879" t="s">
        <v>1192</v>
      </c>
      <c r="P879" t="s">
        <v>68</v>
      </c>
      <c r="Q879">
        <v>30.6</v>
      </c>
      <c r="R879">
        <v>10.900000000000006</v>
      </c>
      <c r="S879" t="s">
        <v>156</v>
      </c>
    </row>
    <row r="880" spans="1:19" x14ac:dyDescent="0.35">
      <c r="A880">
        <v>1768</v>
      </c>
      <c r="B880" t="str">
        <f>"001768"</f>
        <v>001768</v>
      </c>
      <c r="C880" t="s">
        <v>3699</v>
      </c>
      <c r="D880" t="s">
        <v>3400</v>
      </c>
      <c r="E880" t="s">
        <v>3395</v>
      </c>
      <c r="F880" t="s">
        <v>3396</v>
      </c>
      <c r="G880" t="s">
        <v>1193</v>
      </c>
      <c r="H880" t="s">
        <v>3700</v>
      </c>
      <c r="I880" t="s">
        <v>3701</v>
      </c>
      <c r="J880" t="s">
        <v>1196</v>
      </c>
      <c r="K880" t="s">
        <v>55</v>
      </c>
      <c r="L880" t="s">
        <v>1197</v>
      </c>
      <c r="M880" t="s">
        <v>57</v>
      </c>
      <c r="N880" t="str">
        <f>"045765"</f>
        <v>045765</v>
      </c>
      <c r="O880" t="s">
        <v>1192</v>
      </c>
      <c r="P880" t="s">
        <v>68</v>
      </c>
      <c r="Q880">
        <v>38.1</v>
      </c>
      <c r="R880">
        <v>11.799999999999997</v>
      </c>
      <c r="S880" t="s">
        <v>156</v>
      </c>
    </row>
    <row r="881" spans="1:19" x14ac:dyDescent="0.35">
      <c r="A881">
        <v>1776</v>
      </c>
      <c r="B881" t="str">
        <f>"001776"</f>
        <v>001776</v>
      </c>
      <c r="C881" t="s">
        <v>3702</v>
      </c>
      <c r="D881" t="s">
        <v>3394</v>
      </c>
      <c r="E881" t="s">
        <v>3395</v>
      </c>
      <c r="F881" t="s">
        <v>3396</v>
      </c>
      <c r="G881" t="s">
        <v>543</v>
      </c>
      <c r="H881" t="s">
        <v>3703</v>
      </c>
      <c r="I881" t="s">
        <v>3704</v>
      </c>
      <c r="J881" t="s">
        <v>687</v>
      </c>
      <c r="K881" t="s">
        <v>55</v>
      </c>
      <c r="L881" t="s">
        <v>3205</v>
      </c>
      <c r="M881" t="s">
        <v>57</v>
      </c>
      <c r="N881" t="str">
        <f>"044396"</f>
        <v>044396</v>
      </c>
      <c r="O881" t="s">
        <v>787</v>
      </c>
      <c r="P881" t="s">
        <v>68</v>
      </c>
      <c r="Q881">
        <v>49.6</v>
      </c>
      <c r="R881">
        <v>42.4</v>
      </c>
      <c r="S881" t="s">
        <v>180</v>
      </c>
    </row>
    <row r="882" spans="1:19" x14ac:dyDescent="0.35">
      <c r="A882">
        <v>1792</v>
      </c>
      <c r="B882" t="str">
        <f>"001792"</f>
        <v>001792</v>
      </c>
      <c r="C882" t="s">
        <v>3705</v>
      </c>
      <c r="D882" t="s">
        <v>3398</v>
      </c>
      <c r="E882" t="s">
        <v>3395</v>
      </c>
      <c r="F882" t="s">
        <v>3396</v>
      </c>
      <c r="G882" t="s">
        <v>63</v>
      </c>
      <c r="H882" t="s">
        <v>3706</v>
      </c>
      <c r="I882" t="s">
        <v>3707</v>
      </c>
      <c r="J882" t="s">
        <v>1353</v>
      </c>
      <c r="K882" t="s">
        <v>55</v>
      </c>
      <c r="L882" t="s">
        <v>1354</v>
      </c>
      <c r="M882" t="s">
        <v>57</v>
      </c>
      <c r="N882" t="str">
        <f>"043547"</f>
        <v>043547</v>
      </c>
      <c r="O882" t="s">
        <v>1350</v>
      </c>
      <c r="P882" t="s">
        <v>68</v>
      </c>
      <c r="Q882">
        <v>4.5</v>
      </c>
      <c r="R882">
        <v>8.7000000000000028</v>
      </c>
      <c r="S882" t="s">
        <v>69</v>
      </c>
    </row>
    <row r="883" spans="1:19" x14ac:dyDescent="0.35">
      <c r="A883">
        <v>1800</v>
      </c>
      <c r="B883" t="str">
        <f>"001800"</f>
        <v>001800</v>
      </c>
      <c r="C883" t="s">
        <v>3708</v>
      </c>
      <c r="D883" t="s">
        <v>3400</v>
      </c>
      <c r="E883" t="s">
        <v>3395</v>
      </c>
      <c r="F883" t="s">
        <v>3396</v>
      </c>
      <c r="G883" t="s">
        <v>63</v>
      </c>
      <c r="H883" t="s">
        <v>3709</v>
      </c>
      <c r="I883" t="s">
        <v>3710</v>
      </c>
      <c r="J883" t="s">
        <v>1353</v>
      </c>
      <c r="K883" t="s">
        <v>55</v>
      </c>
      <c r="L883" t="s">
        <v>1354</v>
      </c>
      <c r="M883" t="s">
        <v>57</v>
      </c>
      <c r="N883" t="str">
        <f>"043547"</f>
        <v>043547</v>
      </c>
      <c r="O883" t="s">
        <v>1350</v>
      </c>
      <c r="P883" t="s">
        <v>68</v>
      </c>
      <c r="Q883">
        <v>6.7</v>
      </c>
      <c r="R883">
        <v>10.099999999999994</v>
      </c>
      <c r="S883" t="s">
        <v>69</v>
      </c>
    </row>
    <row r="884" spans="1:19" x14ac:dyDescent="0.35">
      <c r="A884">
        <v>1818</v>
      </c>
      <c r="B884" t="str">
        <f>"001818"</f>
        <v>001818</v>
      </c>
      <c r="C884" t="s">
        <v>3711</v>
      </c>
      <c r="D884" t="s">
        <v>3394</v>
      </c>
      <c r="E884" t="s">
        <v>3395</v>
      </c>
      <c r="F884" t="s">
        <v>3396</v>
      </c>
      <c r="G884" t="s">
        <v>169</v>
      </c>
      <c r="H884" t="s">
        <v>3712</v>
      </c>
      <c r="I884" t="s">
        <v>3713</v>
      </c>
      <c r="J884" t="s">
        <v>730</v>
      </c>
      <c r="K884" t="s">
        <v>55</v>
      </c>
      <c r="L884" t="s">
        <v>731</v>
      </c>
      <c r="M884" t="s">
        <v>57</v>
      </c>
      <c r="N884" t="str">
        <f>"050187"</f>
        <v>050187</v>
      </c>
      <c r="O884" t="s">
        <v>3192</v>
      </c>
      <c r="P884" t="s">
        <v>68</v>
      </c>
      <c r="Q884">
        <v>27.9</v>
      </c>
      <c r="R884">
        <v>7.2999999999999972</v>
      </c>
      <c r="S884" t="s">
        <v>77</v>
      </c>
    </row>
    <row r="885" spans="1:19" x14ac:dyDescent="0.35">
      <c r="A885">
        <v>1842</v>
      </c>
      <c r="B885" t="str">
        <f>"001842"</f>
        <v>001842</v>
      </c>
      <c r="C885" t="s">
        <v>3714</v>
      </c>
      <c r="D885" t="s">
        <v>3398</v>
      </c>
      <c r="E885" t="s">
        <v>3395</v>
      </c>
      <c r="F885" t="s">
        <v>3396</v>
      </c>
      <c r="G885" t="s">
        <v>63</v>
      </c>
      <c r="H885" t="s">
        <v>3715</v>
      </c>
      <c r="I885" t="s">
        <v>3716</v>
      </c>
      <c r="J885" t="s">
        <v>3031</v>
      </c>
      <c r="K885" t="s">
        <v>55</v>
      </c>
      <c r="L885" t="s">
        <v>3032</v>
      </c>
      <c r="M885" t="s">
        <v>57</v>
      </c>
      <c r="N885" t="str">
        <f>"043554"</f>
        <v>043554</v>
      </c>
      <c r="O885" t="s">
        <v>3028</v>
      </c>
      <c r="P885" t="s">
        <v>68</v>
      </c>
      <c r="Q885">
        <v>12</v>
      </c>
      <c r="R885">
        <v>47</v>
      </c>
      <c r="S885" t="s">
        <v>69</v>
      </c>
    </row>
    <row r="886" spans="1:19" x14ac:dyDescent="0.35">
      <c r="A886">
        <v>1859</v>
      </c>
      <c r="B886" t="str">
        <f>"001859"</f>
        <v>001859</v>
      </c>
      <c r="C886" t="s">
        <v>3717</v>
      </c>
      <c r="D886" t="s">
        <v>3394</v>
      </c>
      <c r="E886" t="s">
        <v>3395</v>
      </c>
      <c r="F886" t="s">
        <v>3396</v>
      </c>
      <c r="G886" t="s">
        <v>600</v>
      </c>
      <c r="H886" t="s">
        <v>3718</v>
      </c>
      <c r="I886" t="s">
        <v>3719</v>
      </c>
      <c r="J886" t="s">
        <v>3622</v>
      </c>
      <c r="K886" t="s">
        <v>55</v>
      </c>
      <c r="L886" t="s">
        <v>3623</v>
      </c>
      <c r="M886" t="s">
        <v>57</v>
      </c>
      <c r="N886" t="str">
        <f>"047019"</f>
        <v>047019</v>
      </c>
      <c r="O886" t="s">
        <v>1345</v>
      </c>
      <c r="P886" t="s">
        <v>68</v>
      </c>
      <c r="Q886">
        <v>38.299999999999997</v>
      </c>
      <c r="R886">
        <v>40.1</v>
      </c>
      <c r="S886" t="s">
        <v>60</v>
      </c>
    </row>
    <row r="887" spans="1:19" x14ac:dyDescent="0.35">
      <c r="A887">
        <v>1875</v>
      </c>
      <c r="B887" t="str">
        <f>"001875"</f>
        <v>001875</v>
      </c>
      <c r="C887" t="s">
        <v>3720</v>
      </c>
      <c r="D887" t="s">
        <v>3394</v>
      </c>
      <c r="E887" t="s">
        <v>3395</v>
      </c>
      <c r="F887" t="s">
        <v>3396</v>
      </c>
      <c r="G887" t="s">
        <v>1239</v>
      </c>
      <c r="H887" t="s">
        <v>3721</v>
      </c>
      <c r="I887" t="s">
        <v>3722</v>
      </c>
      <c r="J887" t="s">
        <v>3723</v>
      </c>
      <c r="K887" t="s">
        <v>55</v>
      </c>
      <c r="L887" t="s">
        <v>3724</v>
      </c>
      <c r="M887" t="s">
        <v>57</v>
      </c>
      <c r="N887" t="str">
        <f>"048652"</f>
        <v>048652</v>
      </c>
      <c r="O887" t="s">
        <v>2757</v>
      </c>
      <c r="P887" t="s">
        <v>68</v>
      </c>
      <c r="Q887">
        <v>53.3</v>
      </c>
      <c r="R887">
        <v>4.2000000000000028</v>
      </c>
      <c r="S887" t="s">
        <v>130</v>
      </c>
    </row>
    <row r="888" spans="1:19" x14ac:dyDescent="0.35">
      <c r="A888">
        <v>1883</v>
      </c>
      <c r="B888" t="str">
        <f>"001883"</f>
        <v>001883</v>
      </c>
      <c r="C888" t="s">
        <v>3725</v>
      </c>
      <c r="D888" t="s">
        <v>3398</v>
      </c>
      <c r="E888" t="s">
        <v>3395</v>
      </c>
      <c r="F888" t="s">
        <v>3396</v>
      </c>
      <c r="G888" t="s">
        <v>1239</v>
      </c>
      <c r="H888" t="s">
        <v>3721</v>
      </c>
      <c r="I888" t="s">
        <v>3722</v>
      </c>
      <c r="J888" t="s">
        <v>3723</v>
      </c>
      <c r="K888" t="s">
        <v>55</v>
      </c>
      <c r="L888" t="s">
        <v>3724</v>
      </c>
      <c r="M888" t="s">
        <v>57</v>
      </c>
      <c r="N888" t="str">
        <f>"048652"</f>
        <v>048652</v>
      </c>
      <c r="O888" t="s">
        <v>2757</v>
      </c>
      <c r="P888" t="s">
        <v>68</v>
      </c>
      <c r="Q888">
        <v>53.1</v>
      </c>
      <c r="R888">
        <v>2</v>
      </c>
      <c r="S888" t="s">
        <v>130</v>
      </c>
    </row>
    <row r="889" spans="1:19" x14ac:dyDescent="0.35">
      <c r="A889">
        <v>1891</v>
      </c>
      <c r="B889" t="str">
        <f>"001891"</f>
        <v>001891</v>
      </c>
      <c r="C889" t="s">
        <v>3726</v>
      </c>
      <c r="D889" t="s">
        <v>3394</v>
      </c>
      <c r="E889" t="s">
        <v>3395</v>
      </c>
      <c r="F889" t="s">
        <v>3396</v>
      </c>
      <c r="G889" t="s">
        <v>543</v>
      </c>
      <c r="H889" t="s">
        <v>3727</v>
      </c>
      <c r="I889" t="s">
        <v>3728</v>
      </c>
      <c r="J889" t="s">
        <v>790</v>
      </c>
      <c r="K889" t="s">
        <v>55</v>
      </c>
      <c r="L889" t="s">
        <v>791</v>
      </c>
      <c r="M889" t="s">
        <v>57</v>
      </c>
      <c r="N889" t="str">
        <f>"044396"</f>
        <v>044396</v>
      </c>
      <c r="O889" t="s">
        <v>787</v>
      </c>
      <c r="P889" t="s">
        <v>68</v>
      </c>
      <c r="Q889">
        <v>61.5</v>
      </c>
      <c r="R889">
        <v>13.799999999999997</v>
      </c>
      <c r="S889" t="s">
        <v>180</v>
      </c>
    </row>
    <row r="890" spans="1:19" x14ac:dyDescent="0.35">
      <c r="A890">
        <v>1917</v>
      </c>
      <c r="B890" t="str">
        <f>"001917"</f>
        <v>001917</v>
      </c>
      <c r="C890" t="s">
        <v>3729</v>
      </c>
      <c r="D890" t="s">
        <v>3394</v>
      </c>
      <c r="E890" t="s">
        <v>3395</v>
      </c>
      <c r="F890" t="s">
        <v>3396</v>
      </c>
      <c r="G890" t="s">
        <v>600</v>
      </c>
      <c r="H890" t="s">
        <v>3730</v>
      </c>
      <c r="I890" t="s">
        <v>3731</v>
      </c>
      <c r="J890" t="s">
        <v>1348</v>
      </c>
      <c r="K890" t="s">
        <v>55</v>
      </c>
      <c r="L890" t="s">
        <v>3732</v>
      </c>
      <c r="M890" t="s">
        <v>57</v>
      </c>
      <c r="N890" t="str">
        <f>"043802"</f>
        <v>043802</v>
      </c>
      <c r="O890" t="s">
        <v>3171</v>
      </c>
      <c r="P890" t="s">
        <v>68</v>
      </c>
      <c r="Q890">
        <v>100</v>
      </c>
      <c r="R890">
        <v>83.3</v>
      </c>
      <c r="S890" t="s">
        <v>60</v>
      </c>
    </row>
    <row r="891" spans="1:19" x14ac:dyDescent="0.35">
      <c r="A891">
        <v>1925</v>
      </c>
      <c r="B891" t="str">
        <f>"001925"</f>
        <v>001925</v>
      </c>
      <c r="C891" t="s">
        <v>3733</v>
      </c>
      <c r="D891" t="s">
        <v>3394</v>
      </c>
      <c r="E891" t="s">
        <v>3395</v>
      </c>
      <c r="F891" t="s">
        <v>3396</v>
      </c>
      <c r="G891" t="s">
        <v>600</v>
      </c>
      <c r="H891" t="s">
        <v>3734</v>
      </c>
      <c r="I891" t="s">
        <v>3735</v>
      </c>
      <c r="J891" t="s">
        <v>1348</v>
      </c>
      <c r="K891" t="s">
        <v>55</v>
      </c>
      <c r="L891" t="s">
        <v>3736</v>
      </c>
      <c r="M891" t="s">
        <v>57</v>
      </c>
      <c r="N891" t="str">
        <f>"043802"</f>
        <v>043802</v>
      </c>
      <c r="O891" t="s">
        <v>3171</v>
      </c>
      <c r="P891" t="s">
        <v>68</v>
      </c>
      <c r="Q891">
        <v>100</v>
      </c>
      <c r="R891">
        <v>94.1</v>
      </c>
      <c r="S891" t="s">
        <v>60</v>
      </c>
    </row>
    <row r="892" spans="1:19" x14ac:dyDescent="0.35">
      <c r="A892">
        <v>1933</v>
      </c>
      <c r="B892" t="str">
        <f>"001933"</f>
        <v>001933</v>
      </c>
      <c r="C892" t="s">
        <v>3737</v>
      </c>
      <c r="D892" t="s">
        <v>3400</v>
      </c>
      <c r="E892" t="s">
        <v>3395</v>
      </c>
      <c r="F892" t="s">
        <v>3396</v>
      </c>
      <c r="G892" t="s">
        <v>536</v>
      </c>
      <c r="H892" t="s">
        <v>537</v>
      </c>
      <c r="I892" t="s">
        <v>538</v>
      </c>
      <c r="J892" t="s">
        <v>539</v>
      </c>
      <c r="K892" t="s">
        <v>55</v>
      </c>
      <c r="L892" t="s">
        <v>540</v>
      </c>
      <c r="M892" t="s">
        <v>57</v>
      </c>
      <c r="N892" t="str">
        <f>"046425"</f>
        <v>046425</v>
      </c>
      <c r="O892" t="s">
        <v>535</v>
      </c>
      <c r="P892" t="s">
        <v>68</v>
      </c>
      <c r="Q892">
        <v>46.9</v>
      </c>
      <c r="R892">
        <v>3.5999999999999943</v>
      </c>
      <c r="S892" t="s">
        <v>77</v>
      </c>
    </row>
    <row r="893" spans="1:19" x14ac:dyDescent="0.35">
      <c r="A893">
        <v>1958</v>
      </c>
      <c r="B893" t="str">
        <f>"001958"</f>
        <v>001958</v>
      </c>
      <c r="C893" t="s">
        <v>3738</v>
      </c>
      <c r="D893" t="s">
        <v>3398</v>
      </c>
      <c r="E893" t="s">
        <v>3395</v>
      </c>
      <c r="F893" t="s">
        <v>3396</v>
      </c>
      <c r="G893" t="s">
        <v>536</v>
      </c>
      <c r="H893" t="s">
        <v>537</v>
      </c>
      <c r="I893" t="s">
        <v>538</v>
      </c>
      <c r="J893" t="s">
        <v>539</v>
      </c>
      <c r="K893" t="s">
        <v>55</v>
      </c>
      <c r="L893" t="s">
        <v>540</v>
      </c>
      <c r="M893" t="s">
        <v>57</v>
      </c>
      <c r="N893" t="str">
        <f>"046425"</f>
        <v>046425</v>
      </c>
      <c r="O893" t="s">
        <v>535</v>
      </c>
      <c r="P893" t="s">
        <v>68</v>
      </c>
      <c r="Q893">
        <v>40.299999999999997</v>
      </c>
      <c r="R893">
        <v>4.5</v>
      </c>
      <c r="S893" t="s">
        <v>77</v>
      </c>
    </row>
    <row r="894" spans="1:19" x14ac:dyDescent="0.35">
      <c r="A894">
        <v>1966</v>
      </c>
      <c r="B894" t="str">
        <f>"001966"</f>
        <v>001966</v>
      </c>
      <c r="C894" t="s">
        <v>3739</v>
      </c>
      <c r="D894" t="s">
        <v>3398</v>
      </c>
      <c r="E894" t="s">
        <v>3395</v>
      </c>
      <c r="F894" t="s">
        <v>3396</v>
      </c>
      <c r="G894" t="s">
        <v>642</v>
      </c>
      <c r="H894" t="s">
        <v>3740</v>
      </c>
      <c r="I894" t="s">
        <v>3741</v>
      </c>
      <c r="J894" t="s">
        <v>2447</v>
      </c>
      <c r="K894" t="s">
        <v>55</v>
      </c>
      <c r="L894" t="s">
        <v>3742</v>
      </c>
      <c r="M894" t="s">
        <v>57</v>
      </c>
      <c r="N894" t="str">
        <f>"047241"</f>
        <v>047241</v>
      </c>
      <c r="O894" t="s">
        <v>2444</v>
      </c>
      <c r="P894" t="s">
        <v>68</v>
      </c>
      <c r="Q894">
        <v>13.2</v>
      </c>
      <c r="R894">
        <v>18.900000000000006</v>
      </c>
      <c r="S894" t="s">
        <v>180</v>
      </c>
    </row>
    <row r="895" spans="1:19" x14ac:dyDescent="0.35">
      <c r="A895">
        <v>1982</v>
      </c>
      <c r="B895" t="str">
        <f>"001982"</f>
        <v>001982</v>
      </c>
      <c r="C895" t="s">
        <v>3743</v>
      </c>
      <c r="D895" t="s">
        <v>3394</v>
      </c>
      <c r="E895" t="s">
        <v>3395</v>
      </c>
      <c r="F895" t="s">
        <v>3396</v>
      </c>
      <c r="G895" t="s">
        <v>543</v>
      </c>
      <c r="H895" t="s">
        <v>3744</v>
      </c>
      <c r="I895" t="s">
        <v>3745</v>
      </c>
      <c r="J895" t="s">
        <v>1961</v>
      </c>
      <c r="K895" t="s">
        <v>55</v>
      </c>
      <c r="L895" t="s">
        <v>2846</v>
      </c>
      <c r="M895" t="s">
        <v>57</v>
      </c>
      <c r="N895" t="str">
        <f>"044180"</f>
        <v>044180</v>
      </c>
      <c r="O895" t="s">
        <v>1963</v>
      </c>
      <c r="P895" t="s">
        <v>68</v>
      </c>
      <c r="Q895">
        <v>57.9</v>
      </c>
      <c r="R895">
        <v>28.900000000000006</v>
      </c>
      <c r="S895" t="s">
        <v>180</v>
      </c>
    </row>
    <row r="896" spans="1:19" x14ac:dyDescent="0.35">
      <c r="A896">
        <v>2022</v>
      </c>
      <c r="B896" t="str">
        <f>"002022"</f>
        <v>002022</v>
      </c>
      <c r="C896" t="s">
        <v>3746</v>
      </c>
      <c r="D896" t="s">
        <v>3398</v>
      </c>
      <c r="E896" t="s">
        <v>3395</v>
      </c>
      <c r="F896" t="s">
        <v>3396</v>
      </c>
      <c r="G896" t="s">
        <v>63</v>
      </c>
      <c r="H896" t="s">
        <v>3747</v>
      </c>
      <c r="I896" t="s">
        <v>3748</v>
      </c>
      <c r="J896" t="s">
        <v>2080</v>
      </c>
      <c r="K896" t="s">
        <v>55</v>
      </c>
      <c r="L896" t="s">
        <v>2081</v>
      </c>
      <c r="M896" t="s">
        <v>57</v>
      </c>
      <c r="N896" t="str">
        <f>"043562"</f>
        <v>043562</v>
      </c>
      <c r="O896" t="s">
        <v>2077</v>
      </c>
      <c r="P896" t="s">
        <v>68</v>
      </c>
      <c r="Q896">
        <v>56.4</v>
      </c>
      <c r="R896">
        <v>92.4</v>
      </c>
      <c r="S896" t="s">
        <v>69</v>
      </c>
    </row>
    <row r="897" spans="1:19" x14ac:dyDescent="0.35">
      <c r="A897">
        <v>2048</v>
      </c>
      <c r="B897" t="str">
        <f>"002048"</f>
        <v>002048</v>
      </c>
      <c r="C897" t="s">
        <v>3749</v>
      </c>
      <c r="D897" t="s">
        <v>3394</v>
      </c>
      <c r="E897" t="s">
        <v>3395</v>
      </c>
      <c r="F897" t="s">
        <v>3396</v>
      </c>
      <c r="G897" t="s">
        <v>600</v>
      </c>
      <c r="H897" t="s">
        <v>3750</v>
      </c>
      <c r="I897" t="s">
        <v>3751</v>
      </c>
      <c r="J897" t="s">
        <v>1889</v>
      </c>
      <c r="K897" t="s">
        <v>55</v>
      </c>
      <c r="L897" t="s">
        <v>1890</v>
      </c>
      <c r="M897" t="s">
        <v>57</v>
      </c>
      <c r="N897" t="str">
        <f>"045070"</f>
        <v>045070</v>
      </c>
      <c r="O897" t="s">
        <v>1886</v>
      </c>
      <c r="P897" t="s">
        <v>68</v>
      </c>
      <c r="Q897">
        <v>100</v>
      </c>
      <c r="R897">
        <v>84.1</v>
      </c>
      <c r="S897" t="s">
        <v>60</v>
      </c>
    </row>
    <row r="898" spans="1:19" x14ac:dyDescent="0.35">
      <c r="A898">
        <v>2055</v>
      </c>
      <c r="B898" t="str">
        <f>"002055"</f>
        <v>002055</v>
      </c>
      <c r="C898" t="s">
        <v>3752</v>
      </c>
      <c r="D898" t="s">
        <v>3394</v>
      </c>
      <c r="E898" t="s">
        <v>3395</v>
      </c>
      <c r="F898" t="s">
        <v>3396</v>
      </c>
      <c r="G898" t="s">
        <v>212</v>
      </c>
      <c r="H898" t="s">
        <v>3753</v>
      </c>
      <c r="I898" t="s">
        <v>3754</v>
      </c>
      <c r="J898" t="s">
        <v>215</v>
      </c>
      <c r="K898" t="s">
        <v>55</v>
      </c>
      <c r="L898" t="s">
        <v>3755</v>
      </c>
      <c r="M898" t="s">
        <v>57</v>
      </c>
      <c r="N898" t="str">
        <f>"044081"</f>
        <v>044081</v>
      </c>
      <c r="O898" t="s">
        <v>2318</v>
      </c>
      <c r="P898" t="s">
        <v>68</v>
      </c>
      <c r="Q898">
        <v>70.400000000000006</v>
      </c>
      <c r="R898">
        <v>88.1</v>
      </c>
      <c r="S898" t="s">
        <v>217</v>
      </c>
    </row>
    <row r="899" spans="1:19" x14ac:dyDescent="0.35">
      <c r="A899">
        <v>2139</v>
      </c>
      <c r="B899" t="str">
        <f>"002139"</f>
        <v>002139</v>
      </c>
      <c r="C899" t="s">
        <v>3756</v>
      </c>
      <c r="D899" t="s">
        <v>3398</v>
      </c>
      <c r="E899" t="s">
        <v>3395</v>
      </c>
      <c r="F899" t="s">
        <v>3396</v>
      </c>
      <c r="G899" t="s">
        <v>233</v>
      </c>
      <c r="H899" t="s">
        <v>3757</v>
      </c>
      <c r="I899" t="s">
        <v>3758</v>
      </c>
      <c r="J899" t="s">
        <v>2261</v>
      </c>
      <c r="K899" t="s">
        <v>55</v>
      </c>
      <c r="L899" t="s">
        <v>2262</v>
      </c>
      <c r="M899" t="s">
        <v>57</v>
      </c>
      <c r="N899" t="str">
        <f>"043570"</f>
        <v>043570</v>
      </c>
      <c r="O899" t="s">
        <v>2258</v>
      </c>
      <c r="P899" t="s">
        <v>68</v>
      </c>
      <c r="Q899">
        <v>49</v>
      </c>
      <c r="R899">
        <v>12.200000000000003</v>
      </c>
      <c r="S899" t="s">
        <v>130</v>
      </c>
    </row>
    <row r="900" spans="1:19" x14ac:dyDescent="0.35">
      <c r="A900">
        <v>2147</v>
      </c>
      <c r="B900" t="str">
        <f>"002147"</f>
        <v>002147</v>
      </c>
      <c r="C900" t="s">
        <v>3759</v>
      </c>
      <c r="D900" t="s">
        <v>3400</v>
      </c>
      <c r="E900" t="s">
        <v>3395</v>
      </c>
      <c r="F900" t="s">
        <v>3396</v>
      </c>
      <c r="G900" t="s">
        <v>642</v>
      </c>
      <c r="H900" t="s">
        <v>3760</v>
      </c>
      <c r="I900" t="s">
        <v>3761</v>
      </c>
      <c r="J900" t="s">
        <v>2675</v>
      </c>
      <c r="K900" t="s">
        <v>55</v>
      </c>
      <c r="L900" t="s">
        <v>2676</v>
      </c>
      <c r="M900" t="s">
        <v>57</v>
      </c>
      <c r="N900" t="str">
        <f>"047274"</f>
        <v>047274</v>
      </c>
      <c r="O900" t="s">
        <v>2672</v>
      </c>
      <c r="P900" t="s">
        <v>68</v>
      </c>
      <c r="Q900">
        <v>11.6</v>
      </c>
      <c r="R900">
        <v>16.700000000000003</v>
      </c>
      <c r="S900" t="s">
        <v>180</v>
      </c>
    </row>
    <row r="901" spans="1:19" x14ac:dyDescent="0.35">
      <c r="A901">
        <v>2154</v>
      </c>
      <c r="B901" t="str">
        <f>"002154"</f>
        <v>002154</v>
      </c>
      <c r="C901" t="s">
        <v>3762</v>
      </c>
      <c r="D901" t="s">
        <v>3398</v>
      </c>
      <c r="E901" t="s">
        <v>3395</v>
      </c>
      <c r="F901" t="s">
        <v>3396</v>
      </c>
      <c r="G901" t="s">
        <v>642</v>
      </c>
      <c r="H901" t="s">
        <v>3763</v>
      </c>
      <c r="I901" t="s">
        <v>3764</v>
      </c>
      <c r="J901" t="s">
        <v>2675</v>
      </c>
      <c r="K901" t="s">
        <v>55</v>
      </c>
      <c r="L901" t="s">
        <v>2676</v>
      </c>
      <c r="M901" t="s">
        <v>57</v>
      </c>
      <c r="N901" t="str">
        <f>"047274"</f>
        <v>047274</v>
      </c>
      <c r="O901" t="s">
        <v>2672</v>
      </c>
      <c r="P901" t="s">
        <v>68</v>
      </c>
      <c r="Q901">
        <v>11.4</v>
      </c>
      <c r="R901">
        <v>15.299999999999997</v>
      </c>
      <c r="S901" t="s">
        <v>180</v>
      </c>
    </row>
    <row r="902" spans="1:19" x14ac:dyDescent="0.35">
      <c r="A902">
        <v>2170</v>
      </c>
      <c r="B902" t="str">
        <f>"002170"</f>
        <v>002170</v>
      </c>
      <c r="C902" t="s">
        <v>3765</v>
      </c>
      <c r="D902" t="s">
        <v>3394</v>
      </c>
      <c r="E902" t="s">
        <v>3395</v>
      </c>
      <c r="F902" t="s">
        <v>3396</v>
      </c>
      <c r="G902" t="s">
        <v>288</v>
      </c>
      <c r="H902" t="s">
        <v>3766</v>
      </c>
      <c r="I902" t="s">
        <v>3767</v>
      </c>
      <c r="J902" t="s">
        <v>769</v>
      </c>
      <c r="K902" t="s">
        <v>55</v>
      </c>
      <c r="L902" t="s">
        <v>770</v>
      </c>
      <c r="M902" t="s">
        <v>57</v>
      </c>
      <c r="N902" t="str">
        <f>"048074"</f>
        <v>048074</v>
      </c>
      <c r="O902" t="s">
        <v>1355</v>
      </c>
      <c r="P902" t="s">
        <v>68</v>
      </c>
      <c r="Q902">
        <v>30.5</v>
      </c>
      <c r="R902">
        <v>5.4000000000000057</v>
      </c>
      <c r="S902" t="s">
        <v>180</v>
      </c>
    </row>
    <row r="903" spans="1:19" x14ac:dyDescent="0.35">
      <c r="A903">
        <v>2196</v>
      </c>
      <c r="B903" t="str">
        <f>"002196"</f>
        <v>002196</v>
      </c>
      <c r="C903" t="s">
        <v>3768</v>
      </c>
      <c r="D903" t="s">
        <v>3394</v>
      </c>
      <c r="E903" t="s">
        <v>3395</v>
      </c>
      <c r="F903" t="s">
        <v>3396</v>
      </c>
      <c r="G903" t="s">
        <v>543</v>
      </c>
      <c r="H903" t="s">
        <v>3769</v>
      </c>
      <c r="I903" t="s">
        <v>3770</v>
      </c>
      <c r="J903" t="s">
        <v>687</v>
      </c>
      <c r="K903" t="s">
        <v>55</v>
      </c>
      <c r="L903" t="s">
        <v>3771</v>
      </c>
      <c r="M903" t="s">
        <v>57</v>
      </c>
      <c r="N903" t="str">
        <f>"043844"</f>
        <v>043844</v>
      </c>
      <c r="O903" t="s">
        <v>985</v>
      </c>
      <c r="P903" t="s">
        <v>68</v>
      </c>
      <c r="Q903">
        <v>97.8</v>
      </c>
      <c r="R903">
        <v>95.5</v>
      </c>
      <c r="S903" t="s">
        <v>180</v>
      </c>
    </row>
    <row r="904" spans="1:19" x14ac:dyDescent="0.35">
      <c r="A904">
        <v>2220</v>
      </c>
      <c r="B904" t="str">
        <f>"002220"</f>
        <v>002220</v>
      </c>
      <c r="C904" t="s">
        <v>3772</v>
      </c>
      <c r="D904" t="s">
        <v>3398</v>
      </c>
      <c r="E904" t="s">
        <v>3395</v>
      </c>
      <c r="F904" t="s">
        <v>3396</v>
      </c>
      <c r="G904" t="s">
        <v>288</v>
      </c>
      <c r="H904" t="s">
        <v>3773</v>
      </c>
      <c r="I904" t="s">
        <v>3774</v>
      </c>
      <c r="J904" t="s">
        <v>769</v>
      </c>
      <c r="K904" t="s">
        <v>55</v>
      </c>
      <c r="L904" t="s">
        <v>770</v>
      </c>
      <c r="M904" t="s">
        <v>57</v>
      </c>
      <c r="N904" t="str">
        <f>"043588"</f>
        <v>043588</v>
      </c>
      <c r="O904" t="s">
        <v>2054</v>
      </c>
      <c r="P904" t="s">
        <v>68</v>
      </c>
      <c r="Q904">
        <v>39.6</v>
      </c>
      <c r="R904">
        <v>22.099999999999994</v>
      </c>
      <c r="S904" t="s">
        <v>180</v>
      </c>
    </row>
    <row r="905" spans="1:19" x14ac:dyDescent="0.35">
      <c r="A905">
        <v>2246</v>
      </c>
      <c r="B905" t="str">
        <f>"002246"</f>
        <v>002246</v>
      </c>
      <c r="C905" t="s">
        <v>3775</v>
      </c>
      <c r="D905" t="s">
        <v>3398</v>
      </c>
      <c r="E905" t="s">
        <v>3395</v>
      </c>
      <c r="F905" t="s">
        <v>3396</v>
      </c>
      <c r="G905" t="s">
        <v>400</v>
      </c>
      <c r="H905" t="s">
        <v>3776</v>
      </c>
      <c r="I905" t="s">
        <v>3777</v>
      </c>
      <c r="J905" t="s">
        <v>2851</v>
      </c>
      <c r="K905" t="s">
        <v>55</v>
      </c>
      <c r="L905" t="s">
        <v>2852</v>
      </c>
      <c r="M905" t="s">
        <v>57</v>
      </c>
      <c r="N905" t="str">
        <f>"043596"</f>
        <v>043596</v>
      </c>
      <c r="O905" t="s">
        <v>2848</v>
      </c>
      <c r="P905" t="s">
        <v>68</v>
      </c>
      <c r="Q905">
        <v>28.4</v>
      </c>
      <c r="R905">
        <v>8.7000000000000028</v>
      </c>
      <c r="S905" t="s">
        <v>156</v>
      </c>
    </row>
    <row r="906" spans="1:19" x14ac:dyDescent="0.35">
      <c r="A906">
        <v>2253</v>
      </c>
      <c r="B906" t="str">
        <f>"002253"</f>
        <v>002253</v>
      </c>
      <c r="C906" t="s">
        <v>3778</v>
      </c>
      <c r="D906" t="s">
        <v>3400</v>
      </c>
      <c r="E906" t="s">
        <v>3395</v>
      </c>
      <c r="F906" t="s">
        <v>3396</v>
      </c>
      <c r="G906" t="s">
        <v>79</v>
      </c>
      <c r="H906" t="s">
        <v>3779</v>
      </c>
      <c r="I906" t="s">
        <v>3780</v>
      </c>
      <c r="J906" t="s">
        <v>2851</v>
      </c>
      <c r="K906" t="s">
        <v>55</v>
      </c>
      <c r="L906" t="s">
        <v>2852</v>
      </c>
      <c r="M906" t="s">
        <v>57</v>
      </c>
      <c r="N906" t="str">
        <f>"043596"</f>
        <v>043596</v>
      </c>
      <c r="O906" t="s">
        <v>2848</v>
      </c>
      <c r="P906" t="s">
        <v>68</v>
      </c>
      <c r="Q906">
        <v>35.9</v>
      </c>
      <c r="R906">
        <v>10.799999999999997</v>
      </c>
      <c r="S906" t="s">
        <v>69</v>
      </c>
    </row>
    <row r="907" spans="1:19" x14ac:dyDescent="0.35">
      <c r="A907">
        <v>2279</v>
      </c>
      <c r="B907" t="str">
        <f>"002279"</f>
        <v>002279</v>
      </c>
      <c r="C907" t="s">
        <v>3781</v>
      </c>
      <c r="D907" t="s">
        <v>3394</v>
      </c>
      <c r="E907" t="s">
        <v>3395</v>
      </c>
      <c r="F907" t="s">
        <v>3396</v>
      </c>
      <c r="G907" t="s">
        <v>663</v>
      </c>
      <c r="H907" t="s">
        <v>3782</v>
      </c>
      <c r="I907" t="s">
        <v>3783</v>
      </c>
      <c r="J907" t="s">
        <v>932</v>
      </c>
      <c r="K907" t="s">
        <v>55</v>
      </c>
      <c r="L907" t="s">
        <v>933</v>
      </c>
      <c r="M907" t="s">
        <v>57</v>
      </c>
      <c r="N907" t="str">
        <f>"049411"</f>
        <v>049411</v>
      </c>
      <c r="O907" t="s">
        <v>929</v>
      </c>
      <c r="P907" t="s">
        <v>68</v>
      </c>
      <c r="Q907">
        <v>27.1</v>
      </c>
      <c r="R907">
        <v>8.5999999999999943</v>
      </c>
      <c r="S907" t="s">
        <v>77</v>
      </c>
    </row>
    <row r="908" spans="1:19" x14ac:dyDescent="0.35">
      <c r="A908">
        <v>2303</v>
      </c>
      <c r="B908" t="str">
        <f>"002303"</f>
        <v>002303</v>
      </c>
      <c r="C908" t="s">
        <v>3784</v>
      </c>
      <c r="D908" t="s">
        <v>3398</v>
      </c>
      <c r="E908" t="s">
        <v>3395</v>
      </c>
      <c r="F908" t="s">
        <v>3396</v>
      </c>
      <c r="G908" t="s">
        <v>543</v>
      </c>
      <c r="H908" t="s">
        <v>3785</v>
      </c>
      <c r="I908" t="s">
        <v>3786</v>
      </c>
      <c r="J908" t="s">
        <v>687</v>
      </c>
      <c r="K908" t="s">
        <v>55</v>
      </c>
      <c r="L908" t="s">
        <v>3787</v>
      </c>
      <c r="M908" t="s">
        <v>57</v>
      </c>
      <c r="N908" t="str">
        <f>"043844"</f>
        <v>043844</v>
      </c>
      <c r="O908" t="s">
        <v>985</v>
      </c>
      <c r="P908" t="s">
        <v>68</v>
      </c>
      <c r="Q908">
        <v>96.3</v>
      </c>
      <c r="R908">
        <v>63.8</v>
      </c>
      <c r="S908" t="s">
        <v>180</v>
      </c>
    </row>
    <row r="909" spans="1:19" x14ac:dyDescent="0.35">
      <c r="A909">
        <v>2337</v>
      </c>
      <c r="B909" t="str">
        <f>"002337"</f>
        <v>002337</v>
      </c>
      <c r="C909" t="s">
        <v>3788</v>
      </c>
      <c r="D909" t="s">
        <v>3398</v>
      </c>
      <c r="E909" t="s">
        <v>3395</v>
      </c>
      <c r="F909" t="s">
        <v>3396</v>
      </c>
      <c r="G909" t="s">
        <v>124</v>
      </c>
      <c r="H909" t="s">
        <v>3789</v>
      </c>
      <c r="I909" t="s">
        <v>3790</v>
      </c>
      <c r="J909" t="s">
        <v>1247</v>
      </c>
      <c r="K909" t="s">
        <v>55</v>
      </c>
      <c r="L909" t="s">
        <v>1248</v>
      </c>
      <c r="M909" t="s">
        <v>57</v>
      </c>
      <c r="N909" t="str">
        <f>"043604"</f>
        <v>043604</v>
      </c>
      <c r="O909" t="s">
        <v>1244</v>
      </c>
      <c r="P909" t="s">
        <v>68</v>
      </c>
      <c r="Q909">
        <v>43.3</v>
      </c>
      <c r="R909">
        <v>9.7999999999999972</v>
      </c>
      <c r="S909" t="s">
        <v>130</v>
      </c>
    </row>
    <row r="910" spans="1:19" x14ac:dyDescent="0.35">
      <c r="A910">
        <v>2352</v>
      </c>
      <c r="B910" t="str">
        <f>"002352"</f>
        <v>002352</v>
      </c>
      <c r="C910" t="s">
        <v>3791</v>
      </c>
      <c r="D910" t="s">
        <v>3394</v>
      </c>
      <c r="E910" t="s">
        <v>3395</v>
      </c>
      <c r="F910" t="s">
        <v>3396</v>
      </c>
      <c r="G910" t="s">
        <v>63</v>
      </c>
      <c r="H910" t="s">
        <v>3792</v>
      </c>
      <c r="I910" t="s">
        <v>3793</v>
      </c>
      <c r="J910" t="s">
        <v>3794</v>
      </c>
      <c r="K910" t="s">
        <v>55</v>
      </c>
      <c r="L910" t="s">
        <v>1636</v>
      </c>
      <c r="M910" t="s">
        <v>57</v>
      </c>
      <c r="N910" t="str">
        <f>"043794"</f>
        <v>043794</v>
      </c>
      <c r="O910" t="s">
        <v>1912</v>
      </c>
      <c r="P910" t="s">
        <v>68</v>
      </c>
      <c r="Q910">
        <v>100</v>
      </c>
      <c r="R910">
        <v>73.7</v>
      </c>
      <c r="S910" t="s">
        <v>69</v>
      </c>
    </row>
    <row r="911" spans="1:19" x14ac:dyDescent="0.35">
      <c r="A911">
        <v>2378</v>
      </c>
      <c r="B911" t="str">
        <f>"002378"</f>
        <v>002378</v>
      </c>
      <c r="C911" t="s">
        <v>3795</v>
      </c>
      <c r="D911" t="s">
        <v>3394</v>
      </c>
      <c r="E911" t="s">
        <v>3395</v>
      </c>
      <c r="F911" t="s">
        <v>3396</v>
      </c>
      <c r="G911" t="s">
        <v>63</v>
      </c>
      <c r="H911" t="s">
        <v>3796</v>
      </c>
      <c r="I911" t="s">
        <v>3797</v>
      </c>
      <c r="J911" t="s">
        <v>285</v>
      </c>
      <c r="K911" t="s">
        <v>55</v>
      </c>
      <c r="L911" t="s">
        <v>3798</v>
      </c>
      <c r="M911" t="s">
        <v>57</v>
      </c>
      <c r="N911" t="str">
        <f>"043786"</f>
        <v>043786</v>
      </c>
      <c r="O911" t="s">
        <v>1340</v>
      </c>
      <c r="P911" t="s">
        <v>68</v>
      </c>
      <c r="Q911">
        <v>100</v>
      </c>
      <c r="R911">
        <v>66.400000000000006</v>
      </c>
      <c r="S911" t="s">
        <v>69</v>
      </c>
    </row>
    <row r="912" spans="1:19" x14ac:dyDescent="0.35">
      <c r="A912">
        <v>2436</v>
      </c>
      <c r="B912" t="str">
        <f>"002436"</f>
        <v>002436</v>
      </c>
      <c r="C912" t="s">
        <v>3799</v>
      </c>
      <c r="D912" t="s">
        <v>3398</v>
      </c>
      <c r="E912" t="s">
        <v>3395</v>
      </c>
      <c r="F912" t="s">
        <v>3396</v>
      </c>
      <c r="G912" t="s">
        <v>511</v>
      </c>
      <c r="H912" t="s">
        <v>3800</v>
      </c>
      <c r="I912" t="s">
        <v>3801</v>
      </c>
      <c r="J912" t="s">
        <v>639</v>
      </c>
      <c r="K912" t="s">
        <v>55</v>
      </c>
      <c r="L912" t="s">
        <v>640</v>
      </c>
      <c r="M912" t="s">
        <v>57</v>
      </c>
      <c r="N912" t="str">
        <f>"047167"</f>
        <v>047167</v>
      </c>
      <c r="O912" t="s">
        <v>636</v>
      </c>
      <c r="P912" t="s">
        <v>68</v>
      </c>
      <c r="Q912">
        <v>17.5</v>
      </c>
      <c r="R912">
        <v>4.9000000000000057</v>
      </c>
      <c r="S912" t="s">
        <v>69</v>
      </c>
    </row>
    <row r="913" spans="1:19" x14ac:dyDescent="0.35">
      <c r="A913">
        <v>2444</v>
      </c>
      <c r="B913" t="str">
        <f>"002444"</f>
        <v>002444</v>
      </c>
      <c r="C913" t="s">
        <v>3802</v>
      </c>
      <c r="D913" t="s">
        <v>3400</v>
      </c>
      <c r="E913" t="s">
        <v>3395</v>
      </c>
      <c r="F913" t="s">
        <v>3396</v>
      </c>
      <c r="G913" t="s">
        <v>383</v>
      </c>
      <c r="H913" t="s">
        <v>1665</v>
      </c>
      <c r="I913" t="s">
        <v>1666</v>
      </c>
      <c r="J913" t="s">
        <v>1667</v>
      </c>
      <c r="K913" t="s">
        <v>55</v>
      </c>
      <c r="L913" t="s">
        <v>1668</v>
      </c>
      <c r="M913" t="s">
        <v>57</v>
      </c>
      <c r="N913" t="str">
        <f>"048397"</f>
        <v>048397</v>
      </c>
      <c r="O913" t="s">
        <v>467</v>
      </c>
      <c r="P913" t="s">
        <v>68</v>
      </c>
      <c r="Q913">
        <v>24.8</v>
      </c>
      <c r="R913">
        <v>4.2999999999999972</v>
      </c>
      <c r="S913" t="s">
        <v>77</v>
      </c>
    </row>
    <row r="914" spans="1:19" x14ac:dyDescent="0.35">
      <c r="A914">
        <v>2451</v>
      </c>
      <c r="B914" t="str">
        <f>"002451"</f>
        <v>002451</v>
      </c>
      <c r="C914" t="s">
        <v>3803</v>
      </c>
      <c r="D914" t="s">
        <v>3394</v>
      </c>
      <c r="E914" t="s">
        <v>3395</v>
      </c>
      <c r="F914" t="s">
        <v>3396</v>
      </c>
      <c r="G914" t="s">
        <v>712</v>
      </c>
      <c r="H914" t="s">
        <v>3804</v>
      </c>
      <c r="I914" t="s">
        <v>3805</v>
      </c>
      <c r="J914" t="s">
        <v>3806</v>
      </c>
      <c r="K914" t="s">
        <v>55</v>
      </c>
      <c r="L914" t="s">
        <v>3807</v>
      </c>
      <c r="M914" t="s">
        <v>57</v>
      </c>
      <c r="N914" t="str">
        <f>"047688"</f>
        <v>047688</v>
      </c>
      <c r="O914" t="s">
        <v>2208</v>
      </c>
      <c r="P914" t="s">
        <v>68</v>
      </c>
      <c r="Q914">
        <v>21.3</v>
      </c>
      <c r="R914">
        <v>4.9000000000000057</v>
      </c>
      <c r="S914" t="s">
        <v>77</v>
      </c>
    </row>
    <row r="915" spans="1:19" x14ac:dyDescent="0.35">
      <c r="A915">
        <v>2485</v>
      </c>
      <c r="B915" t="str">
        <f>"002485"</f>
        <v>002485</v>
      </c>
      <c r="C915" t="s">
        <v>3808</v>
      </c>
      <c r="D915" t="s">
        <v>3400</v>
      </c>
      <c r="E915" t="s">
        <v>3395</v>
      </c>
      <c r="F915" t="s">
        <v>3396</v>
      </c>
      <c r="G915" t="s">
        <v>759</v>
      </c>
      <c r="H915" t="s">
        <v>3809</v>
      </c>
      <c r="I915" t="s">
        <v>3810</v>
      </c>
      <c r="J915" t="s">
        <v>3811</v>
      </c>
      <c r="K915" t="s">
        <v>55</v>
      </c>
      <c r="L915" t="s">
        <v>3812</v>
      </c>
      <c r="M915" t="s">
        <v>57</v>
      </c>
      <c r="N915" t="str">
        <f>"046789"</f>
        <v>046789</v>
      </c>
      <c r="O915" t="s">
        <v>2763</v>
      </c>
      <c r="P915" t="s">
        <v>68</v>
      </c>
      <c r="Q915">
        <v>38.5</v>
      </c>
      <c r="R915">
        <v>13.299999999999997</v>
      </c>
      <c r="S915" t="s">
        <v>69</v>
      </c>
    </row>
    <row r="916" spans="1:19" x14ac:dyDescent="0.35">
      <c r="A916">
        <v>2493</v>
      </c>
      <c r="B916" t="str">
        <f>"002493"</f>
        <v>002493</v>
      </c>
      <c r="C916" t="s">
        <v>3813</v>
      </c>
      <c r="D916" t="s">
        <v>3394</v>
      </c>
      <c r="E916" t="s">
        <v>3395</v>
      </c>
      <c r="F916" t="s">
        <v>3396</v>
      </c>
      <c r="G916" t="s">
        <v>92</v>
      </c>
      <c r="H916" t="s">
        <v>3132</v>
      </c>
      <c r="I916" t="s">
        <v>3133</v>
      </c>
      <c r="J916" t="s">
        <v>3134</v>
      </c>
      <c r="K916" t="s">
        <v>55</v>
      </c>
      <c r="L916" t="s">
        <v>3135</v>
      </c>
      <c r="M916" t="s">
        <v>57</v>
      </c>
      <c r="N916" t="str">
        <f>"046854"</f>
        <v>046854</v>
      </c>
      <c r="O916" t="s">
        <v>3131</v>
      </c>
      <c r="P916" t="s">
        <v>68</v>
      </c>
      <c r="Q916">
        <v>26.1</v>
      </c>
      <c r="R916">
        <v>6.2000000000000028</v>
      </c>
      <c r="S916" t="s">
        <v>60</v>
      </c>
    </row>
    <row r="917" spans="1:19" x14ac:dyDescent="0.35">
      <c r="A917">
        <v>2501</v>
      </c>
      <c r="B917" t="str">
        <f>"002501"</f>
        <v>002501</v>
      </c>
      <c r="C917" t="s">
        <v>3814</v>
      </c>
      <c r="D917" t="s">
        <v>3398</v>
      </c>
      <c r="E917" t="s">
        <v>3395</v>
      </c>
      <c r="F917" t="s">
        <v>3396</v>
      </c>
      <c r="G917" t="s">
        <v>92</v>
      </c>
      <c r="H917" t="s">
        <v>3132</v>
      </c>
      <c r="I917" t="s">
        <v>3133</v>
      </c>
      <c r="J917" t="s">
        <v>3134</v>
      </c>
      <c r="K917" t="s">
        <v>55</v>
      </c>
      <c r="L917" t="s">
        <v>3135</v>
      </c>
      <c r="M917" t="s">
        <v>57</v>
      </c>
      <c r="N917" t="str">
        <f>"046854"</f>
        <v>046854</v>
      </c>
      <c r="O917" t="s">
        <v>3131</v>
      </c>
      <c r="P917" t="s">
        <v>68</v>
      </c>
      <c r="Q917">
        <v>21.8</v>
      </c>
      <c r="R917">
        <v>7.5</v>
      </c>
      <c r="S917" t="s">
        <v>60</v>
      </c>
    </row>
    <row r="918" spans="1:19" x14ac:dyDescent="0.35">
      <c r="A918">
        <v>2519</v>
      </c>
      <c r="B918" t="str">
        <f>"002519"</f>
        <v>002519</v>
      </c>
      <c r="C918" t="s">
        <v>3815</v>
      </c>
      <c r="D918" t="s">
        <v>3394</v>
      </c>
      <c r="E918" t="s">
        <v>3395</v>
      </c>
      <c r="F918" t="s">
        <v>3396</v>
      </c>
      <c r="G918" t="s">
        <v>172</v>
      </c>
      <c r="H918" t="s">
        <v>3816</v>
      </c>
      <c r="I918" t="s">
        <v>3817</v>
      </c>
      <c r="J918" t="s">
        <v>629</v>
      </c>
      <c r="K918" t="s">
        <v>55</v>
      </c>
      <c r="L918" t="s">
        <v>630</v>
      </c>
      <c r="M918" t="s">
        <v>57</v>
      </c>
      <c r="N918" t="str">
        <f>"044214"</f>
        <v>044214</v>
      </c>
      <c r="O918" t="s">
        <v>626</v>
      </c>
      <c r="P918" t="s">
        <v>68</v>
      </c>
      <c r="Q918">
        <v>26.3</v>
      </c>
      <c r="R918">
        <v>13.400000000000006</v>
      </c>
      <c r="S918" t="s">
        <v>217</v>
      </c>
    </row>
    <row r="919" spans="1:19" x14ac:dyDescent="0.35">
      <c r="A919">
        <v>2527</v>
      </c>
      <c r="B919" t="str">
        <f>"002527"</f>
        <v>002527</v>
      </c>
      <c r="C919" t="s">
        <v>3818</v>
      </c>
      <c r="D919" t="s">
        <v>3394</v>
      </c>
      <c r="E919" t="s">
        <v>3395</v>
      </c>
      <c r="F919" t="s">
        <v>3396</v>
      </c>
      <c r="G919" t="s">
        <v>600</v>
      </c>
      <c r="H919" t="s">
        <v>3819</v>
      </c>
      <c r="I919" t="s">
        <v>3820</v>
      </c>
      <c r="J919" t="s">
        <v>1348</v>
      </c>
      <c r="K919" t="s">
        <v>55</v>
      </c>
      <c r="L919" t="s">
        <v>3161</v>
      </c>
      <c r="M919" t="s">
        <v>57</v>
      </c>
      <c r="N919" t="str">
        <f>"043802"</f>
        <v>043802</v>
      </c>
      <c r="O919" t="s">
        <v>3171</v>
      </c>
      <c r="P919" t="s">
        <v>68</v>
      </c>
      <c r="Q919">
        <v>100</v>
      </c>
      <c r="R919">
        <v>97.6</v>
      </c>
      <c r="S919" t="s">
        <v>60</v>
      </c>
    </row>
    <row r="920" spans="1:19" x14ac:dyDescent="0.35">
      <c r="A920">
        <v>2543</v>
      </c>
      <c r="B920" t="str">
        <f>"002543"</f>
        <v>002543</v>
      </c>
      <c r="C920" t="s">
        <v>3821</v>
      </c>
      <c r="D920" t="s">
        <v>3394</v>
      </c>
      <c r="E920" t="s">
        <v>3395</v>
      </c>
      <c r="F920" t="s">
        <v>3396</v>
      </c>
      <c r="G920" t="s">
        <v>325</v>
      </c>
      <c r="H920" t="s">
        <v>2170</v>
      </c>
      <c r="I920" t="s">
        <v>2171</v>
      </c>
      <c r="J920" t="s">
        <v>2172</v>
      </c>
      <c r="K920" t="s">
        <v>55</v>
      </c>
      <c r="L920" t="s">
        <v>2173</v>
      </c>
      <c r="M920" t="s">
        <v>57</v>
      </c>
      <c r="N920" t="str">
        <f>"048611"</f>
        <v>048611</v>
      </c>
      <c r="O920" t="s">
        <v>2169</v>
      </c>
      <c r="P920" t="s">
        <v>68</v>
      </c>
      <c r="Q920">
        <v>25.7</v>
      </c>
      <c r="R920">
        <v>14.400000000000006</v>
      </c>
      <c r="S920" t="s">
        <v>180</v>
      </c>
    </row>
    <row r="921" spans="1:19" x14ac:dyDescent="0.35">
      <c r="A921">
        <v>2568</v>
      </c>
      <c r="B921" t="str">
        <f>"002568"</f>
        <v>002568</v>
      </c>
      <c r="C921" t="s">
        <v>3822</v>
      </c>
      <c r="D921" t="s">
        <v>3398</v>
      </c>
      <c r="E921" t="s">
        <v>3395</v>
      </c>
      <c r="F921" t="s">
        <v>3396</v>
      </c>
      <c r="G921" t="s">
        <v>1041</v>
      </c>
      <c r="H921" t="s">
        <v>3823</v>
      </c>
      <c r="I921" t="s">
        <v>3824</v>
      </c>
      <c r="J921" t="s">
        <v>2157</v>
      </c>
      <c r="K921" t="s">
        <v>55</v>
      </c>
      <c r="L921" t="s">
        <v>2158</v>
      </c>
      <c r="M921" t="s">
        <v>57</v>
      </c>
      <c r="N921" t="str">
        <f>"046318"</f>
        <v>046318</v>
      </c>
      <c r="O921" t="s">
        <v>2383</v>
      </c>
      <c r="P921" t="s">
        <v>68</v>
      </c>
      <c r="Q921">
        <v>40.700000000000003</v>
      </c>
      <c r="R921">
        <v>8.4000000000000057</v>
      </c>
      <c r="S921" t="s">
        <v>217</v>
      </c>
    </row>
    <row r="922" spans="1:19" x14ac:dyDescent="0.35">
      <c r="A922">
        <v>2576</v>
      </c>
      <c r="B922" t="str">
        <f>"002576"</f>
        <v>002576</v>
      </c>
      <c r="C922" t="s">
        <v>3825</v>
      </c>
      <c r="D922" t="s">
        <v>3398</v>
      </c>
      <c r="E922" t="s">
        <v>3395</v>
      </c>
      <c r="F922" t="s">
        <v>3396</v>
      </c>
      <c r="G922" t="s">
        <v>325</v>
      </c>
      <c r="H922" t="s">
        <v>2170</v>
      </c>
      <c r="I922" t="s">
        <v>2171</v>
      </c>
      <c r="J922" t="s">
        <v>2172</v>
      </c>
      <c r="K922" t="s">
        <v>55</v>
      </c>
      <c r="L922" t="s">
        <v>2173</v>
      </c>
      <c r="M922" t="s">
        <v>57</v>
      </c>
      <c r="N922" t="str">
        <f>"048611"</f>
        <v>048611</v>
      </c>
      <c r="O922" t="s">
        <v>2169</v>
      </c>
      <c r="P922" t="s">
        <v>68</v>
      </c>
      <c r="Q922">
        <v>21.2</v>
      </c>
      <c r="R922">
        <v>10</v>
      </c>
      <c r="S922" t="s">
        <v>180</v>
      </c>
    </row>
    <row r="923" spans="1:19" x14ac:dyDescent="0.35">
      <c r="A923">
        <v>2584</v>
      </c>
      <c r="B923" t="str">
        <f>"002584"</f>
        <v>002584</v>
      </c>
      <c r="C923" t="s">
        <v>3826</v>
      </c>
      <c r="D923" t="s">
        <v>3400</v>
      </c>
      <c r="E923" t="s">
        <v>3395</v>
      </c>
      <c r="F923" t="s">
        <v>3396</v>
      </c>
      <c r="G923" t="s">
        <v>1041</v>
      </c>
      <c r="H923" t="s">
        <v>3827</v>
      </c>
      <c r="I923" t="s">
        <v>3828</v>
      </c>
      <c r="J923" t="s">
        <v>2157</v>
      </c>
      <c r="K923" t="s">
        <v>55</v>
      </c>
      <c r="L923" t="s">
        <v>2158</v>
      </c>
      <c r="M923" t="s">
        <v>57</v>
      </c>
      <c r="N923" t="str">
        <f>"046318"</f>
        <v>046318</v>
      </c>
      <c r="O923" t="s">
        <v>2383</v>
      </c>
      <c r="P923" t="s">
        <v>68</v>
      </c>
      <c r="Q923">
        <v>41</v>
      </c>
      <c r="R923">
        <v>7.7000000000000028</v>
      </c>
      <c r="S923" t="s">
        <v>217</v>
      </c>
    </row>
    <row r="924" spans="1:19" x14ac:dyDescent="0.35">
      <c r="A924">
        <v>2634</v>
      </c>
      <c r="B924" t="str">
        <f>"002634"</f>
        <v>002634</v>
      </c>
      <c r="C924" t="s">
        <v>3829</v>
      </c>
      <c r="D924" t="s">
        <v>3394</v>
      </c>
      <c r="E924" t="s">
        <v>3395</v>
      </c>
      <c r="F924" t="s">
        <v>3396</v>
      </c>
      <c r="G924" t="s">
        <v>264</v>
      </c>
      <c r="H924" t="s">
        <v>3830</v>
      </c>
      <c r="I924" t="s">
        <v>3831</v>
      </c>
      <c r="J924" t="s">
        <v>267</v>
      </c>
      <c r="K924" t="s">
        <v>55</v>
      </c>
      <c r="L924" t="s">
        <v>3658</v>
      </c>
      <c r="M924" t="s">
        <v>57</v>
      </c>
      <c r="N924" t="str">
        <f>"043489"</f>
        <v>043489</v>
      </c>
      <c r="O924" t="s">
        <v>3176</v>
      </c>
      <c r="P924" t="s">
        <v>68</v>
      </c>
      <c r="Q924">
        <v>100</v>
      </c>
      <c r="R924">
        <v>42.2</v>
      </c>
      <c r="S924" t="s">
        <v>77</v>
      </c>
    </row>
    <row r="925" spans="1:19" x14ac:dyDescent="0.35">
      <c r="A925">
        <v>2642</v>
      </c>
      <c r="B925" t="str">
        <f>"002642"</f>
        <v>002642</v>
      </c>
      <c r="C925" t="s">
        <v>3832</v>
      </c>
      <c r="D925" t="s">
        <v>3394</v>
      </c>
      <c r="E925" t="s">
        <v>3395</v>
      </c>
      <c r="F925" t="s">
        <v>3396</v>
      </c>
      <c r="G925" t="s">
        <v>200</v>
      </c>
      <c r="H925" t="s">
        <v>3833</v>
      </c>
      <c r="I925" t="s">
        <v>3834</v>
      </c>
      <c r="J925" t="s">
        <v>304</v>
      </c>
      <c r="K925" t="s">
        <v>55</v>
      </c>
      <c r="L925" t="s">
        <v>3835</v>
      </c>
      <c r="M925" t="s">
        <v>57</v>
      </c>
      <c r="N925" t="str">
        <f>"044909"</f>
        <v>044909</v>
      </c>
      <c r="O925" t="s">
        <v>3318</v>
      </c>
      <c r="P925" t="s">
        <v>68</v>
      </c>
      <c r="Q925">
        <v>45.8</v>
      </c>
      <c r="R925">
        <v>48.8</v>
      </c>
      <c r="S925" t="s">
        <v>156</v>
      </c>
    </row>
    <row r="926" spans="1:19" x14ac:dyDescent="0.35">
      <c r="A926">
        <v>2659</v>
      </c>
      <c r="B926" t="str">
        <f>"002659"</f>
        <v>002659</v>
      </c>
      <c r="C926" t="s">
        <v>3836</v>
      </c>
      <c r="D926" t="s">
        <v>3394</v>
      </c>
      <c r="E926" t="s">
        <v>3395</v>
      </c>
      <c r="F926" t="s">
        <v>3396</v>
      </c>
      <c r="G926" t="s">
        <v>124</v>
      </c>
      <c r="H926" t="s">
        <v>2912</v>
      </c>
      <c r="I926" t="s">
        <v>2913</v>
      </c>
      <c r="J926" t="s">
        <v>2914</v>
      </c>
      <c r="K926" t="s">
        <v>55</v>
      </c>
      <c r="L926" t="s">
        <v>2915</v>
      </c>
      <c r="M926" t="s">
        <v>57</v>
      </c>
      <c r="N926" t="str">
        <f>"050484"</f>
        <v>050484</v>
      </c>
      <c r="O926" t="s">
        <v>2911</v>
      </c>
      <c r="P926" t="s">
        <v>68</v>
      </c>
      <c r="Q926">
        <v>41.2</v>
      </c>
      <c r="R926">
        <v>5.2999999999999972</v>
      </c>
      <c r="S926" t="s">
        <v>130</v>
      </c>
    </row>
    <row r="927" spans="1:19" x14ac:dyDescent="0.35">
      <c r="A927">
        <v>2667</v>
      </c>
      <c r="B927" t="str">
        <f>"002667"</f>
        <v>002667</v>
      </c>
      <c r="C927" t="s">
        <v>3837</v>
      </c>
      <c r="D927" t="s">
        <v>3394</v>
      </c>
      <c r="E927" t="s">
        <v>3395</v>
      </c>
      <c r="F927" t="s">
        <v>3396</v>
      </c>
      <c r="G927" t="s">
        <v>543</v>
      </c>
      <c r="H927" t="s">
        <v>3838</v>
      </c>
      <c r="I927" t="s">
        <v>3839</v>
      </c>
      <c r="J927" t="s">
        <v>687</v>
      </c>
      <c r="K927" t="s">
        <v>55</v>
      </c>
      <c r="L927" t="s">
        <v>688</v>
      </c>
      <c r="M927" t="s">
        <v>57</v>
      </c>
      <c r="N927" t="str">
        <f>"048702"</f>
        <v>048702</v>
      </c>
      <c r="O927" t="s">
        <v>866</v>
      </c>
      <c r="P927" t="s">
        <v>68</v>
      </c>
      <c r="Q927">
        <v>41.3</v>
      </c>
      <c r="R927">
        <v>38.5</v>
      </c>
      <c r="S927" t="s">
        <v>180</v>
      </c>
    </row>
    <row r="928" spans="1:19" x14ac:dyDescent="0.35">
      <c r="A928">
        <v>2675</v>
      </c>
      <c r="B928" t="str">
        <f>"002675"</f>
        <v>002675</v>
      </c>
      <c r="C928" t="s">
        <v>3840</v>
      </c>
      <c r="D928" t="s">
        <v>3398</v>
      </c>
      <c r="E928" t="s">
        <v>3395</v>
      </c>
      <c r="F928" t="s">
        <v>3396</v>
      </c>
      <c r="G928" t="s">
        <v>600</v>
      </c>
      <c r="H928" t="s">
        <v>3841</v>
      </c>
      <c r="I928" t="s">
        <v>3842</v>
      </c>
      <c r="J928" t="s">
        <v>3160</v>
      </c>
      <c r="K928" t="s">
        <v>55</v>
      </c>
      <c r="L928" t="s">
        <v>3161</v>
      </c>
      <c r="M928" t="s">
        <v>57</v>
      </c>
      <c r="N928" t="str">
        <f>"043620"</f>
        <v>043620</v>
      </c>
      <c r="O928" t="s">
        <v>3157</v>
      </c>
      <c r="P928" t="s">
        <v>68</v>
      </c>
      <c r="Q928">
        <v>9.1</v>
      </c>
      <c r="R928">
        <v>19</v>
      </c>
      <c r="S928" t="s">
        <v>60</v>
      </c>
    </row>
    <row r="929" spans="1:19" x14ac:dyDescent="0.35">
      <c r="A929">
        <v>2683</v>
      </c>
      <c r="B929" t="str">
        <f>"002683"</f>
        <v>002683</v>
      </c>
      <c r="C929" t="s">
        <v>3843</v>
      </c>
      <c r="D929" t="s">
        <v>3400</v>
      </c>
      <c r="E929" t="s">
        <v>3395</v>
      </c>
      <c r="F929" t="s">
        <v>3396</v>
      </c>
      <c r="G929" t="s">
        <v>861</v>
      </c>
      <c r="H929" t="s">
        <v>3844</v>
      </c>
      <c r="I929" t="s">
        <v>3845</v>
      </c>
      <c r="J929" t="s">
        <v>3846</v>
      </c>
      <c r="K929" t="s">
        <v>55</v>
      </c>
      <c r="L929" t="s">
        <v>3847</v>
      </c>
      <c r="M929" t="s">
        <v>57</v>
      </c>
      <c r="N929" t="str">
        <f>"065680"</f>
        <v>065680</v>
      </c>
      <c r="O929" t="s">
        <v>1755</v>
      </c>
      <c r="P929" t="s">
        <v>68</v>
      </c>
      <c r="Q929">
        <v>100</v>
      </c>
      <c r="R929">
        <v>7.5</v>
      </c>
      <c r="S929" t="s">
        <v>130</v>
      </c>
    </row>
    <row r="930" spans="1:19" x14ac:dyDescent="0.35">
      <c r="A930">
        <v>2709</v>
      </c>
      <c r="B930" t="str">
        <f>"002709"</f>
        <v>002709</v>
      </c>
      <c r="C930" t="s">
        <v>3848</v>
      </c>
      <c r="D930" t="s">
        <v>3398</v>
      </c>
      <c r="E930" t="s">
        <v>3395</v>
      </c>
      <c r="F930" t="s">
        <v>3396</v>
      </c>
      <c r="G930" t="s">
        <v>52</v>
      </c>
      <c r="H930" t="s">
        <v>3849</v>
      </c>
      <c r="I930" t="s">
        <v>3850</v>
      </c>
      <c r="J930" t="s">
        <v>2874</v>
      </c>
      <c r="K930" t="s">
        <v>55</v>
      </c>
      <c r="L930" t="s">
        <v>2875</v>
      </c>
      <c r="M930" t="s">
        <v>57</v>
      </c>
      <c r="N930" t="str">
        <f>"046748"</f>
        <v>046748</v>
      </c>
      <c r="O930" t="s">
        <v>2871</v>
      </c>
      <c r="P930" t="s">
        <v>68</v>
      </c>
      <c r="Q930">
        <v>13.4</v>
      </c>
      <c r="R930">
        <v>11.400000000000006</v>
      </c>
      <c r="S930" t="s">
        <v>60</v>
      </c>
    </row>
    <row r="931" spans="1:19" x14ac:dyDescent="0.35">
      <c r="A931">
        <v>2733</v>
      </c>
      <c r="B931" t="str">
        <f>"002733"</f>
        <v>002733</v>
      </c>
      <c r="C931" t="s">
        <v>3851</v>
      </c>
      <c r="D931" t="s">
        <v>3394</v>
      </c>
      <c r="E931" t="s">
        <v>3395</v>
      </c>
      <c r="F931" t="s">
        <v>3396</v>
      </c>
      <c r="G931" t="s">
        <v>600</v>
      </c>
      <c r="H931" t="s">
        <v>3852</v>
      </c>
      <c r="I931" t="s">
        <v>3853</v>
      </c>
      <c r="J931" t="s">
        <v>1348</v>
      </c>
      <c r="K931" t="s">
        <v>55</v>
      </c>
      <c r="L931" t="s">
        <v>3854</v>
      </c>
      <c r="M931" t="s">
        <v>57</v>
      </c>
      <c r="N931" t="str">
        <f>"043802"</f>
        <v>043802</v>
      </c>
      <c r="O931" t="s">
        <v>3171</v>
      </c>
      <c r="P931" t="s">
        <v>68</v>
      </c>
      <c r="Q931">
        <v>100</v>
      </c>
      <c r="R931">
        <v>50</v>
      </c>
      <c r="S931" t="s">
        <v>60</v>
      </c>
    </row>
    <row r="932" spans="1:19" x14ac:dyDescent="0.35">
      <c r="A932">
        <v>2758</v>
      </c>
      <c r="B932" t="str">
        <f>"002758"</f>
        <v>002758</v>
      </c>
      <c r="C932" t="s">
        <v>3855</v>
      </c>
      <c r="D932" t="s">
        <v>3394</v>
      </c>
      <c r="E932" t="s">
        <v>3395</v>
      </c>
      <c r="F932" t="s">
        <v>3396</v>
      </c>
      <c r="G932" t="s">
        <v>200</v>
      </c>
      <c r="H932" t="s">
        <v>3856</v>
      </c>
      <c r="I932" t="s">
        <v>3857</v>
      </c>
      <c r="J932" t="s">
        <v>304</v>
      </c>
      <c r="K932" t="s">
        <v>55</v>
      </c>
      <c r="L932" t="s">
        <v>3858</v>
      </c>
      <c r="M932" t="s">
        <v>57</v>
      </c>
      <c r="N932" t="str">
        <f>"044909"</f>
        <v>044909</v>
      </c>
      <c r="O932" t="s">
        <v>3318</v>
      </c>
      <c r="P932" t="s">
        <v>68</v>
      </c>
      <c r="Q932">
        <v>92.8</v>
      </c>
      <c r="R932">
        <v>62.1</v>
      </c>
      <c r="S932" t="s">
        <v>156</v>
      </c>
    </row>
    <row r="933" spans="1:19" x14ac:dyDescent="0.35">
      <c r="A933">
        <v>2766</v>
      </c>
      <c r="B933" t="str">
        <f>"002766"</f>
        <v>002766</v>
      </c>
      <c r="C933" t="s">
        <v>3859</v>
      </c>
      <c r="D933" t="s">
        <v>3394</v>
      </c>
      <c r="E933" t="s">
        <v>3395</v>
      </c>
      <c r="F933" t="s">
        <v>3396</v>
      </c>
      <c r="G933" t="s">
        <v>264</v>
      </c>
      <c r="H933" t="s">
        <v>3860</v>
      </c>
      <c r="I933" t="s">
        <v>3861</v>
      </c>
      <c r="J933" t="s">
        <v>3386</v>
      </c>
      <c r="K933" t="s">
        <v>55</v>
      </c>
      <c r="L933" t="s">
        <v>3387</v>
      </c>
      <c r="M933" t="s">
        <v>57</v>
      </c>
      <c r="N933" t="str">
        <f>"050070"</f>
        <v>050070</v>
      </c>
      <c r="O933" t="s">
        <v>3383</v>
      </c>
      <c r="P933" t="s">
        <v>68</v>
      </c>
      <c r="Q933">
        <v>20.7</v>
      </c>
      <c r="R933">
        <v>47</v>
      </c>
      <c r="S933" t="s">
        <v>77</v>
      </c>
    </row>
    <row r="934" spans="1:19" x14ac:dyDescent="0.35">
      <c r="A934">
        <v>2782</v>
      </c>
      <c r="B934" t="str">
        <f>"002782"</f>
        <v>002782</v>
      </c>
      <c r="C934" t="s">
        <v>3862</v>
      </c>
      <c r="D934" t="s">
        <v>3398</v>
      </c>
      <c r="E934" t="s">
        <v>3395</v>
      </c>
      <c r="F934" t="s">
        <v>3396</v>
      </c>
      <c r="G934" t="s">
        <v>855</v>
      </c>
      <c r="H934" t="s">
        <v>3863</v>
      </c>
      <c r="I934" t="s">
        <v>3864</v>
      </c>
      <c r="J934" t="s">
        <v>3287</v>
      </c>
      <c r="K934" t="s">
        <v>55</v>
      </c>
      <c r="L934" t="s">
        <v>3288</v>
      </c>
      <c r="M934" t="s">
        <v>57</v>
      </c>
      <c r="N934" t="str">
        <f>"048462"</f>
        <v>048462</v>
      </c>
      <c r="O934" t="s">
        <v>3284</v>
      </c>
      <c r="P934" t="s">
        <v>68</v>
      </c>
      <c r="Q934">
        <v>29.9</v>
      </c>
      <c r="R934">
        <v>5.5999999999999943</v>
      </c>
      <c r="S934" t="s">
        <v>77</v>
      </c>
    </row>
    <row r="935" spans="1:19" x14ac:dyDescent="0.35">
      <c r="A935">
        <v>2824</v>
      </c>
      <c r="B935" t="str">
        <f>"002824"</f>
        <v>002824</v>
      </c>
      <c r="C935" t="s">
        <v>3865</v>
      </c>
      <c r="D935" t="s">
        <v>3394</v>
      </c>
      <c r="E935" t="s">
        <v>3395</v>
      </c>
      <c r="F935" t="s">
        <v>3396</v>
      </c>
      <c r="G935" t="s">
        <v>543</v>
      </c>
      <c r="H935" t="s">
        <v>3866</v>
      </c>
      <c r="I935" t="s">
        <v>3867</v>
      </c>
      <c r="J935" t="s">
        <v>687</v>
      </c>
      <c r="K935" t="s">
        <v>55</v>
      </c>
      <c r="L935" t="s">
        <v>1990</v>
      </c>
      <c r="M935" t="s">
        <v>57</v>
      </c>
      <c r="N935" t="str">
        <f>"048686"</f>
        <v>048686</v>
      </c>
      <c r="O935" t="s">
        <v>1987</v>
      </c>
      <c r="P935" t="s">
        <v>68</v>
      </c>
      <c r="Q935">
        <v>100</v>
      </c>
      <c r="R935">
        <v>82.4</v>
      </c>
      <c r="S935" t="s">
        <v>180</v>
      </c>
    </row>
    <row r="936" spans="1:19" x14ac:dyDescent="0.35">
      <c r="A936">
        <v>2832</v>
      </c>
      <c r="B936" t="str">
        <f>"002832"</f>
        <v>002832</v>
      </c>
      <c r="C936" t="s">
        <v>3868</v>
      </c>
      <c r="D936" t="s">
        <v>3400</v>
      </c>
      <c r="E936" t="s">
        <v>3395</v>
      </c>
      <c r="F936" t="s">
        <v>3396</v>
      </c>
      <c r="G936" t="s">
        <v>250</v>
      </c>
      <c r="H936" t="s">
        <v>3869</v>
      </c>
      <c r="I936" t="s">
        <v>3870</v>
      </c>
      <c r="J936" t="s">
        <v>253</v>
      </c>
      <c r="K936" t="s">
        <v>55</v>
      </c>
      <c r="L936" t="s">
        <v>254</v>
      </c>
      <c r="M936" t="s">
        <v>57</v>
      </c>
      <c r="N936" t="str">
        <f>"046383"</f>
        <v>046383</v>
      </c>
      <c r="O936" t="s">
        <v>249</v>
      </c>
      <c r="P936" t="s">
        <v>68</v>
      </c>
      <c r="Q936">
        <v>44.7</v>
      </c>
      <c r="R936">
        <v>6.9000000000000057</v>
      </c>
      <c r="S936" t="s">
        <v>60</v>
      </c>
    </row>
    <row r="937" spans="1:19" x14ac:dyDescent="0.35">
      <c r="A937">
        <v>2840</v>
      </c>
      <c r="B937" t="str">
        <f>"002840"</f>
        <v>002840</v>
      </c>
      <c r="C937" t="s">
        <v>3871</v>
      </c>
      <c r="D937" t="s">
        <v>3398</v>
      </c>
      <c r="E937" t="s">
        <v>3395</v>
      </c>
      <c r="F937" t="s">
        <v>3396</v>
      </c>
      <c r="G937" t="s">
        <v>250</v>
      </c>
      <c r="H937" t="s">
        <v>3872</v>
      </c>
      <c r="I937" t="s">
        <v>3873</v>
      </c>
      <c r="J937" t="s">
        <v>253</v>
      </c>
      <c r="K937" t="s">
        <v>55</v>
      </c>
      <c r="L937" t="s">
        <v>254</v>
      </c>
      <c r="M937" t="s">
        <v>57</v>
      </c>
      <c r="N937" t="str">
        <f>"046383"</f>
        <v>046383</v>
      </c>
      <c r="O937" t="s">
        <v>249</v>
      </c>
      <c r="P937" t="s">
        <v>68</v>
      </c>
      <c r="Q937">
        <v>35.299999999999997</v>
      </c>
      <c r="R937">
        <v>4.2000000000000028</v>
      </c>
      <c r="S937" t="s">
        <v>60</v>
      </c>
    </row>
    <row r="938" spans="1:19" x14ac:dyDescent="0.35">
      <c r="A938">
        <v>2857</v>
      </c>
      <c r="B938" t="str">
        <f>"002857"</f>
        <v>002857</v>
      </c>
      <c r="C938" t="s">
        <v>3874</v>
      </c>
      <c r="D938" t="s">
        <v>3394</v>
      </c>
      <c r="E938" t="s">
        <v>3395</v>
      </c>
      <c r="F938" t="s">
        <v>3396</v>
      </c>
      <c r="G938" t="s">
        <v>92</v>
      </c>
      <c r="H938" t="s">
        <v>3875</v>
      </c>
      <c r="I938" t="s">
        <v>3876</v>
      </c>
      <c r="J938" t="s">
        <v>104</v>
      </c>
      <c r="K938" t="s">
        <v>55</v>
      </c>
      <c r="L938" t="s">
        <v>1564</v>
      </c>
      <c r="M938" t="s">
        <v>57</v>
      </c>
      <c r="N938" t="str">
        <f>"046862"</f>
        <v>046862</v>
      </c>
      <c r="O938" t="s">
        <v>1561</v>
      </c>
      <c r="P938" t="s">
        <v>68</v>
      </c>
      <c r="Q938">
        <v>16.899999999999999</v>
      </c>
      <c r="R938">
        <v>10.400000000000006</v>
      </c>
      <c r="S938" t="s">
        <v>60</v>
      </c>
    </row>
    <row r="939" spans="1:19" x14ac:dyDescent="0.35">
      <c r="A939">
        <v>2873</v>
      </c>
      <c r="B939" t="str">
        <f>"002873"</f>
        <v>002873</v>
      </c>
      <c r="C939" t="s">
        <v>3877</v>
      </c>
      <c r="D939" t="s">
        <v>3398</v>
      </c>
      <c r="E939" t="s">
        <v>3395</v>
      </c>
      <c r="F939" t="s">
        <v>3396</v>
      </c>
      <c r="G939" t="s">
        <v>219</v>
      </c>
      <c r="H939" t="s">
        <v>3878</v>
      </c>
      <c r="I939" t="s">
        <v>3879</v>
      </c>
      <c r="J939" t="s">
        <v>2098</v>
      </c>
      <c r="K939" t="s">
        <v>55</v>
      </c>
      <c r="L939" t="s">
        <v>2099</v>
      </c>
      <c r="M939" t="s">
        <v>57</v>
      </c>
      <c r="N939" t="str">
        <f>"049593"</f>
        <v>049593</v>
      </c>
      <c r="O939" t="s">
        <v>2095</v>
      </c>
      <c r="P939" t="s">
        <v>68</v>
      </c>
      <c r="Q939">
        <v>40.700000000000003</v>
      </c>
      <c r="R939">
        <v>2.4000000000000057</v>
      </c>
      <c r="S939" t="s">
        <v>130</v>
      </c>
    </row>
    <row r="940" spans="1:19" x14ac:dyDescent="0.35">
      <c r="A940">
        <v>2907</v>
      </c>
      <c r="B940" t="str">
        <f>"002907"</f>
        <v>002907</v>
      </c>
      <c r="C940" t="s">
        <v>3880</v>
      </c>
      <c r="D940" t="s">
        <v>3394</v>
      </c>
      <c r="E940" t="s">
        <v>3395</v>
      </c>
      <c r="F940" t="s">
        <v>3396</v>
      </c>
      <c r="G940" t="s">
        <v>92</v>
      </c>
      <c r="H940" t="s">
        <v>3875</v>
      </c>
      <c r="I940" t="s">
        <v>3876</v>
      </c>
      <c r="J940" t="s">
        <v>104</v>
      </c>
      <c r="K940" t="s">
        <v>55</v>
      </c>
      <c r="L940" t="s">
        <v>1564</v>
      </c>
      <c r="M940" t="s">
        <v>57</v>
      </c>
      <c r="N940" t="str">
        <f>"046862"</f>
        <v>046862</v>
      </c>
      <c r="O940" t="s">
        <v>1561</v>
      </c>
      <c r="P940" t="s">
        <v>68</v>
      </c>
      <c r="Q940">
        <v>15.3</v>
      </c>
      <c r="R940">
        <v>14.099999999999994</v>
      </c>
      <c r="S940" t="s">
        <v>60</v>
      </c>
    </row>
    <row r="941" spans="1:19" x14ac:dyDescent="0.35">
      <c r="A941">
        <v>2923</v>
      </c>
      <c r="B941" t="str">
        <f>"002923"</f>
        <v>002923</v>
      </c>
      <c r="C941" t="s">
        <v>3881</v>
      </c>
      <c r="D941" t="s">
        <v>3394</v>
      </c>
      <c r="E941" t="s">
        <v>3395</v>
      </c>
      <c r="F941" t="s">
        <v>3396</v>
      </c>
      <c r="G941" t="s">
        <v>244</v>
      </c>
      <c r="H941" t="s">
        <v>3882</v>
      </c>
      <c r="I941" t="s">
        <v>3883</v>
      </c>
      <c r="J941" t="s">
        <v>247</v>
      </c>
      <c r="K941" t="s">
        <v>55</v>
      </c>
      <c r="L941" t="s">
        <v>248</v>
      </c>
      <c r="M941" t="s">
        <v>57</v>
      </c>
      <c r="N941" t="str">
        <f>"046094"</f>
        <v>046094</v>
      </c>
      <c r="O941" t="s">
        <v>243</v>
      </c>
      <c r="P941" t="s">
        <v>68</v>
      </c>
      <c r="Q941">
        <v>47.8</v>
      </c>
      <c r="R941">
        <v>14.099999999999994</v>
      </c>
      <c r="S941" t="s">
        <v>217</v>
      </c>
    </row>
    <row r="942" spans="1:19" x14ac:dyDescent="0.35">
      <c r="A942">
        <v>2956</v>
      </c>
      <c r="B942" t="str">
        <f>"002956"</f>
        <v>002956</v>
      </c>
      <c r="C942" t="s">
        <v>3884</v>
      </c>
      <c r="D942" t="s">
        <v>3398</v>
      </c>
      <c r="E942" t="s">
        <v>3395</v>
      </c>
      <c r="F942" t="s">
        <v>3396</v>
      </c>
      <c r="G942" t="s">
        <v>169</v>
      </c>
      <c r="H942" t="s">
        <v>3885</v>
      </c>
      <c r="I942" t="s">
        <v>3886</v>
      </c>
      <c r="J942" t="s">
        <v>414</v>
      </c>
      <c r="K942" t="s">
        <v>55</v>
      </c>
      <c r="L942" t="s">
        <v>415</v>
      </c>
      <c r="M942" t="s">
        <v>57</v>
      </c>
      <c r="N942" t="str">
        <f>"050096"</f>
        <v>050096</v>
      </c>
      <c r="O942" t="s">
        <v>411</v>
      </c>
      <c r="P942" t="s">
        <v>68</v>
      </c>
      <c r="Q942">
        <v>46.3</v>
      </c>
      <c r="R942">
        <v>2.0999999999999943</v>
      </c>
      <c r="S942" t="s">
        <v>77</v>
      </c>
    </row>
    <row r="943" spans="1:19" x14ac:dyDescent="0.35">
      <c r="A943">
        <v>2964</v>
      </c>
      <c r="B943" t="str">
        <f>"002964"</f>
        <v>002964</v>
      </c>
      <c r="C943" t="s">
        <v>3887</v>
      </c>
      <c r="D943" t="s">
        <v>3400</v>
      </c>
      <c r="E943" t="s">
        <v>3395</v>
      </c>
      <c r="F943" t="s">
        <v>3396</v>
      </c>
      <c r="G943" t="s">
        <v>2298</v>
      </c>
      <c r="H943" t="s">
        <v>3888</v>
      </c>
      <c r="I943" t="s">
        <v>3889</v>
      </c>
      <c r="J943" t="s">
        <v>2301</v>
      </c>
      <c r="K943" t="s">
        <v>55</v>
      </c>
      <c r="L943" t="s">
        <v>2302</v>
      </c>
      <c r="M943" t="s">
        <v>57</v>
      </c>
      <c r="N943" t="str">
        <f>"046920"</f>
        <v>046920</v>
      </c>
      <c r="O943" t="s">
        <v>2297</v>
      </c>
      <c r="P943" t="s">
        <v>68</v>
      </c>
      <c r="Q943">
        <v>40.9</v>
      </c>
      <c r="R943">
        <v>11.099999999999994</v>
      </c>
      <c r="S943" t="s">
        <v>60</v>
      </c>
    </row>
    <row r="944" spans="1:19" x14ac:dyDescent="0.35">
      <c r="A944">
        <v>2980</v>
      </c>
      <c r="B944" t="str">
        <f>"002980"</f>
        <v>002980</v>
      </c>
      <c r="C944" t="s">
        <v>3890</v>
      </c>
      <c r="D944" t="s">
        <v>3394</v>
      </c>
      <c r="E944" t="s">
        <v>3395</v>
      </c>
      <c r="F944" t="s">
        <v>3396</v>
      </c>
      <c r="G944" t="s">
        <v>169</v>
      </c>
      <c r="H944" t="s">
        <v>1736</v>
      </c>
      <c r="I944" t="s">
        <v>1737</v>
      </c>
      <c r="J944" t="s">
        <v>1215</v>
      </c>
      <c r="K944" t="s">
        <v>55</v>
      </c>
      <c r="L944" t="s">
        <v>1738</v>
      </c>
      <c r="M944" t="s">
        <v>57</v>
      </c>
      <c r="N944" t="str">
        <f>"050195"</f>
        <v>050195</v>
      </c>
      <c r="O944" t="s">
        <v>1735</v>
      </c>
      <c r="P944" t="s">
        <v>68</v>
      </c>
      <c r="Q944">
        <v>74.8</v>
      </c>
      <c r="R944">
        <v>53</v>
      </c>
      <c r="S944" t="s">
        <v>77</v>
      </c>
    </row>
    <row r="945" spans="1:19" x14ac:dyDescent="0.35">
      <c r="A945">
        <v>2998</v>
      </c>
      <c r="B945" t="str">
        <f>"002998"</f>
        <v>002998</v>
      </c>
      <c r="C945" t="s">
        <v>3891</v>
      </c>
      <c r="D945" t="s">
        <v>3394</v>
      </c>
      <c r="E945" t="s">
        <v>3395</v>
      </c>
      <c r="F945" t="s">
        <v>3396</v>
      </c>
      <c r="G945" t="s">
        <v>212</v>
      </c>
      <c r="H945" t="s">
        <v>3892</v>
      </c>
      <c r="I945" t="s">
        <v>3893</v>
      </c>
      <c r="J945" t="s">
        <v>215</v>
      </c>
      <c r="K945" t="s">
        <v>55</v>
      </c>
      <c r="L945" t="s">
        <v>1405</v>
      </c>
      <c r="M945" t="s">
        <v>57</v>
      </c>
      <c r="N945" t="str">
        <f>"044867"</f>
        <v>044867</v>
      </c>
      <c r="O945" t="s">
        <v>2415</v>
      </c>
      <c r="P945" t="s">
        <v>68</v>
      </c>
      <c r="Q945">
        <v>13.4</v>
      </c>
      <c r="R945">
        <v>37.200000000000003</v>
      </c>
      <c r="S945" t="s">
        <v>217</v>
      </c>
    </row>
    <row r="946" spans="1:19" x14ac:dyDescent="0.35">
      <c r="A946">
        <v>3020</v>
      </c>
      <c r="B946" t="str">
        <f>"003020"</f>
        <v>003020</v>
      </c>
      <c r="C946" t="s">
        <v>3894</v>
      </c>
      <c r="D946" t="s">
        <v>3394</v>
      </c>
      <c r="E946" t="s">
        <v>3395</v>
      </c>
      <c r="F946" t="s">
        <v>3396</v>
      </c>
      <c r="G946" t="s">
        <v>1193</v>
      </c>
      <c r="H946" t="s">
        <v>2013</v>
      </c>
      <c r="I946" t="s">
        <v>2014</v>
      </c>
      <c r="J946" t="s">
        <v>2015</v>
      </c>
      <c r="K946" t="s">
        <v>55</v>
      </c>
      <c r="L946" t="s">
        <v>2016</v>
      </c>
      <c r="M946" t="s">
        <v>57</v>
      </c>
      <c r="N946" t="str">
        <f>"045211"</f>
        <v>045211</v>
      </c>
      <c r="O946" t="s">
        <v>2012</v>
      </c>
      <c r="P946" t="s">
        <v>68</v>
      </c>
      <c r="Q946">
        <v>15.8</v>
      </c>
      <c r="R946">
        <v>8.5999999999999943</v>
      </c>
      <c r="S946" t="s">
        <v>156</v>
      </c>
    </row>
    <row r="947" spans="1:19" x14ac:dyDescent="0.35">
      <c r="A947">
        <v>3038</v>
      </c>
      <c r="B947" t="str">
        <f>"003038"</f>
        <v>003038</v>
      </c>
      <c r="C947" t="s">
        <v>3895</v>
      </c>
      <c r="D947" t="s">
        <v>3398</v>
      </c>
      <c r="E947" t="s">
        <v>3395</v>
      </c>
      <c r="F947" t="s">
        <v>3396</v>
      </c>
      <c r="G947" t="s">
        <v>1193</v>
      </c>
      <c r="H947" t="s">
        <v>3896</v>
      </c>
      <c r="I947" t="s">
        <v>3897</v>
      </c>
      <c r="J947" t="s">
        <v>2015</v>
      </c>
      <c r="K947" t="s">
        <v>55</v>
      </c>
      <c r="L947" t="s">
        <v>2016</v>
      </c>
      <c r="M947" t="s">
        <v>57</v>
      </c>
      <c r="N947" t="str">
        <f>"045211"</f>
        <v>045211</v>
      </c>
      <c r="O947" t="s">
        <v>2012</v>
      </c>
      <c r="P947" t="s">
        <v>68</v>
      </c>
      <c r="Q947">
        <v>11.2</v>
      </c>
      <c r="R947">
        <v>7.2000000000000028</v>
      </c>
      <c r="S947" t="s">
        <v>156</v>
      </c>
    </row>
    <row r="948" spans="1:19" x14ac:dyDescent="0.35">
      <c r="A948">
        <v>3046</v>
      </c>
      <c r="B948" t="str">
        <f>"003046"</f>
        <v>003046</v>
      </c>
      <c r="C948" t="s">
        <v>3898</v>
      </c>
      <c r="D948" t="s">
        <v>3400</v>
      </c>
      <c r="E948" t="s">
        <v>3395</v>
      </c>
      <c r="F948" t="s">
        <v>3396</v>
      </c>
      <c r="G948" t="s">
        <v>554</v>
      </c>
      <c r="H948" t="s">
        <v>3899</v>
      </c>
      <c r="I948" t="s">
        <v>3900</v>
      </c>
      <c r="J948" t="s">
        <v>1184</v>
      </c>
      <c r="K948" t="s">
        <v>55</v>
      </c>
      <c r="L948" t="s">
        <v>1185</v>
      </c>
      <c r="M948" t="s">
        <v>57</v>
      </c>
      <c r="N948" t="str">
        <f>"044982"</f>
        <v>044982</v>
      </c>
      <c r="O948" t="s">
        <v>1181</v>
      </c>
      <c r="P948" t="s">
        <v>68</v>
      </c>
      <c r="Q948">
        <v>34.9</v>
      </c>
      <c r="R948">
        <v>4.5999999999999943</v>
      </c>
      <c r="S948" t="s">
        <v>156</v>
      </c>
    </row>
    <row r="949" spans="1:19" x14ac:dyDescent="0.35">
      <c r="A949">
        <v>3053</v>
      </c>
      <c r="B949" t="str">
        <f>"003053"</f>
        <v>003053</v>
      </c>
      <c r="C949" t="s">
        <v>3901</v>
      </c>
      <c r="D949" t="s">
        <v>3506</v>
      </c>
      <c r="E949" t="s">
        <v>3395</v>
      </c>
      <c r="F949" t="s">
        <v>3396</v>
      </c>
      <c r="G949" t="s">
        <v>383</v>
      </c>
      <c r="H949" t="s">
        <v>3902</v>
      </c>
      <c r="I949" t="s">
        <v>3903</v>
      </c>
      <c r="J949" t="s">
        <v>1215</v>
      </c>
      <c r="K949" t="s">
        <v>55</v>
      </c>
      <c r="L949" t="s">
        <v>2451</v>
      </c>
      <c r="M949" t="s">
        <v>57</v>
      </c>
      <c r="N949" t="str">
        <f>"048306"</f>
        <v>048306</v>
      </c>
      <c r="O949" t="s">
        <v>2448</v>
      </c>
      <c r="P949" t="s">
        <v>68</v>
      </c>
      <c r="Q949">
        <v>51.8</v>
      </c>
      <c r="R949">
        <v>27.700000000000003</v>
      </c>
      <c r="S949" t="s">
        <v>77</v>
      </c>
    </row>
    <row r="950" spans="1:19" x14ac:dyDescent="0.35">
      <c r="A950">
        <v>3061</v>
      </c>
      <c r="B950" t="str">
        <f>"003061"</f>
        <v>003061</v>
      </c>
      <c r="C950" t="s">
        <v>3904</v>
      </c>
      <c r="D950" t="s">
        <v>3398</v>
      </c>
      <c r="E950" t="s">
        <v>3395</v>
      </c>
      <c r="F950" t="s">
        <v>3396</v>
      </c>
      <c r="G950" t="s">
        <v>383</v>
      </c>
      <c r="H950" t="s">
        <v>2449</v>
      </c>
      <c r="I950" t="s">
        <v>2450</v>
      </c>
      <c r="J950" t="s">
        <v>1215</v>
      </c>
      <c r="K950" t="s">
        <v>55</v>
      </c>
      <c r="L950" t="s">
        <v>2451</v>
      </c>
      <c r="M950" t="s">
        <v>57</v>
      </c>
      <c r="N950" t="str">
        <f>"048306"</f>
        <v>048306</v>
      </c>
      <c r="O950" t="s">
        <v>2448</v>
      </c>
      <c r="P950" t="s">
        <v>68</v>
      </c>
      <c r="Q950">
        <v>41.3</v>
      </c>
      <c r="R950">
        <v>26.599999999999994</v>
      </c>
      <c r="S950" t="s">
        <v>77</v>
      </c>
    </row>
    <row r="951" spans="1:19" x14ac:dyDescent="0.35">
      <c r="A951">
        <v>3103</v>
      </c>
      <c r="B951" t="str">
        <f>"003103"</f>
        <v>003103</v>
      </c>
      <c r="C951" t="s">
        <v>3905</v>
      </c>
      <c r="D951" t="s">
        <v>3400</v>
      </c>
      <c r="E951" t="s">
        <v>3395</v>
      </c>
      <c r="F951" t="s">
        <v>3396</v>
      </c>
      <c r="G951" t="s">
        <v>264</v>
      </c>
      <c r="H951" t="s">
        <v>3906</v>
      </c>
      <c r="I951" t="s">
        <v>3907</v>
      </c>
      <c r="J951" t="s">
        <v>2497</v>
      </c>
      <c r="K951" t="s">
        <v>55</v>
      </c>
      <c r="L951" t="s">
        <v>3908</v>
      </c>
      <c r="M951" t="s">
        <v>57</v>
      </c>
      <c r="N951" t="str">
        <f>"043836"</f>
        <v>043836</v>
      </c>
      <c r="O951" t="s">
        <v>2494</v>
      </c>
      <c r="P951" t="s">
        <v>68</v>
      </c>
      <c r="Q951">
        <v>53.6</v>
      </c>
      <c r="R951">
        <v>28.5</v>
      </c>
      <c r="S951" t="s">
        <v>77</v>
      </c>
    </row>
    <row r="952" spans="1:19" x14ac:dyDescent="0.35">
      <c r="A952">
        <v>3129</v>
      </c>
      <c r="B952" t="str">
        <f>"003129"</f>
        <v>003129</v>
      </c>
      <c r="C952" t="s">
        <v>3909</v>
      </c>
      <c r="D952" t="s">
        <v>3394</v>
      </c>
      <c r="E952" t="s">
        <v>3395</v>
      </c>
      <c r="F952" t="s">
        <v>3396</v>
      </c>
      <c r="G952" t="s">
        <v>71</v>
      </c>
      <c r="H952" t="s">
        <v>3910</v>
      </c>
      <c r="I952" t="s">
        <v>3911</v>
      </c>
      <c r="J952" t="s">
        <v>1494</v>
      </c>
      <c r="K952" t="s">
        <v>55</v>
      </c>
      <c r="L952" t="s">
        <v>1495</v>
      </c>
      <c r="M952" t="s">
        <v>57</v>
      </c>
      <c r="N952" t="str">
        <f>"050302"</f>
        <v>050302</v>
      </c>
      <c r="O952" t="s">
        <v>1491</v>
      </c>
      <c r="P952" t="s">
        <v>68</v>
      </c>
      <c r="Q952">
        <v>37.6</v>
      </c>
      <c r="R952">
        <v>3.5</v>
      </c>
      <c r="S952" t="s">
        <v>77</v>
      </c>
    </row>
    <row r="953" spans="1:19" x14ac:dyDescent="0.35">
      <c r="A953">
        <v>3137</v>
      </c>
      <c r="B953" t="str">
        <f>"003137"</f>
        <v>003137</v>
      </c>
      <c r="C953" t="s">
        <v>3912</v>
      </c>
      <c r="D953" t="s">
        <v>3394</v>
      </c>
      <c r="E953" t="s">
        <v>3395</v>
      </c>
      <c r="F953" t="s">
        <v>3396</v>
      </c>
      <c r="G953" t="s">
        <v>63</v>
      </c>
      <c r="H953" t="s">
        <v>3913</v>
      </c>
      <c r="I953" t="s">
        <v>3914</v>
      </c>
      <c r="J953" t="s">
        <v>285</v>
      </c>
      <c r="K953" t="s">
        <v>55</v>
      </c>
      <c r="L953" t="s">
        <v>3915</v>
      </c>
      <c r="M953" t="s">
        <v>57</v>
      </c>
      <c r="N953" t="str">
        <f>"043786"</f>
        <v>043786</v>
      </c>
      <c r="O953" t="s">
        <v>1340</v>
      </c>
      <c r="P953" t="s">
        <v>68</v>
      </c>
      <c r="Q953">
        <v>100</v>
      </c>
      <c r="R953">
        <v>100</v>
      </c>
      <c r="S953" t="s">
        <v>69</v>
      </c>
    </row>
    <row r="954" spans="1:19" x14ac:dyDescent="0.35">
      <c r="A954">
        <v>3152</v>
      </c>
      <c r="B954" t="str">
        <f>"003152"</f>
        <v>003152</v>
      </c>
      <c r="C954" t="s">
        <v>3916</v>
      </c>
      <c r="D954" t="s">
        <v>3394</v>
      </c>
      <c r="E954" t="s">
        <v>3395</v>
      </c>
      <c r="F954" t="s">
        <v>3396</v>
      </c>
      <c r="G954" t="s">
        <v>212</v>
      </c>
      <c r="H954" t="s">
        <v>3917</v>
      </c>
      <c r="I954" t="s">
        <v>3918</v>
      </c>
      <c r="J954" t="s">
        <v>215</v>
      </c>
      <c r="K954" t="s">
        <v>55</v>
      </c>
      <c r="L954" t="s">
        <v>3919</v>
      </c>
      <c r="M954" t="s">
        <v>57</v>
      </c>
      <c r="N954" t="str">
        <f>"043752"</f>
        <v>043752</v>
      </c>
      <c r="O954" t="s">
        <v>440</v>
      </c>
      <c r="P954" t="s">
        <v>68</v>
      </c>
      <c r="Q954">
        <v>100</v>
      </c>
      <c r="R954">
        <v>100</v>
      </c>
      <c r="S954" t="s">
        <v>217</v>
      </c>
    </row>
    <row r="955" spans="1:19" x14ac:dyDescent="0.35">
      <c r="A955">
        <v>3202</v>
      </c>
      <c r="B955" t="str">
        <f>"003202"</f>
        <v>003202</v>
      </c>
      <c r="C955" t="s">
        <v>3920</v>
      </c>
      <c r="D955" t="s">
        <v>3400</v>
      </c>
      <c r="E955" t="s">
        <v>3395</v>
      </c>
      <c r="F955" t="s">
        <v>3396</v>
      </c>
      <c r="G955" t="s">
        <v>264</v>
      </c>
      <c r="H955" t="s">
        <v>3921</v>
      </c>
      <c r="I955" t="s">
        <v>3922</v>
      </c>
      <c r="J955" t="s">
        <v>3381</v>
      </c>
      <c r="K955" t="s">
        <v>55</v>
      </c>
      <c r="L955" t="s">
        <v>3382</v>
      </c>
      <c r="M955" t="s">
        <v>57</v>
      </c>
      <c r="N955" t="str">
        <f>"049973"</f>
        <v>049973</v>
      </c>
      <c r="O955" t="s">
        <v>3378</v>
      </c>
      <c r="P955" t="s">
        <v>68</v>
      </c>
      <c r="Q955">
        <v>47.8</v>
      </c>
      <c r="R955">
        <v>38.299999999999997</v>
      </c>
      <c r="S955" t="s">
        <v>77</v>
      </c>
    </row>
    <row r="956" spans="1:19" x14ac:dyDescent="0.35">
      <c r="A956">
        <v>3210</v>
      </c>
      <c r="B956" t="str">
        <f>"003210"</f>
        <v>003210</v>
      </c>
      <c r="C956" t="s">
        <v>3923</v>
      </c>
      <c r="D956" t="s">
        <v>3394</v>
      </c>
      <c r="E956" t="s">
        <v>3395</v>
      </c>
      <c r="F956" t="s">
        <v>3396</v>
      </c>
      <c r="G956" t="s">
        <v>572</v>
      </c>
      <c r="H956" t="s">
        <v>573</v>
      </c>
      <c r="I956" t="s">
        <v>574</v>
      </c>
      <c r="J956" t="s">
        <v>575</v>
      </c>
      <c r="K956" t="s">
        <v>55</v>
      </c>
      <c r="L956" t="s">
        <v>576</v>
      </c>
      <c r="M956" t="s">
        <v>57</v>
      </c>
      <c r="N956" t="str">
        <f>"049767"</f>
        <v>049767</v>
      </c>
      <c r="O956" t="s">
        <v>571</v>
      </c>
      <c r="P956" t="s">
        <v>68</v>
      </c>
      <c r="Q956">
        <v>14.1</v>
      </c>
      <c r="R956">
        <v>5.9000000000000057</v>
      </c>
      <c r="S956" t="s">
        <v>180</v>
      </c>
    </row>
    <row r="957" spans="1:19" x14ac:dyDescent="0.35">
      <c r="A957">
        <v>3228</v>
      </c>
      <c r="B957" t="str">
        <f>"003228"</f>
        <v>003228</v>
      </c>
      <c r="C957" t="s">
        <v>21</v>
      </c>
      <c r="D957" t="s">
        <v>3398</v>
      </c>
      <c r="E957" t="s">
        <v>3395</v>
      </c>
      <c r="F957" t="s">
        <v>3396</v>
      </c>
      <c r="G957" t="s">
        <v>572</v>
      </c>
      <c r="H957" t="s">
        <v>573</v>
      </c>
      <c r="I957" t="s">
        <v>574</v>
      </c>
      <c r="J957" t="s">
        <v>575</v>
      </c>
      <c r="K957" t="s">
        <v>55</v>
      </c>
      <c r="L957" t="s">
        <v>576</v>
      </c>
      <c r="M957" t="s">
        <v>57</v>
      </c>
      <c r="N957" t="str">
        <f>"049767"</f>
        <v>049767</v>
      </c>
      <c r="O957" t="s">
        <v>571</v>
      </c>
      <c r="P957" t="s">
        <v>68</v>
      </c>
      <c r="Q957">
        <v>9.5</v>
      </c>
      <c r="R957">
        <v>6.5</v>
      </c>
      <c r="S957" t="s">
        <v>180</v>
      </c>
    </row>
    <row r="958" spans="1:19" x14ac:dyDescent="0.35">
      <c r="A958">
        <v>3244</v>
      </c>
      <c r="B958" t="str">
        <f>"003244"</f>
        <v>003244</v>
      </c>
      <c r="C958" t="s">
        <v>3924</v>
      </c>
      <c r="D958" t="s">
        <v>3394</v>
      </c>
      <c r="E958" t="s">
        <v>3395</v>
      </c>
      <c r="F958" t="s">
        <v>3396</v>
      </c>
      <c r="G958" t="s">
        <v>63</v>
      </c>
      <c r="H958" t="s">
        <v>3925</v>
      </c>
      <c r="I958" t="s">
        <v>3926</v>
      </c>
      <c r="J958" t="s">
        <v>101</v>
      </c>
      <c r="K958" t="s">
        <v>55</v>
      </c>
      <c r="L958" t="s">
        <v>102</v>
      </c>
      <c r="M958" t="s">
        <v>57</v>
      </c>
      <c r="N958" t="str">
        <f>"044750"</f>
        <v>044750</v>
      </c>
      <c r="O958" t="s">
        <v>98</v>
      </c>
      <c r="P958" t="s">
        <v>68</v>
      </c>
      <c r="Q958">
        <v>41.3</v>
      </c>
      <c r="R958">
        <v>65.3</v>
      </c>
      <c r="S958" t="s">
        <v>69</v>
      </c>
    </row>
    <row r="959" spans="1:19" x14ac:dyDescent="0.35">
      <c r="A959">
        <v>3251</v>
      </c>
      <c r="B959" t="str">
        <f>"003251"</f>
        <v>003251</v>
      </c>
      <c r="C959" t="s">
        <v>3924</v>
      </c>
      <c r="D959" t="s">
        <v>3394</v>
      </c>
      <c r="E959" t="s">
        <v>3395</v>
      </c>
      <c r="F959" t="s">
        <v>3396</v>
      </c>
      <c r="G959" t="s">
        <v>63</v>
      </c>
      <c r="H959" t="s">
        <v>3927</v>
      </c>
      <c r="I959" t="s">
        <v>3928</v>
      </c>
      <c r="J959" t="s">
        <v>1844</v>
      </c>
      <c r="K959" t="s">
        <v>55</v>
      </c>
      <c r="L959" t="s">
        <v>1636</v>
      </c>
      <c r="M959" t="s">
        <v>57</v>
      </c>
      <c r="N959" t="str">
        <f>"043794"</f>
        <v>043794</v>
      </c>
      <c r="O959" t="s">
        <v>1912</v>
      </c>
      <c r="P959" t="s">
        <v>68</v>
      </c>
      <c r="Q959">
        <v>100</v>
      </c>
      <c r="R959">
        <v>86.3</v>
      </c>
      <c r="S959" t="s">
        <v>69</v>
      </c>
    </row>
    <row r="960" spans="1:19" x14ac:dyDescent="0.35">
      <c r="A960">
        <v>3251</v>
      </c>
      <c r="B960" t="str">
        <f>"003251"</f>
        <v>003251</v>
      </c>
      <c r="C960" t="s">
        <v>3924</v>
      </c>
      <c r="D960" t="s">
        <v>3929</v>
      </c>
      <c r="E960" t="s">
        <v>3395</v>
      </c>
      <c r="F960" t="s">
        <v>3396</v>
      </c>
      <c r="G960" t="s">
        <v>63</v>
      </c>
      <c r="H960" t="s">
        <v>3927</v>
      </c>
      <c r="I960" t="s">
        <v>3928</v>
      </c>
      <c r="J960" t="s">
        <v>1844</v>
      </c>
      <c r="K960" t="s">
        <v>55</v>
      </c>
      <c r="L960" t="s">
        <v>1636</v>
      </c>
      <c r="M960" t="s">
        <v>57</v>
      </c>
      <c r="N960" t="str">
        <f>"043794"</f>
        <v>043794</v>
      </c>
      <c r="O960" t="s">
        <v>1912</v>
      </c>
      <c r="P960" t="s">
        <v>68</v>
      </c>
      <c r="Q960">
        <v>100</v>
      </c>
      <c r="R960">
        <v>86.3</v>
      </c>
      <c r="S960" t="s">
        <v>69</v>
      </c>
    </row>
    <row r="961" spans="1:19" x14ac:dyDescent="0.35">
      <c r="A961">
        <v>3277</v>
      </c>
      <c r="B961" t="str">
        <f>"003277"</f>
        <v>003277</v>
      </c>
      <c r="C961" t="s">
        <v>3930</v>
      </c>
      <c r="D961" t="s">
        <v>3394</v>
      </c>
      <c r="E961" t="s">
        <v>3395</v>
      </c>
      <c r="F961" t="s">
        <v>3396</v>
      </c>
      <c r="G961" t="s">
        <v>104</v>
      </c>
      <c r="H961" t="s">
        <v>2371</v>
      </c>
      <c r="I961" t="s">
        <v>2372</v>
      </c>
      <c r="J961" t="s">
        <v>2373</v>
      </c>
      <c r="K961" t="s">
        <v>55</v>
      </c>
      <c r="L961" t="s">
        <v>2374</v>
      </c>
      <c r="M961" t="s">
        <v>57</v>
      </c>
      <c r="N961" t="str">
        <f>"047548"</f>
        <v>047548</v>
      </c>
      <c r="O961" t="s">
        <v>2370</v>
      </c>
      <c r="P961" t="s">
        <v>68</v>
      </c>
      <c r="Q961">
        <v>52.2</v>
      </c>
      <c r="R961">
        <v>1.7000000000000028</v>
      </c>
      <c r="S961" t="s">
        <v>77</v>
      </c>
    </row>
    <row r="962" spans="1:19" x14ac:dyDescent="0.35">
      <c r="A962">
        <v>3285</v>
      </c>
      <c r="B962" t="str">
        <f>"003285"</f>
        <v>003285</v>
      </c>
      <c r="C962" t="s">
        <v>3931</v>
      </c>
      <c r="D962" t="s">
        <v>3398</v>
      </c>
      <c r="E962" t="s">
        <v>3395</v>
      </c>
      <c r="F962" t="s">
        <v>3396</v>
      </c>
      <c r="G962" t="s">
        <v>226</v>
      </c>
      <c r="H962" t="s">
        <v>3932</v>
      </c>
      <c r="I962" t="s">
        <v>3933</v>
      </c>
      <c r="J962" t="s">
        <v>810</v>
      </c>
      <c r="K962" t="s">
        <v>55</v>
      </c>
      <c r="L962" t="s">
        <v>811</v>
      </c>
      <c r="M962" t="s">
        <v>57</v>
      </c>
      <c r="N962" t="str">
        <f>"043638"</f>
        <v>043638</v>
      </c>
      <c r="O962" t="s">
        <v>2594</v>
      </c>
      <c r="P962" t="s">
        <v>68</v>
      </c>
      <c r="Q962">
        <v>34.5</v>
      </c>
      <c r="R962">
        <v>22</v>
      </c>
      <c r="S962" t="s">
        <v>156</v>
      </c>
    </row>
    <row r="963" spans="1:19" x14ac:dyDescent="0.35">
      <c r="A963">
        <v>3293</v>
      </c>
      <c r="B963" t="str">
        <f>"003293"</f>
        <v>003293</v>
      </c>
      <c r="C963" t="s">
        <v>3934</v>
      </c>
      <c r="D963" t="s">
        <v>3400</v>
      </c>
      <c r="E963" t="s">
        <v>3395</v>
      </c>
      <c r="F963" t="s">
        <v>3396</v>
      </c>
      <c r="G963" t="s">
        <v>226</v>
      </c>
      <c r="H963" t="s">
        <v>3935</v>
      </c>
      <c r="I963" t="s">
        <v>3936</v>
      </c>
      <c r="J963" t="s">
        <v>810</v>
      </c>
      <c r="K963" t="s">
        <v>55</v>
      </c>
      <c r="L963" t="s">
        <v>811</v>
      </c>
      <c r="M963" t="s">
        <v>57</v>
      </c>
      <c r="N963" t="str">
        <f>"043638"</f>
        <v>043638</v>
      </c>
      <c r="O963" t="s">
        <v>2594</v>
      </c>
      <c r="P963" t="s">
        <v>68</v>
      </c>
      <c r="Q963">
        <v>38.6</v>
      </c>
      <c r="R963">
        <v>21.400000000000006</v>
      </c>
      <c r="S963" t="s">
        <v>156</v>
      </c>
    </row>
    <row r="964" spans="1:19" x14ac:dyDescent="0.35">
      <c r="A964">
        <v>3301</v>
      </c>
      <c r="B964" t="str">
        <f>"003301"</f>
        <v>003301</v>
      </c>
      <c r="C964" t="s">
        <v>3937</v>
      </c>
      <c r="D964" t="s">
        <v>3398</v>
      </c>
      <c r="E964" t="s">
        <v>3395</v>
      </c>
      <c r="F964" t="s">
        <v>3396</v>
      </c>
      <c r="G964" t="s">
        <v>200</v>
      </c>
      <c r="H964" t="s">
        <v>3938</v>
      </c>
      <c r="I964" t="s">
        <v>3939</v>
      </c>
      <c r="J964" t="s">
        <v>304</v>
      </c>
      <c r="K964" t="s">
        <v>55</v>
      </c>
      <c r="L964" t="s">
        <v>3835</v>
      </c>
      <c r="M964" t="s">
        <v>57</v>
      </c>
      <c r="N964" t="str">
        <f>"044909"</f>
        <v>044909</v>
      </c>
      <c r="O964" t="s">
        <v>3318</v>
      </c>
      <c r="P964" t="s">
        <v>68</v>
      </c>
      <c r="Q964">
        <v>56.3</v>
      </c>
      <c r="R964">
        <v>67</v>
      </c>
      <c r="S964" t="s">
        <v>156</v>
      </c>
    </row>
    <row r="965" spans="1:19" x14ac:dyDescent="0.35">
      <c r="A965">
        <v>3335</v>
      </c>
      <c r="B965" t="str">
        <f>"003335"</f>
        <v>003335</v>
      </c>
      <c r="C965" t="s">
        <v>3940</v>
      </c>
      <c r="D965" t="s">
        <v>3394</v>
      </c>
      <c r="E965" t="s">
        <v>3395</v>
      </c>
      <c r="F965" t="s">
        <v>3396</v>
      </c>
      <c r="G965" t="s">
        <v>169</v>
      </c>
      <c r="H965" t="s">
        <v>2896</v>
      </c>
      <c r="I965" t="s">
        <v>2897</v>
      </c>
      <c r="J965" t="s">
        <v>2898</v>
      </c>
      <c r="K965" t="s">
        <v>55</v>
      </c>
      <c r="L965" t="s">
        <v>2899</v>
      </c>
      <c r="M965" t="s">
        <v>57</v>
      </c>
      <c r="N965" t="str">
        <f>"050245"</f>
        <v>050245</v>
      </c>
      <c r="O965" t="s">
        <v>2895</v>
      </c>
      <c r="P965" t="s">
        <v>68</v>
      </c>
      <c r="Q965">
        <v>64.3</v>
      </c>
      <c r="R965">
        <v>17.900000000000006</v>
      </c>
      <c r="S965" t="s">
        <v>77</v>
      </c>
    </row>
    <row r="966" spans="1:19" x14ac:dyDescent="0.35">
      <c r="A966">
        <v>3368</v>
      </c>
      <c r="B966" t="str">
        <f>"003368"</f>
        <v>003368</v>
      </c>
      <c r="C966" t="s">
        <v>3941</v>
      </c>
      <c r="D966" t="s">
        <v>3394</v>
      </c>
      <c r="E966" t="s">
        <v>3395</v>
      </c>
      <c r="F966" t="s">
        <v>3396</v>
      </c>
      <c r="G966" t="s">
        <v>175</v>
      </c>
      <c r="H966" t="s">
        <v>3942</v>
      </c>
      <c r="I966" t="s">
        <v>3943</v>
      </c>
      <c r="J966" t="s">
        <v>1930</v>
      </c>
      <c r="K966" t="s">
        <v>55</v>
      </c>
      <c r="L966" t="s">
        <v>1931</v>
      </c>
      <c r="M966" t="s">
        <v>57</v>
      </c>
      <c r="N966" t="str">
        <f>"045229"</f>
        <v>045229</v>
      </c>
      <c r="O966" t="s">
        <v>1927</v>
      </c>
      <c r="P966" t="s">
        <v>68</v>
      </c>
      <c r="Q966">
        <v>52.1</v>
      </c>
      <c r="R966">
        <v>2.9000000000000057</v>
      </c>
      <c r="S966" t="s">
        <v>180</v>
      </c>
    </row>
    <row r="967" spans="1:19" x14ac:dyDescent="0.35">
      <c r="A967">
        <v>3376</v>
      </c>
      <c r="B967" t="str">
        <f>"003376"</f>
        <v>003376</v>
      </c>
      <c r="C967" t="s">
        <v>3944</v>
      </c>
      <c r="D967" t="s">
        <v>3398</v>
      </c>
      <c r="E967" t="s">
        <v>3395</v>
      </c>
      <c r="F967" t="s">
        <v>3396</v>
      </c>
      <c r="G967" t="s">
        <v>175</v>
      </c>
      <c r="H967" t="s">
        <v>3945</v>
      </c>
      <c r="I967" t="s">
        <v>3946</v>
      </c>
      <c r="J967" t="s">
        <v>1930</v>
      </c>
      <c r="K967" t="s">
        <v>55</v>
      </c>
      <c r="L967" t="s">
        <v>1931</v>
      </c>
      <c r="M967" t="s">
        <v>57</v>
      </c>
      <c r="N967" t="str">
        <f>"045229"</f>
        <v>045229</v>
      </c>
      <c r="O967" t="s">
        <v>1927</v>
      </c>
      <c r="P967" t="s">
        <v>68</v>
      </c>
      <c r="Q967">
        <v>43.4</v>
      </c>
      <c r="R967">
        <v>2.2000000000000028</v>
      </c>
      <c r="S967" t="s">
        <v>180</v>
      </c>
    </row>
    <row r="968" spans="1:19" x14ac:dyDescent="0.35">
      <c r="A968">
        <v>3400</v>
      </c>
      <c r="B968" t="str">
        <f>"003400"</f>
        <v>003400</v>
      </c>
      <c r="C968" t="s">
        <v>3947</v>
      </c>
      <c r="D968" t="s">
        <v>3400</v>
      </c>
      <c r="E968" t="s">
        <v>3395</v>
      </c>
      <c r="F968" t="s">
        <v>3396</v>
      </c>
      <c r="G968" t="s">
        <v>63</v>
      </c>
      <c r="H968" t="s">
        <v>3948</v>
      </c>
      <c r="I968" t="s">
        <v>284</v>
      </c>
      <c r="J968" t="s">
        <v>3949</v>
      </c>
      <c r="K968" t="s">
        <v>55</v>
      </c>
      <c r="L968" t="s">
        <v>286</v>
      </c>
      <c r="M968" t="s">
        <v>57</v>
      </c>
      <c r="N968" t="str">
        <f>"046581"</f>
        <v>046581</v>
      </c>
      <c r="O968" t="s">
        <v>282</v>
      </c>
      <c r="P968" t="s">
        <v>68</v>
      </c>
      <c r="Q968">
        <v>6.2</v>
      </c>
      <c r="R968">
        <v>32.299999999999997</v>
      </c>
      <c r="S968" t="s">
        <v>69</v>
      </c>
    </row>
    <row r="969" spans="1:19" x14ac:dyDescent="0.35">
      <c r="A969">
        <v>3434</v>
      </c>
      <c r="B969" t="str">
        <f>"003434"</f>
        <v>003434</v>
      </c>
      <c r="C969" t="s">
        <v>3950</v>
      </c>
      <c r="D969" t="s">
        <v>3394</v>
      </c>
      <c r="E969" t="s">
        <v>3395</v>
      </c>
      <c r="F969" t="s">
        <v>3396</v>
      </c>
      <c r="G969" t="s">
        <v>1041</v>
      </c>
      <c r="H969" t="s">
        <v>3951</v>
      </c>
      <c r="I969" t="s">
        <v>3952</v>
      </c>
      <c r="J969" t="s">
        <v>215</v>
      </c>
      <c r="K969" t="s">
        <v>55</v>
      </c>
      <c r="L969" t="s">
        <v>1044</v>
      </c>
      <c r="M969" t="s">
        <v>57</v>
      </c>
      <c r="N969" t="str">
        <f>"046359"</f>
        <v>046359</v>
      </c>
      <c r="O969" t="s">
        <v>1040</v>
      </c>
      <c r="P969" t="s">
        <v>68</v>
      </c>
      <c r="Q969">
        <v>47.5</v>
      </c>
      <c r="R969">
        <v>19</v>
      </c>
      <c r="S969" t="s">
        <v>217</v>
      </c>
    </row>
    <row r="970" spans="1:19" x14ac:dyDescent="0.35">
      <c r="A970">
        <v>3442</v>
      </c>
      <c r="B970" t="str">
        <f>"003442"</f>
        <v>003442</v>
      </c>
      <c r="C970" t="s">
        <v>3953</v>
      </c>
      <c r="D970" t="s">
        <v>3394</v>
      </c>
      <c r="E970" t="s">
        <v>3395</v>
      </c>
      <c r="F970" t="s">
        <v>3396</v>
      </c>
      <c r="G970" t="s">
        <v>543</v>
      </c>
      <c r="H970" t="s">
        <v>3954</v>
      </c>
      <c r="I970" t="s">
        <v>3955</v>
      </c>
      <c r="J970" t="s">
        <v>687</v>
      </c>
      <c r="K970" t="s">
        <v>55</v>
      </c>
      <c r="L970" t="s">
        <v>3956</v>
      </c>
      <c r="M970" t="s">
        <v>57</v>
      </c>
      <c r="N970" t="str">
        <f>"048702"</f>
        <v>048702</v>
      </c>
      <c r="O970" t="s">
        <v>866</v>
      </c>
      <c r="P970" t="s">
        <v>68</v>
      </c>
      <c r="Q970">
        <v>58.5</v>
      </c>
      <c r="R970">
        <v>37.6</v>
      </c>
      <c r="S970" t="s">
        <v>180</v>
      </c>
    </row>
    <row r="971" spans="1:19" x14ac:dyDescent="0.35">
      <c r="A971">
        <v>3467</v>
      </c>
      <c r="B971" t="str">
        <f>"003467"</f>
        <v>003467</v>
      </c>
      <c r="C971" t="s">
        <v>3957</v>
      </c>
      <c r="D971" t="s">
        <v>3398</v>
      </c>
      <c r="E971" t="s">
        <v>3395</v>
      </c>
      <c r="F971" t="s">
        <v>3396</v>
      </c>
      <c r="G971" t="s">
        <v>63</v>
      </c>
      <c r="H971" t="s">
        <v>3958</v>
      </c>
      <c r="I971" t="s">
        <v>3959</v>
      </c>
      <c r="J971" t="s">
        <v>3960</v>
      </c>
      <c r="K971" t="s">
        <v>55</v>
      </c>
      <c r="L971" t="s">
        <v>3961</v>
      </c>
      <c r="M971" t="s">
        <v>57</v>
      </c>
      <c r="N971" t="str">
        <f>"043646"</f>
        <v>043646</v>
      </c>
      <c r="O971" t="s">
        <v>137</v>
      </c>
      <c r="P971" t="s">
        <v>68</v>
      </c>
      <c r="Q971">
        <v>10.6</v>
      </c>
      <c r="R971">
        <v>17.599999999999994</v>
      </c>
      <c r="S971" t="s">
        <v>69</v>
      </c>
    </row>
    <row r="972" spans="1:19" x14ac:dyDescent="0.35">
      <c r="A972">
        <v>3475</v>
      </c>
      <c r="B972" t="str">
        <f>"003475"</f>
        <v>003475</v>
      </c>
      <c r="C972" t="s">
        <v>3962</v>
      </c>
      <c r="D972" t="s">
        <v>3400</v>
      </c>
      <c r="E972" t="s">
        <v>3395</v>
      </c>
      <c r="F972" t="s">
        <v>3396</v>
      </c>
      <c r="G972" t="s">
        <v>63</v>
      </c>
      <c r="H972" t="s">
        <v>3963</v>
      </c>
      <c r="I972" t="s">
        <v>3964</v>
      </c>
      <c r="J972" t="s">
        <v>3960</v>
      </c>
      <c r="K972" t="s">
        <v>55</v>
      </c>
      <c r="L972" t="s">
        <v>3961</v>
      </c>
      <c r="M972" t="s">
        <v>57</v>
      </c>
      <c r="N972" t="str">
        <f>"043646"</f>
        <v>043646</v>
      </c>
      <c r="O972" t="s">
        <v>137</v>
      </c>
      <c r="P972" t="s">
        <v>68</v>
      </c>
      <c r="Q972">
        <v>10.199999999999999</v>
      </c>
      <c r="R972">
        <v>17.400000000000006</v>
      </c>
      <c r="S972" t="s">
        <v>69</v>
      </c>
    </row>
    <row r="973" spans="1:19" x14ac:dyDescent="0.35">
      <c r="A973">
        <v>3509</v>
      </c>
      <c r="B973" t="str">
        <f>"003509"</f>
        <v>003509</v>
      </c>
      <c r="C973" t="s">
        <v>3965</v>
      </c>
      <c r="D973" t="s">
        <v>3394</v>
      </c>
      <c r="E973" t="s">
        <v>3395</v>
      </c>
      <c r="F973" t="s">
        <v>3396</v>
      </c>
      <c r="G973" t="s">
        <v>481</v>
      </c>
      <c r="H973" t="s">
        <v>3966</v>
      </c>
      <c r="I973" t="s">
        <v>3967</v>
      </c>
      <c r="J973" t="s">
        <v>484</v>
      </c>
      <c r="K973" t="s">
        <v>55</v>
      </c>
      <c r="L973" t="s">
        <v>485</v>
      </c>
      <c r="M973" t="s">
        <v>57</v>
      </c>
      <c r="N973" t="str">
        <f>"045492"</f>
        <v>045492</v>
      </c>
      <c r="O973" t="s">
        <v>3003</v>
      </c>
      <c r="P973" t="s">
        <v>68</v>
      </c>
      <c r="Q973">
        <v>28.1</v>
      </c>
      <c r="R973">
        <v>19.5</v>
      </c>
      <c r="S973" t="s">
        <v>69</v>
      </c>
    </row>
    <row r="974" spans="1:19" x14ac:dyDescent="0.35">
      <c r="A974">
        <v>3558</v>
      </c>
      <c r="B974" t="str">
        <f>"003558"</f>
        <v>003558</v>
      </c>
      <c r="C974" t="s">
        <v>3968</v>
      </c>
      <c r="D974" t="s">
        <v>3398</v>
      </c>
      <c r="E974" t="s">
        <v>3395</v>
      </c>
      <c r="F974" t="s">
        <v>3396</v>
      </c>
      <c r="G974" t="s">
        <v>233</v>
      </c>
      <c r="H974" t="s">
        <v>3969</v>
      </c>
      <c r="I974" t="s">
        <v>3970</v>
      </c>
      <c r="J974" t="s">
        <v>982</v>
      </c>
      <c r="K974" t="s">
        <v>55</v>
      </c>
      <c r="L974" t="s">
        <v>983</v>
      </c>
      <c r="M974" t="s">
        <v>57</v>
      </c>
      <c r="N974" t="str">
        <f>"045237"</f>
        <v>045237</v>
      </c>
      <c r="O974" t="s">
        <v>979</v>
      </c>
      <c r="P974" t="s">
        <v>68</v>
      </c>
      <c r="Q974">
        <v>54.2</v>
      </c>
      <c r="R974">
        <v>12.400000000000006</v>
      </c>
      <c r="S974" t="s">
        <v>130</v>
      </c>
    </row>
    <row r="975" spans="1:19" x14ac:dyDescent="0.35">
      <c r="A975">
        <v>3566</v>
      </c>
      <c r="B975" t="str">
        <f>"003566"</f>
        <v>003566</v>
      </c>
      <c r="C975" t="s">
        <v>3971</v>
      </c>
      <c r="D975" t="s">
        <v>3400</v>
      </c>
      <c r="E975" t="s">
        <v>3395</v>
      </c>
      <c r="F975" t="s">
        <v>3396</v>
      </c>
      <c r="G975" t="s">
        <v>212</v>
      </c>
      <c r="H975" t="s">
        <v>3972</v>
      </c>
      <c r="I975" t="s">
        <v>3973</v>
      </c>
      <c r="J975" t="s">
        <v>215</v>
      </c>
      <c r="K975" t="s">
        <v>55</v>
      </c>
      <c r="L975" t="s">
        <v>3974</v>
      </c>
      <c r="M975" t="s">
        <v>57</v>
      </c>
      <c r="N975" t="str">
        <f>"047373"</f>
        <v>047373</v>
      </c>
      <c r="O975" t="s">
        <v>1509</v>
      </c>
      <c r="P975" t="s">
        <v>68</v>
      </c>
      <c r="Q975">
        <v>21.5</v>
      </c>
      <c r="R975">
        <v>21.200000000000003</v>
      </c>
      <c r="S975" t="s">
        <v>217</v>
      </c>
    </row>
    <row r="976" spans="1:19" x14ac:dyDescent="0.35">
      <c r="A976">
        <v>3590</v>
      </c>
      <c r="B976" t="str">
        <f>"003590"</f>
        <v>003590</v>
      </c>
      <c r="C976" t="s">
        <v>3975</v>
      </c>
      <c r="D976" t="s">
        <v>3394</v>
      </c>
      <c r="E976" t="s">
        <v>3395</v>
      </c>
      <c r="F976" t="s">
        <v>3396</v>
      </c>
      <c r="G976" t="s">
        <v>135</v>
      </c>
      <c r="H976" t="s">
        <v>3976</v>
      </c>
      <c r="I976" t="s">
        <v>3977</v>
      </c>
      <c r="J976" t="s">
        <v>3978</v>
      </c>
      <c r="K976" t="s">
        <v>55</v>
      </c>
      <c r="L976" t="s">
        <v>3979</v>
      </c>
      <c r="M976" t="s">
        <v>57</v>
      </c>
      <c r="N976" t="str">
        <f>"047787"</f>
        <v>047787</v>
      </c>
      <c r="O976" t="s">
        <v>742</v>
      </c>
      <c r="P976" t="s">
        <v>68</v>
      </c>
      <c r="Q976">
        <v>67.2</v>
      </c>
      <c r="R976">
        <v>8.7999999999999972</v>
      </c>
      <c r="S976" t="s">
        <v>130</v>
      </c>
    </row>
    <row r="977" spans="1:19" x14ac:dyDescent="0.35">
      <c r="A977">
        <v>3616</v>
      </c>
      <c r="B977" t="str">
        <f>"003616"</f>
        <v>003616</v>
      </c>
      <c r="C977" t="s">
        <v>3980</v>
      </c>
      <c r="D977" t="s">
        <v>3394</v>
      </c>
      <c r="E977" t="s">
        <v>3395</v>
      </c>
      <c r="F977" t="s">
        <v>3396</v>
      </c>
      <c r="G977" t="s">
        <v>295</v>
      </c>
      <c r="H977" t="s">
        <v>3981</v>
      </c>
      <c r="I977" t="s">
        <v>3982</v>
      </c>
      <c r="J977" t="s">
        <v>1012</v>
      </c>
      <c r="K977" t="s">
        <v>55</v>
      </c>
      <c r="L977" t="s">
        <v>1013</v>
      </c>
      <c r="M977" t="s">
        <v>57</v>
      </c>
      <c r="N977" t="str">
        <f>"049197"</f>
        <v>049197</v>
      </c>
      <c r="O977" t="s">
        <v>294</v>
      </c>
      <c r="P977" t="s">
        <v>68</v>
      </c>
      <c r="Q977">
        <v>37.6</v>
      </c>
      <c r="R977">
        <v>21.900000000000006</v>
      </c>
      <c r="S977" t="s">
        <v>77</v>
      </c>
    </row>
    <row r="978" spans="1:19" x14ac:dyDescent="0.35">
      <c r="A978">
        <v>3624</v>
      </c>
      <c r="B978" t="str">
        <f>"003624"</f>
        <v>003624</v>
      </c>
      <c r="C978" t="s">
        <v>3983</v>
      </c>
      <c r="D978" t="s">
        <v>3394</v>
      </c>
      <c r="E978" t="s">
        <v>3395</v>
      </c>
      <c r="F978" t="s">
        <v>3396</v>
      </c>
      <c r="G978" t="s">
        <v>663</v>
      </c>
      <c r="H978" t="s">
        <v>3984</v>
      </c>
      <c r="I978" t="s">
        <v>3985</v>
      </c>
      <c r="J978" t="s">
        <v>666</v>
      </c>
      <c r="K978" t="s">
        <v>55</v>
      </c>
      <c r="L978" t="s">
        <v>667</v>
      </c>
      <c r="M978" t="s">
        <v>57</v>
      </c>
      <c r="N978" t="str">
        <f>"044297"</f>
        <v>044297</v>
      </c>
      <c r="O978" t="s">
        <v>662</v>
      </c>
      <c r="P978" t="s">
        <v>68</v>
      </c>
      <c r="Q978">
        <v>99.9</v>
      </c>
      <c r="R978">
        <v>49.5</v>
      </c>
      <c r="S978" t="s">
        <v>77</v>
      </c>
    </row>
    <row r="979" spans="1:19" x14ac:dyDescent="0.35">
      <c r="A979">
        <v>3632</v>
      </c>
      <c r="B979" t="str">
        <f>"003632"</f>
        <v>003632</v>
      </c>
      <c r="C979" t="s">
        <v>3986</v>
      </c>
      <c r="D979" t="s">
        <v>3394</v>
      </c>
      <c r="E979" t="s">
        <v>3395</v>
      </c>
      <c r="F979" t="s">
        <v>3396</v>
      </c>
      <c r="G979" t="s">
        <v>169</v>
      </c>
      <c r="H979" t="s">
        <v>3148</v>
      </c>
      <c r="I979" t="s">
        <v>3149</v>
      </c>
      <c r="J979" t="s">
        <v>3150</v>
      </c>
      <c r="K979" t="s">
        <v>55</v>
      </c>
      <c r="L979" t="s">
        <v>3151</v>
      </c>
      <c r="M979" t="s">
        <v>57</v>
      </c>
      <c r="N979" t="str">
        <f>"050112"</f>
        <v>050112</v>
      </c>
      <c r="O979" t="s">
        <v>3147</v>
      </c>
      <c r="P979" t="s">
        <v>68</v>
      </c>
      <c r="Q979">
        <v>47.2</v>
      </c>
      <c r="R979">
        <v>3</v>
      </c>
      <c r="S979" t="s">
        <v>77</v>
      </c>
    </row>
    <row r="980" spans="1:19" x14ac:dyDescent="0.35">
      <c r="A980">
        <v>3640</v>
      </c>
      <c r="B980" t="str">
        <f>"003640"</f>
        <v>003640</v>
      </c>
      <c r="C980" t="s">
        <v>3987</v>
      </c>
      <c r="D980" t="s">
        <v>3398</v>
      </c>
      <c r="E980" t="s">
        <v>3395</v>
      </c>
      <c r="F980" t="s">
        <v>3396</v>
      </c>
      <c r="G980" t="s">
        <v>169</v>
      </c>
      <c r="H980" t="s">
        <v>3148</v>
      </c>
      <c r="I980" t="s">
        <v>3149</v>
      </c>
      <c r="J980" t="s">
        <v>3150</v>
      </c>
      <c r="K980" t="s">
        <v>55</v>
      </c>
      <c r="L980" t="s">
        <v>3151</v>
      </c>
      <c r="M980" t="s">
        <v>57</v>
      </c>
      <c r="N980" t="str">
        <f>"050112"</f>
        <v>050112</v>
      </c>
      <c r="O980" t="s">
        <v>3147</v>
      </c>
      <c r="P980" t="s">
        <v>68</v>
      </c>
      <c r="Q980">
        <v>32.9</v>
      </c>
      <c r="R980">
        <v>6.7999999999999972</v>
      </c>
      <c r="S980" t="s">
        <v>77</v>
      </c>
    </row>
    <row r="981" spans="1:19" x14ac:dyDescent="0.35">
      <c r="A981">
        <v>3657</v>
      </c>
      <c r="B981" t="str">
        <f>"003657"</f>
        <v>003657</v>
      </c>
      <c r="C981" t="s">
        <v>3988</v>
      </c>
      <c r="D981" t="s">
        <v>3394</v>
      </c>
      <c r="E981" t="s">
        <v>3395</v>
      </c>
      <c r="F981" t="s">
        <v>3396</v>
      </c>
      <c r="G981" t="s">
        <v>600</v>
      </c>
      <c r="H981" t="s">
        <v>3989</v>
      </c>
      <c r="I981" t="s">
        <v>3990</v>
      </c>
      <c r="J981" t="s">
        <v>3622</v>
      </c>
      <c r="K981" t="s">
        <v>55</v>
      </c>
      <c r="L981" t="s">
        <v>3623</v>
      </c>
      <c r="M981" t="s">
        <v>57</v>
      </c>
      <c r="N981" t="str">
        <f>"047019"</f>
        <v>047019</v>
      </c>
      <c r="O981" t="s">
        <v>1345</v>
      </c>
      <c r="P981" t="s">
        <v>68</v>
      </c>
      <c r="Q981">
        <v>29.1</v>
      </c>
      <c r="R981">
        <v>38.799999999999997</v>
      </c>
      <c r="S981" t="s">
        <v>60</v>
      </c>
    </row>
    <row r="982" spans="1:19" x14ac:dyDescent="0.35">
      <c r="A982">
        <v>3665</v>
      </c>
      <c r="B982" t="str">
        <f>"003665"</f>
        <v>003665</v>
      </c>
      <c r="C982" t="s">
        <v>3991</v>
      </c>
      <c r="D982" t="s">
        <v>3394</v>
      </c>
      <c r="E982" t="s">
        <v>3395</v>
      </c>
      <c r="F982" t="s">
        <v>3396</v>
      </c>
      <c r="G982" t="s">
        <v>600</v>
      </c>
      <c r="H982" t="s">
        <v>3992</v>
      </c>
      <c r="I982" t="s">
        <v>3993</v>
      </c>
      <c r="J982" t="s">
        <v>1348</v>
      </c>
      <c r="K982" t="s">
        <v>55</v>
      </c>
      <c r="L982" t="s">
        <v>3161</v>
      </c>
      <c r="M982" t="s">
        <v>57</v>
      </c>
      <c r="N982" t="str">
        <f>"043802"</f>
        <v>043802</v>
      </c>
      <c r="O982" t="s">
        <v>3171</v>
      </c>
      <c r="P982" t="s">
        <v>68</v>
      </c>
      <c r="Q982">
        <v>100</v>
      </c>
      <c r="R982">
        <v>94.6</v>
      </c>
      <c r="S982" t="s">
        <v>60</v>
      </c>
    </row>
    <row r="983" spans="1:19" x14ac:dyDescent="0.35">
      <c r="A983">
        <v>3707</v>
      </c>
      <c r="B983" t="str">
        <f>"003707"</f>
        <v>003707</v>
      </c>
      <c r="C983" t="s">
        <v>3994</v>
      </c>
      <c r="D983" t="s">
        <v>3394</v>
      </c>
      <c r="E983" t="s">
        <v>3395</v>
      </c>
      <c r="F983" t="s">
        <v>3396</v>
      </c>
      <c r="G983" t="s">
        <v>325</v>
      </c>
      <c r="H983" t="s">
        <v>3995</v>
      </c>
      <c r="I983" t="s">
        <v>3996</v>
      </c>
      <c r="J983" t="s">
        <v>2172</v>
      </c>
      <c r="K983" t="s">
        <v>55</v>
      </c>
      <c r="L983" t="s">
        <v>2173</v>
      </c>
      <c r="M983" t="s">
        <v>57</v>
      </c>
      <c r="N983" t="str">
        <f>"045617"</f>
        <v>045617</v>
      </c>
      <c r="O983" t="s">
        <v>2205</v>
      </c>
      <c r="P983" t="s">
        <v>68</v>
      </c>
      <c r="Q983">
        <v>12.8</v>
      </c>
      <c r="R983">
        <v>10.799999999999997</v>
      </c>
      <c r="S983" t="s">
        <v>180</v>
      </c>
    </row>
    <row r="984" spans="1:19" x14ac:dyDescent="0.35">
      <c r="A984">
        <v>3749</v>
      </c>
      <c r="B984" t="str">
        <f>"003749"</f>
        <v>003749</v>
      </c>
      <c r="C984" t="s">
        <v>3997</v>
      </c>
      <c r="D984" t="s">
        <v>3398</v>
      </c>
      <c r="E984" t="s">
        <v>3395</v>
      </c>
      <c r="F984" t="s">
        <v>3396</v>
      </c>
      <c r="G984" t="s">
        <v>169</v>
      </c>
      <c r="H984" t="s">
        <v>3321</v>
      </c>
      <c r="I984" t="s">
        <v>3322</v>
      </c>
      <c r="J984" t="s">
        <v>3323</v>
      </c>
      <c r="K984" t="s">
        <v>55</v>
      </c>
      <c r="L984" t="s">
        <v>3324</v>
      </c>
      <c r="M984" t="s">
        <v>57</v>
      </c>
      <c r="N984" t="str">
        <f>"050120"</f>
        <v>050120</v>
      </c>
      <c r="O984" t="s">
        <v>3320</v>
      </c>
      <c r="P984" t="s">
        <v>68</v>
      </c>
      <c r="Q984">
        <v>43.8</v>
      </c>
      <c r="R984">
        <v>11.900000000000006</v>
      </c>
      <c r="S984" t="s">
        <v>77</v>
      </c>
    </row>
    <row r="985" spans="1:19" x14ac:dyDescent="0.35">
      <c r="A985">
        <v>3756</v>
      </c>
      <c r="B985" t="str">
        <f>"003756"</f>
        <v>003756</v>
      </c>
      <c r="C985" t="s">
        <v>3998</v>
      </c>
      <c r="D985" t="s">
        <v>3400</v>
      </c>
      <c r="E985" t="s">
        <v>3395</v>
      </c>
      <c r="F985" t="s">
        <v>3396</v>
      </c>
      <c r="G985" t="s">
        <v>169</v>
      </c>
      <c r="H985" t="s">
        <v>3321</v>
      </c>
      <c r="I985" t="s">
        <v>3322</v>
      </c>
      <c r="J985" t="s">
        <v>3323</v>
      </c>
      <c r="K985" t="s">
        <v>55</v>
      </c>
      <c r="L985" t="s">
        <v>3324</v>
      </c>
      <c r="M985" t="s">
        <v>57</v>
      </c>
      <c r="N985" t="str">
        <f>"050120"</f>
        <v>050120</v>
      </c>
      <c r="O985" t="s">
        <v>3320</v>
      </c>
      <c r="P985" t="s">
        <v>68</v>
      </c>
      <c r="Q985">
        <v>60.9</v>
      </c>
      <c r="R985">
        <v>8.5999999999999943</v>
      </c>
      <c r="S985" t="s">
        <v>77</v>
      </c>
    </row>
    <row r="986" spans="1:19" x14ac:dyDescent="0.35">
      <c r="A986">
        <v>3780</v>
      </c>
      <c r="B986" t="str">
        <f>"003780"</f>
        <v>003780</v>
      </c>
      <c r="C986" t="s">
        <v>3999</v>
      </c>
      <c r="D986" t="s">
        <v>3398</v>
      </c>
      <c r="E986" t="s">
        <v>3395</v>
      </c>
      <c r="F986" t="s">
        <v>3396</v>
      </c>
      <c r="G986" t="s">
        <v>63</v>
      </c>
      <c r="H986" t="s">
        <v>1618</v>
      </c>
      <c r="I986" t="s">
        <v>1619</v>
      </c>
      <c r="J986" t="s">
        <v>1620</v>
      </c>
      <c r="K986" t="s">
        <v>55</v>
      </c>
      <c r="L986" t="s">
        <v>1621</v>
      </c>
      <c r="M986" t="s">
        <v>57</v>
      </c>
      <c r="N986" t="str">
        <f>"043653"</f>
        <v>043653</v>
      </c>
      <c r="O986" t="s">
        <v>1617</v>
      </c>
      <c r="P986" t="s">
        <v>68</v>
      </c>
      <c r="Q986">
        <v>54.4</v>
      </c>
      <c r="R986">
        <v>44.6</v>
      </c>
      <c r="S986" t="s">
        <v>69</v>
      </c>
    </row>
    <row r="987" spans="1:19" x14ac:dyDescent="0.35">
      <c r="A987">
        <v>3806</v>
      </c>
      <c r="B987" t="str">
        <f>"003806"</f>
        <v>003806</v>
      </c>
      <c r="C987" t="s">
        <v>4000</v>
      </c>
      <c r="D987" t="s">
        <v>3394</v>
      </c>
      <c r="E987" t="s">
        <v>3395</v>
      </c>
      <c r="F987" t="s">
        <v>3396</v>
      </c>
      <c r="G987" t="s">
        <v>63</v>
      </c>
      <c r="H987" t="s">
        <v>4001</v>
      </c>
      <c r="I987" t="s">
        <v>4002</v>
      </c>
      <c r="J987" t="s">
        <v>4003</v>
      </c>
      <c r="K987" t="s">
        <v>55</v>
      </c>
      <c r="L987" t="s">
        <v>4004</v>
      </c>
      <c r="M987" t="s">
        <v>57</v>
      </c>
      <c r="N987" t="str">
        <f>"043612"</f>
        <v>043612</v>
      </c>
      <c r="O987" t="s">
        <v>3068</v>
      </c>
      <c r="P987" t="s">
        <v>68</v>
      </c>
      <c r="Q987">
        <v>39.1</v>
      </c>
      <c r="R987">
        <v>33.900000000000006</v>
      </c>
      <c r="S987" t="s">
        <v>69</v>
      </c>
    </row>
    <row r="988" spans="1:19" x14ac:dyDescent="0.35">
      <c r="A988">
        <v>3822</v>
      </c>
      <c r="B988" t="str">
        <f>"003822"</f>
        <v>003822</v>
      </c>
      <c r="C988" t="s">
        <v>4005</v>
      </c>
      <c r="D988" t="s">
        <v>3394</v>
      </c>
      <c r="E988" t="s">
        <v>3395</v>
      </c>
      <c r="F988" t="s">
        <v>3396</v>
      </c>
      <c r="G988" t="s">
        <v>600</v>
      </c>
      <c r="H988" t="s">
        <v>4006</v>
      </c>
      <c r="I988" t="s">
        <v>4007</v>
      </c>
      <c r="J988" t="s">
        <v>1348</v>
      </c>
      <c r="K988" t="s">
        <v>55</v>
      </c>
      <c r="L988" t="s">
        <v>4008</v>
      </c>
      <c r="M988" t="s">
        <v>57</v>
      </c>
      <c r="N988" t="str">
        <f>"045138"</f>
        <v>045138</v>
      </c>
      <c r="O988" t="s">
        <v>1497</v>
      </c>
      <c r="P988" t="s">
        <v>68</v>
      </c>
      <c r="Q988">
        <v>30</v>
      </c>
      <c r="R988">
        <v>36.299999999999997</v>
      </c>
      <c r="S988" t="s">
        <v>60</v>
      </c>
    </row>
    <row r="989" spans="1:19" x14ac:dyDescent="0.35">
      <c r="A989">
        <v>3830</v>
      </c>
      <c r="B989" t="str">
        <f>"003830"</f>
        <v>003830</v>
      </c>
      <c r="C989" t="s">
        <v>4009</v>
      </c>
      <c r="D989" t="s">
        <v>3398</v>
      </c>
      <c r="E989" t="s">
        <v>3395</v>
      </c>
      <c r="F989" t="s">
        <v>3396</v>
      </c>
      <c r="G989" t="s">
        <v>143</v>
      </c>
      <c r="H989" t="s">
        <v>4010</v>
      </c>
      <c r="I989" t="s">
        <v>4011</v>
      </c>
      <c r="J989" t="s">
        <v>3076</v>
      </c>
      <c r="K989" t="s">
        <v>55</v>
      </c>
      <c r="L989" t="s">
        <v>3077</v>
      </c>
      <c r="M989" t="s">
        <v>57</v>
      </c>
      <c r="N989" t="str">
        <f>"044768"</f>
        <v>044768</v>
      </c>
      <c r="O989" t="s">
        <v>3073</v>
      </c>
      <c r="P989" t="s">
        <v>68</v>
      </c>
      <c r="Q989">
        <v>36.799999999999997</v>
      </c>
      <c r="R989">
        <v>23.599999999999994</v>
      </c>
      <c r="S989" t="s">
        <v>69</v>
      </c>
    </row>
    <row r="990" spans="1:19" x14ac:dyDescent="0.35">
      <c r="A990">
        <v>3863</v>
      </c>
      <c r="B990" t="str">
        <f>"003863"</f>
        <v>003863</v>
      </c>
      <c r="C990" t="s">
        <v>4012</v>
      </c>
      <c r="D990" t="s">
        <v>3398</v>
      </c>
      <c r="E990" t="s">
        <v>3395</v>
      </c>
      <c r="F990" t="s">
        <v>3396</v>
      </c>
      <c r="G990" t="s">
        <v>543</v>
      </c>
      <c r="H990" t="s">
        <v>4013</v>
      </c>
      <c r="I990" t="s">
        <v>4014</v>
      </c>
      <c r="J990" t="s">
        <v>3155</v>
      </c>
      <c r="K990" t="s">
        <v>55</v>
      </c>
      <c r="L990" t="s">
        <v>3156</v>
      </c>
      <c r="M990" t="s">
        <v>57</v>
      </c>
      <c r="N990" t="str">
        <f>"048678"</f>
        <v>048678</v>
      </c>
      <c r="O990" t="s">
        <v>3152</v>
      </c>
      <c r="P990" t="s">
        <v>68</v>
      </c>
      <c r="Q990">
        <v>22.3</v>
      </c>
      <c r="R990">
        <v>6.2000000000000028</v>
      </c>
      <c r="S990" t="s">
        <v>180</v>
      </c>
    </row>
    <row r="991" spans="1:19" x14ac:dyDescent="0.35">
      <c r="A991">
        <v>3897</v>
      </c>
      <c r="B991" t="str">
        <f>"003897"</f>
        <v>003897</v>
      </c>
      <c r="C991" t="s">
        <v>4015</v>
      </c>
      <c r="D991" t="s">
        <v>3394</v>
      </c>
      <c r="E991" t="s">
        <v>3395</v>
      </c>
      <c r="F991" t="s">
        <v>3396</v>
      </c>
      <c r="G991" t="s">
        <v>600</v>
      </c>
      <c r="H991" t="s">
        <v>4016</v>
      </c>
      <c r="I991" t="s">
        <v>4017</v>
      </c>
      <c r="J991" t="s">
        <v>3622</v>
      </c>
      <c r="K991" t="s">
        <v>55</v>
      </c>
      <c r="L991" t="s">
        <v>3623</v>
      </c>
      <c r="M991" t="s">
        <v>57</v>
      </c>
      <c r="N991" t="str">
        <f>"047019"</f>
        <v>047019</v>
      </c>
      <c r="O991" t="s">
        <v>1345</v>
      </c>
      <c r="P991" t="s">
        <v>68</v>
      </c>
      <c r="Q991">
        <v>21</v>
      </c>
      <c r="R991">
        <v>19</v>
      </c>
      <c r="S991" t="s">
        <v>60</v>
      </c>
    </row>
    <row r="992" spans="1:19" x14ac:dyDescent="0.35">
      <c r="A992">
        <v>3905</v>
      </c>
      <c r="B992" t="str">
        <f>"003905"</f>
        <v>003905</v>
      </c>
      <c r="C992" t="s">
        <v>4018</v>
      </c>
      <c r="D992" t="s">
        <v>3400</v>
      </c>
      <c r="E992" t="s">
        <v>3395</v>
      </c>
      <c r="F992" t="s">
        <v>3396</v>
      </c>
      <c r="G992" t="s">
        <v>295</v>
      </c>
      <c r="H992" t="s">
        <v>4019</v>
      </c>
      <c r="I992" t="s">
        <v>4020</v>
      </c>
      <c r="J992" t="s">
        <v>1764</v>
      </c>
      <c r="K992" t="s">
        <v>55</v>
      </c>
      <c r="L992" t="s">
        <v>1765</v>
      </c>
      <c r="M992" t="s">
        <v>57</v>
      </c>
      <c r="N992" t="str">
        <f>"044685"</f>
        <v>044685</v>
      </c>
      <c r="O992" t="s">
        <v>2751</v>
      </c>
      <c r="P992" t="s">
        <v>68</v>
      </c>
      <c r="Q992">
        <v>100</v>
      </c>
      <c r="R992">
        <v>33.200000000000003</v>
      </c>
      <c r="S992" t="s">
        <v>77</v>
      </c>
    </row>
    <row r="993" spans="1:19" x14ac:dyDescent="0.35">
      <c r="A993">
        <v>3954</v>
      </c>
      <c r="B993" t="str">
        <f>"003954"</f>
        <v>003954</v>
      </c>
      <c r="C993" t="s">
        <v>4021</v>
      </c>
      <c r="D993" t="s">
        <v>3394</v>
      </c>
      <c r="E993" t="s">
        <v>3395</v>
      </c>
      <c r="F993" t="s">
        <v>3396</v>
      </c>
      <c r="G993" t="s">
        <v>362</v>
      </c>
      <c r="H993" t="s">
        <v>4022</v>
      </c>
      <c r="I993" t="s">
        <v>4023</v>
      </c>
      <c r="J993" t="s">
        <v>756</v>
      </c>
      <c r="K993" t="s">
        <v>55</v>
      </c>
      <c r="L993" t="s">
        <v>757</v>
      </c>
      <c r="M993" t="s">
        <v>57</v>
      </c>
      <c r="N993" t="str">
        <f>"043935"</f>
        <v>043935</v>
      </c>
      <c r="O993" t="s">
        <v>753</v>
      </c>
      <c r="P993" t="s">
        <v>68</v>
      </c>
      <c r="Q993">
        <v>43.3</v>
      </c>
      <c r="R993">
        <v>8.7000000000000028</v>
      </c>
      <c r="S993" t="s">
        <v>180</v>
      </c>
    </row>
    <row r="994" spans="1:19" x14ac:dyDescent="0.35">
      <c r="A994">
        <v>3970</v>
      </c>
      <c r="B994" t="str">
        <f>"003970"</f>
        <v>003970</v>
      </c>
      <c r="C994" t="s">
        <v>4024</v>
      </c>
      <c r="D994" t="s">
        <v>3398</v>
      </c>
      <c r="E994" t="s">
        <v>3395</v>
      </c>
      <c r="F994" t="s">
        <v>3396</v>
      </c>
      <c r="G994" t="s">
        <v>406</v>
      </c>
      <c r="H994" t="s">
        <v>4025</v>
      </c>
      <c r="I994" t="s">
        <v>4026</v>
      </c>
      <c r="J994" t="s">
        <v>909</v>
      </c>
      <c r="K994" t="s">
        <v>55</v>
      </c>
      <c r="L994" t="s">
        <v>910</v>
      </c>
      <c r="M994" t="s">
        <v>57</v>
      </c>
      <c r="N994" t="str">
        <f>"043661"</f>
        <v>043661</v>
      </c>
      <c r="O994" t="s">
        <v>906</v>
      </c>
      <c r="P994" t="s">
        <v>68</v>
      </c>
      <c r="Q994">
        <v>17.600000000000001</v>
      </c>
      <c r="R994">
        <v>11.5</v>
      </c>
      <c r="S994" t="s">
        <v>77</v>
      </c>
    </row>
    <row r="995" spans="1:19" x14ac:dyDescent="0.35">
      <c r="A995">
        <v>3988</v>
      </c>
      <c r="B995" t="str">
        <f>"003988"</f>
        <v>003988</v>
      </c>
      <c r="C995" t="s">
        <v>4027</v>
      </c>
      <c r="D995" t="s">
        <v>3394</v>
      </c>
      <c r="E995" t="s">
        <v>3395</v>
      </c>
      <c r="F995" t="s">
        <v>3396</v>
      </c>
      <c r="G995" t="s">
        <v>143</v>
      </c>
      <c r="H995" t="s">
        <v>4028</v>
      </c>
      <c r="I995" t="s">
        <v>4029</v>
      </c>
      <c r="J995" t="s">
        <v>2256</v>
      </c>
      <c r="K995" t="s">
        <v>55</v>
      </c>
      <c r="L995" t="s">
        <v>2257</v>
      </c>
      <c r="M995" t="s">
        <v>57</v>
      </c>
      <c r="N995" t="str">
        <f>"048173"</f>
        <v>048173</v>
      </c>
      <c r="O995" t="s">
        <v>2253</v>
      </c>
      <c r="P995" t="s">
        <v>68</v>
      </c>
      <c r="Q995">
        <v>43.7</v>
      </c>
      <c r="R995">
        <v>15.599999999999994</v>
      </c>
      <c r="S995" t="s">
        <v>69</v>
      </c>
    </row>
    <row r="996" spans="1:19" x14ac:dyDescent="0.35">
      <c r="A996">
        <v>3996</v>
      </c>
      <c r="B996" t="str">
        <f>"003996"</f>
        <v>003996</v>
      </c>
      <c r="C996" t="s">
        <v>4030</v>
      </c>
      <c r="D996" t="s">
        <v>3398</v>
      </c>
      <c r="E996" t="s">
        <v>3395</v>
      </c>
      <c r="F996" t="s">
        <v>3396</v>
      </c>
      <c r="G996" t="s">
        <v>63</v>
      </c>
      <c r="H996" t="s">
        <v>4031</v>
      </c>
      <c r="I996" t="s">
        <v>4032</v>
      </c>
      <c r="J996" t="s">
        <v>2334</v>
      </c>
      <c r="K996" t="s">
        <v>55</v>
      </c>
      <c r="L996" t="s">
        <v>286</v>
      </c>
      <c r="M996" t="s">
        <v>57</v>
      </c>
      <c r="N996" t="str">
        <f>"044792"</f>
        <v>044792</v>
      </c>
      <c r="O996" t="s">
        <v>2331</v>
      </c>
      <c r="P996" t="s">
        <v>68</v>
      </c>
      <c r="Q996">
        <v>56.2</v>
      </c>
      <c r="R996">
        <v>89.9</v>
      </c>
      <c r="S996" t="s">
        <v>69</v>
      </c>
    </row>
    <row r="997" spans="1:19" x14ac:dyDescent="0.35">
      <c r="A997">
        <v>4002</v>
      </c>
      <c r="B997" t="str">
        <f>"004002"</f>
        <v>004002</v>
      </c>
      <c r="C997" t="s">
        <v>4033</v>
      </c>
      <c r="D997" t="s">
        <v>3394</v>
      </c>
      <c r="E997" t="s">
        <v>3395</v>
      </c>
      <c r="F997" t="s">
        <v>3396</v>
      </c>
      <c r="G997" t="s">
        <v>1118</v>
      </c>
      <c r="H997" t="s">
        <v>4034</v>
      </c>
      <c r="I997" t="s">
        <v>4035</v>
      </c>
      <c r="J997" t="s">
        <v>1625</v>
      </c>
      <c r="K997" t="s">
        <v>55</v>
      </c>
      <c r="L997" t="s">
        <v>1626</v>
      </c>
      <c r="M997" t="s">
        <v>57</v>
      </c>
      <c r="N997" t="str">
        <f>"043679"</f>
        <v>043679</v>
      </c>
      <c r="O997" t="s">
        <v>1622</v>
      </c>
      <c r="P997" t="s">
        <v>68</v>
      </c>
      <c r="Q997">
        <v>34.4</v>
      </c>
      <c r="R997">
        <v>15.599999999999994</v>
      </c>
      <c r="S997" t="s">
        <v>156</v>
      </c>
    </row>
    <row r="998" spans="1:19" x14ac:dyDescent="0.35">
      <c r="A998">
        <v>4028</v>
      </c>
      <c r="B998" t="str">
        <f>"004028"</f>
        <v>004028</v>
      </c>
      <c r="C998" t="s">
        <v>4036</v>
      </c>
      <c r="D998" t="s">
        <v>3398</v>
      </c>
      <c r="E998" t="s">
        <v>3395</v>
      </c>
      <c r="F998" t="s">
        <v>3396</v>
      </c>
      <c r="G998" t="s">
        <v>1118</v>
      </c>
      <c r="H998" t="s">
        <v>4037</v>
      </c>
      <c r="I998" t="s">
        <v>4038</v>
      </c>
      <c r="J998" t="s">
        <v>1625</v>
      </c>
      <c r="K998" t="s">
        <v>55</v>
      </c>
      <c r="L998" t="s">
        <v>1626</v>
      </c>
      <c r="M998" t="s">
        <v>57</v>
      </c>
      <c r="N998" t="str">
        <f>"043679"</f>
        <v>043679</v>
      </c>
      <c r="O998" t="s">
        <v>1622</v>
      </c>
      <c r="P998" t="s">
        <v>68</v>
      </c>
      <c r="Q998">
        <v>27.4</v>
      </c>
      <c r="R998">
        <v>14.799999999999997</v>
      </c>
      <c r="S998" t="s">
        <v>156</v>
      </c>
    </row>
    <row r="999" spans="1:19" x14ac:dyDescent="0.35">
      <c r="A999">
        <v>4044</v>
      </c>
      <c r="B999" t="str">
        <f>"004044"</f>
        <v>004044</v>
      </c>
      <c r="C999" t="s">
        <v>4039</v>
      </c>
      <c r="D999" t="s">
        <v>3394</v>
      </c>
      <c r="E999" t="s">
        <v>3395</v>
      </c>
      <c r="F999" t="s">
        <v>3396</v>
      </c>
      <c r="G999" t="s">
        <v>63</v>
      </c>
      <c r="H999" t="s">
        <v>4040</v>
      </c>
      <c r="I999" t="s">
        <v>4041</v>
      </c>
      <c r="J999" t="s">
        <v>3031</v>
      </c>
      <c r="K999" t="s">
        <v>55</v>
      </c>
      <c r="L999" t="s">
        <v>3032</v>
      </c>
      <c r="M999" t="s">
        <v>57</v>
      </c>
      <c r="N999" t="str">
        <f>"043554"</f>
        <v>043554</v>
      </c>
      <c r="O999" t="s">
        <v>3028</v>
      </c>
      <c r="P999" t="s">
        <v>68</v>
      </c>
      <c r="Q999">
        <v>15.7</v>
      </c>
      <c r="R999">
        <v>62</v>
      </c>
      <c r="S999" t="s">
        <v>69</v>
      </c>
    </row>
    <row r="1000" spans="1:19" x14ac:dyDescent="0.35">
      <c r="A1000">
        <v>4077</v>
      </c>
      <c r="B1000" t="str">
        <f>"004077"</f>
        <v>004077</v>
      </c>
      <c r="C1000" t="s">
        <v>4042</v>
      </c>
      <c r="D1000" t="s">
        <v>3398</v>
      </c>
      <c r="E1000" t="s">
        <v>3395</v>
      </c>
      <c r="F1000" t="s">
        <v>3396</v>
      </c>
      <c r="G1000" t="s">
        <v>264</v>
      </c>
      <c r="H1000" t="s">
        <v>4043</v>
      </c>
      <c r="I1000" t="s">
        <v>4044</v>
      </c>
      <c r="J1000" t="s">
        <v>267</v>
      </c>
      <c r="K1000" t="s">
        <v>55</v>
      </c>
      <c r="L1000" t="s">
        <v>4045</v>
      </c>
      <c r="M1000" t="s">
        <v>57</v>
      </c>
      <c r="N1000" t="str">
        <f>"043489"</f>
        <v>043489</v>
      </c>
      <c r="O1000" t="s">
        <v>3176</v>
      </c>
      <c r="P1000" t="s">
        <v>68</v>
      </c>
      <c r="Q1000">
        <v>100</v>
      </c>
      <c r="R1000">
        <v>96.3</v>
      </c>
      <c r="S1000" t="s">
        <v>77</v>
      </c>
    </row>
    <row r="1001" spans="1:19" x14ac:dyDescent="0.35">
      <c r="A1001">
        <v>4085</v>
      </c>
      <c r="B1001" t="str">
        <f>"004085"</f>
        <v>004085</v>
      </c>
      <c r="C1001" t="s">
        <v>4046</v>
      </c>
      <c r="D1001" t="s">
        <v>3398</v>
      </c>
      <c r="E1001" t="s">
        <v>3395</v>
      </c>
      <c r="F1001" t="s">
        <v>3396</v>
      </c>
      <c r="G1001" t="s">
        <v>331</v>
      </c>
      <c r="H1001" t="s">
        <v>2269</v>
      </c>
      <c r="I1001" t="s">
        <v>2270</v>
      </c>
      <c r="J1001" t="s">
        <v>2271</v>
      </c>
      <c r="K1001" t="s">
        <v>55</v>
      </c>
      <c r="L1001" t="s">
        <v>2272</v>
      </c>
      <c r="M1001" t="s">
        <v>57</v>
      </c>
      <c r="N1001" t="str">
        <f>"046508"</f>
        <v>046508</v>
      </c>
      <c r="O1001" t="s">
        <v>2268</v>
      </c>
      <c r="P1001" t="s">
        <v>68</v>
      </c>
      <c r="Q1001">
        <v>28.7</v>
      </c>
      <c r="R1001">
        <v>4.5999999999999943</v>
      </c>
      <c r="S1001" t="s">
        <v>156</v>
      </c>
    </row>
    <row r="1002" spans="1:19" x14ac:dyDescent="0.35">
      <c r="A1002">
        <v>4101</v>
      </c>
      <c r="B1002" t="str">
        <f>"004101"</f>
        <v>004101</v>
      </c>
      <c r="C1002" t="s">
        <v>4047</v>
      </c>
      <c r="D1002" t="s">
        <v>3394</v>
      </c>
      <c r="E1002" t="s">
        <v>3395</v>
      </c>
      <c r="F1002" t="s">
        <v>3396</v>
      </c>
      <c r="G1002" t="s">
        <v>481</v>
      </c>
      <c r="H1002" t="s">
        <v>4048</v>
      </c>
      <c r="I1002" t="s">
        <v>4049</v>
      </c>
      <c r="J1002" t="s">
        <v>876</v>
      </c>
      <c r="K1002" t="s">
        <v>55</v>
      </c>
      <c r="L1002" t="s">
        <v>819</v>
      </c>
      <c r="M1002" t="s">
        <v>57</v>
      </c>
      <c r="N1002" t="str">
        <f>"047894"</f>
        <v>047894</v>
      </c>
      <c r="O1002" t="s">
        <v>287</v>
      </c>
      <c r="P1002" t="s">
        <v>68</v>
      </c>
      <c r="Q1002">
        <v>17.7</v>
      </c>
      <c r="R1002">
        <v>33.400000000000006</v>
      </c>
      <c r="S1002" t="s">
        <v>69</v>
      </c>
    </row>
    <row r="1003" spans="1:19" x14ac:dyDescent="0.35">
      <c r="A1003">
        <v>4119</v>
      </c>
      <c r="B1003" t="str">
        <f>"004119"</f>
        <v>004119</v>
      </c>
      <c r="C1003" t="s">
        <v>4047</v>
      </c>
      <c r="D1003" t="s">
        <v>3394</v>
      </c>
      <c r="E1003" t="s">
        <v>3395</v>
      </c>
      <c r="F1003" t="s">
        <v>3396</v>
      </c>
      <c r="G1003" t="s">
        <v>536</v>
      </c>
      <c r="H1003" t="s">
        <v>4050</v>
      </c>
      <c r="I1003" t="s">
        <v>4051</v>
      </c>
      <c r="J1003" t="s">
        <v>2351</v>
      </c>
      <c r="K1003" t="s">
        <v>55</v>
      </c>
      <c r="L1003" t="s">
        <v>2352</v>
      </c>
      <c r="M1003" t="s">
        <v>57</v>
      </c>
      <c r="N1003" t="str">
        <f>"044735"</f>
        <v>044735</v>
      </c>
      <c r="O1003" t="s">
        <v>2348</v>
      </c>
      <c r="P1003" t="s">
        <v>68</v>
      </c>
      <c r="Q1003">
        <v>100</v>
      </c>
      <c r="R1003">
        <v>17.900000000000006</v>
      </c>
      <c r="S1003" t="s">
        <v>77</v>
      </c>
    </row>
    <row r="1004" spans="1:19" x14ac:dyDescent="0.35">
      <c r="A1004">
        <v>4127</v>
      </c>
      <c r="B1004" t="str">
        <f>"004127"</f>
        <v>004127</v>
      </c>
      <c r="C1004" t="s">
        <v>4052</v>
      </c>
      <c r="D1004" t="s">
        <v>3398</v>
      </c>
      <c r="E1004" t="s">
        <v>3395</v>
      </c>
      <c r="F1004" t="s">
        <v>3396</v>
      </c>
      <c r="G1004" t="s">
        <v>406</v>
      </c>
      <c r="H1004" t="s">
        <v>4053</v>
      </c>
      <c r="I1004" t="s">
        <v>4054</v>
      </c>
      <c r="J1004" t="s">
        <v>406</v>
      </c>
      <c r="K1004" t="s">
        <v>55</v>
      </c>
      <c r="L1004" t="s">
        <v>409</v>
      </c>
      <c r="M1004" t="s">
        <v>57</v>
      </c>
      <c r="N1004" t="str">
        <f>"048470"</f>
        <v>048470</v>
      </c>
      <c r="O1004" t="s">
        <v>742</v>
      </c>
      <c r="P1004" t="s">
        <v>68</v>
      </c>
      <c r="Q1004">
        <v>13.2</v>
      </c>
      <c r="R1004">
        <v>7.7000000000000028</v>
      </c>
      <c r="S1004" t="s">
        <v>77</v>
      </c>
    </row>
    <row r="1005" spans="1:19" x14ac:dyDescent="0.35">
      <c r="A1005">
        <v>4135</v>
      </c>
      <c r="B1005" t="str">
        <f>"004135"</f>
        <v>004135</v>
      </c>
      <c r="C1005" t="s">
        <v>4055</v>
      </c>
      <c r="D1005" t="s">
        <v>3400</v>
      </c>
      <c r="E1005" t="s">
        <v>3395</v>
      </c>
      <c r="F1005" t="s">
        <v>3396</v>
      </c>
      <c r="G1005" t="s">
        <v>600</v>
      </c>
      <c r="H1005" t="s">
        <v>4056</v>
      </c>
      <c r="I1005" t="s">
        <v>4057</v>
      </c>
      <c r="J1005" t="s">
        <v>1348</v>
      </c>
      <c r="K1005" t="s">
        <v>55</v>
      </c>
      <c r="L1005" t="s">
        <v>2733</v>
      </c>
      <c r="M1005" t="s">
        <v>57</v>
      </c>
      <c r="N1005" t="str">
        <f>"043802"</f>
        <v>043802</v>
      </c>
      <c r="O1005" t="s">
        <v>3171</v>
      </c>
      <c r="P1005" t="s">
        <v>68</v>
      </c>
      <c r="Q1005">
        <v>100</v>
      </c>
      <c r="R1005">
        <v>70.3</v>
      </c>
      <c r="S1005" t="s">
        <v>60</v>
      </c>
    </row>
    <row r="1006" spans="1:19" x14ac:dyDescent="0.35">
      <c r="A1006">
        <v>4143</v>
      </c>
      <c r="B1006" t="str">
        <f>"004143"</f>
        <v>004143</v>
      </c>
      <c r="C1006" t="s">
        <v>4058</v>
      </c>
      <c r="D1006" t="s">
        <v>3398</v>
      </c>
      <c r="E1006" t="s">
        <v>3395</v>
      </c>
      <c r="F1006" t="s">
        <v>3396</v>
      </c>
      <c r="G1006" t="s">
        <v>52</v>
      </c>
      <c r="H1006" t="s">
        <v>4059</v>
      </c>
      <c r="I1006" t="s">
        <v>4060</v>
      </c>
      <c r="J1006" t="s">
        <v>52</v>
      </c>
      <c r="K1006" t="s">
        <v>55</v>
      </c>
      <c r="L1006" t="s">
        <v>56</v>
      </c>
      <c r="M1006" t="s">
        <v>57</v>
      </c>
      <c r="N1006" t="str">
        <f>"046755"</f>
        <v>046755</v>
      </c>
      <c r="O1006" t="s">
        <v>1319</v>
      </c>
      <c r="P1006" t="s">
        <v>68</v>
      </c>
      <c r="Q1006">
        <v>13.9</v>
      </c>
      <c r="R1006">
        <v>9.5999999999999943</v>
      </c>
      <c r="S1006" t="s">
        <v>60</v>
      </c>
    </row>
    <row r="1007" spans="1:19" x14ac:dyDescent="0.35">
      <c r="A1007">
        <v>4176</v>
      </c>
      <c r="B1007" t="str">
        <f>"004176"</f>
        <v>004176</v>
      </c>
      <c r="C1007" t="s">
        <v>4061</v>
      </c>
      <c r="D1007" t="s">
        <v>3394</v>
      </c>
      <c r="E1007" t="s">
        <v>3395</v>
      </c>
      <c r="F1007" t="s">
        <v>3396</v>
      </c>
      <c r="G1007" t="s">
        <v>318</v>
      </c>
      <c r="H1007" t="s">
        <v>4062</v>
      </c>
      <c r="I1007" t="s">
        <v>4063</v>
      </c>
      <c r="J1007" t="s">
        <v>4064</v>
      </c>
      <c r="K1007" t="s">
        <v>55</v>
      </c>
      <c r="L1007" t="s">
        <v>4065</v>
      </c>
      <c r="M1007" t="s">
        <v>57</v>
      </c>
      <c r="N1007" t="str">
        <f>"045401"</f>
        <v>045401</v>
      </c>
      <c r="O1007" t="s">
        <v>2560</v>
      </c>
      <c r="P1007" t="s">
        <v>68</v>
      </c>
      <c r="Q1007">
        <v>60.1</v>
      </c>
      <c r="R1007">
        <v>3.5</v>
      </c>
      <c r="S1007" t="s">
        <v>130</v>
      </c>
    </row>
    <row r="1008" spans="1:19" x14ac:dyDescent="0.35">
      <c r="A1008">
        <v>4184</v>
      </c>
      <c r="B1008" t="str">
        <f>"004184"</f>
        <v>004184</v>
      </c>
      <c r="C1008" t="s">
        <v>4066</v>
      </c>
      <c r="D1008" t="s">
        <v>3398</v>
      </c>
      <c r="E1008" t="s">
        <v>3395</v>
      </c>
      <c r="F1008" t="s">
        <v>3396</v>
      </c>
      <c r="G1008" t="s">
        <v>331</v>
      </c>
      <c r="H1008" t="s">
        <v>4067</v>
      </c>
      <c r="I1008" t="s">
        <v>4068</v>
      </c>
      <c r="J1008" t="s">
        <v>634</v>
      </c>
      <c r="K1008" t="s">
        <v>55</v>
      </c>
      <c r="L1008" t="s">
        <v>635</v>
      </c>
      <c r="M1008" t="s">
        <v>57</v>
      </c>
      <c r="N1008" t="str">
        <f>"043687"</f>
        <v>043687</v>
      </c>
      <c r="O1008" t="s">
        <v>2948</v>
      </c>
      <c r="P1008" t="s">
        <v>68</v>
      </c>
      <c r="Q1008">
        <v>50.6</v>
      </c>
      <c r="R1008">
        <v>10.700000000000003</v>
      </c>
      <c r="S1008" t="s">
        <v>156</v>
      </c>
    </row>
    <row r="1009" spans="1:19" x14ac:dyDescent="0.35">
      <c r="A1009">
        <v>4192</v>
      </c>
      <c r="B1009" t="str">
        <f>"004192"</f>
        <v>004192</v>
      </c>
      <c r="C1009" t="s">
        <v>4069</v>
      </c>
      <c r="D1009" t="s">
        <v>3394</v>
      </c>
      <c r="E1009" t="s">
        <v>3395</v>
      </c>
      <c r="F1009" t="s">
        <v>3396</v>
      </c>
      <c r="G1009" t="s">
        <v>855</v>
      </c>
      <c r="H1009" t="s">
        <v>856</v>
      </c>
      <c r="I1009" t="s">
        <v>857</v>
      </c>
      <c r="J1009" t="s">
        <v>858</v>
      </c>
      <c r="K1009" t="s">
        <v>55</v>
      </c>
      <c r="L1009" t="s">
        <v>859</v>
      </c>
      <c r="M1009" t="s">
        <v>57</v>
      </c>
      <c r="N1009" t="str">
        <f>"045468"</f>
        <v>045468</v>
      </c>
      <c r="O1009" t="s">
        <v>854</v>
      </c>
      <c r="P1009" t="s">
        <v>68</v>
      </c>
      <c r="Q1009">
        <v>35.200000000000003</v>
      </c>
      <c r="R1009">
        <v>5.5999999999999943</v>
      </c>
      <c r="S1009" t="s">
        <v>77</v>
      </c>
    </row>
    <row r="1010" spans="1:19" x14ac:dyDescent="0.35">
      <c r="A1010">
        <v>4200</v>
      </c>
      <c r="B1010" t="str">
        <f>"004200"</f>
        <v>004200</v>
      </c>
      <c r="C1010" t="s">
        <v>4070</v>
      </c>
      <c r="D1010" t="s">
        <v>3394</v>
      </c>
      <c r="E1010" t="s">
        <v>3395</v>
      </c>
      <c r="F1010" t="s">
        <v>3396</v>
      </c>
      <c r="G1010" t="s">
        <v>135</v>
      </c>
      <c r="H1010" t="s">
        <v>4071</v>
      </c>
      <c r="I1010" t="s">
        <v>4072</v>
      </c>
      <c r="J1010" t="s">
        <v>279</v>
      </c>
      <c r="K1010" t="s">
        <v>55</v>
      </c>
      <c r="L1010" t="s">
        <v>280</v>
      </c>
      <c r="M1010" t="s">
        <v>57</v>
      </c>
      <c r="N1010" t="str">
        <f>"044826"</f>
        <v>044826</v>
      </c>
      <c r="O1010" t="s">
        <v>276</v>
      </c>
      <c r="P1010" t="s">
        <v>68</v>
      </c>
      <c r="Q1010">
        <v>99.8</v>
      </c>
      <c r="R1010">
        <v>23.299999999999997</v>
      </c>
      <c r="S1010" t="s">
        <v>130</v>
      </c>
    </row>
    <row r="1011" spans="1:19" x14ac:dyDescent="0.35">
      <c r="A1011">
        <v>4218</v>
      </c>
      <c r="B1011" t="str">
        <f>"004218"</f>
        <v>004218</v>
      </c>
      <c r="C1011" t="s">
        <v>4073</v>
      </c>
      <c r="D1011" t="s">
        <v>3394</v>
      </c>
      <c r="E1011" t="s">
        <v>3395</v>
      </c>
      <c r="F1011" t="s">
        <v>3396</v>
      </c>
      <c r="G1011" t="s">
        <v>1679</v>
      </c>
      <c r="H1011" t="s">
        <v>4074</v>
      </c>
      <c r="I1011" t="s">
        <v>4075</v>
      </c>
      <c r="J1011" t="s">
        <v>4076</v>
      </c>
      <c r="K1011" t="s">
        <v>55</v>
      </c>
      <c r="L1011" t="s">
        <v>4077</v>
      </c>
      <c r="M1011" t="s">
        <v>57</v>
      </c>
      <c r="N1011" t="str">
        <f>"047308"</f>
        <v>047308</v>
      </c>
      <c r="O1011" t="s">
        <v>1678</v>
      </c>
      <c r="P1011" t="s">
        <v>68</v>
      </c>
      <c r="Q1011">
        <v>100</v>
      </c>
      <c r="R1011">
        <v>5</v>
      </c>
      <c r="S1011" t="s">
        <v>130</v>
      </c>
    </row>
    <row r="1012" spans="1:19" x14ac:dyDescent="0.35">
      <c r="A1012">
        <v>4234</v>
      </c>
      <c r="B1012" t="str">
        <f>"004234"</f>
        <v>004234</v>
      </c>
      <c r="C1012" t="s">
        <v>4078</v>
      </c>
      <c r="D1012" t="s">
        <v>3394</v>
      </c>
      <c r="E1012" t="s">
        <v>3395</v>
      </c>
      <c r="F1012" t="s">
        <v>3396</v>
      </c>
      <c r="G1012" t="s">
        <v>63</v>
      </c>
      <c r="H1012" t="s">
        <v>4079</v>
      </c>
      <c r="I1012" t="s">
        <v>4080</v>
      </c>
      <c r="J1012" t="s">
        <v>285</v>
      </c>
      <c r="K1012" t="s">
        <v>55</v>
      </c>
      <c r="L1012" t="s">
        <v>3798</v>
      </c>
      <c r="M1012" t="s">
        <v>57</v>
      </c>
      <c r="N1012" t="str">
        <f>"043786"</f>
        <v>043786</v>
      </c>
      <c r="O1012" t="s">
        <v>1340</v>
      </c>
      <c r="P1012" t="s">
        <v>68</v>
      </c>
      <c r="Q1012">
        <v>100</v>
      </c>
      <c r="R1012">
        <v>91.5</v>
      </c>
      <c r="S1012" t="s">
        <v>69</v>
      </c>
    </row>
    <row r="1013" spans="1:19" x14ac:dyDescent="0.35">
      <c r="A1013">
        <v>4242</v>
      </c>
      <c r="B1013" t="str">
        <f>"004242"</f>
        <v>004242</v>
      </c>
      <c r="C1013" t="s">
        <v>4081</v>
      </c>
      <c r="D1013" t="s">
        <v>3394</v>
      </c>
      <c r="E1013" t="s">
        <v>3395</v>
      </c>
      <c r="F1013" t="s">
        <v>3396</v>
      </c>
      <c r="G1013" t="s">
        <v>132</v>
      </c>
      <c r="H1013" t="s">
        <v>4082</v>
      </c>
      <c r="I1013" t="s">
        <v>4083</v>
      </c>
      <c r="J1013" t="s">
        <v>132</v>
      </c>
      <c r="K1013" t="s">
        <v>55</v>
      </c>
      <c r="L1013" t="s">
        <v>184</v>
      </c>
      <c r="M1013" t="s">
        <v>57</v>
      </c>
      <c r="N1013" t="str">
        <f>"043513"</f>
        <v>043513</v>
      </c>
      <c r="O1013" t="s">
        <v>1141</v>
      </c>
      <c r="P1013" t="s">
        <v>68</v>
      </c>
      <c r="Q1013">
        <v>100</v>
      </c>
      <c r="R1013">
        <v>45.1</v>
      </c>
      <c r="S1013" t="s">
        <v>69</v>
      </c>
    </row>
    <row r="1014" spans="1:19" x14ac:dyDescent="0.35">
      <c r="A1014">
        <v>4267</v>
      </c>
      <c r="B1014" t="str">
        <f>"004267"</f>
        <v>004267</v>
      </c>
      <c r="C1014" t="s">
        <v>4084</v>
      </c>
      <c r="D1014" t="s">
        <v>3394</v>
      </c>
      <c r="E1014" t="s">
        <v>3395</v>
      </c>
      <c r="F1014" t="s">
        <v>3396</v>
      </c>
      <c r="G1014" t="s">
        <v>383</v>
      </c>
      <c r="H1014" t="s">
        <v>4085</v>
      </c>
      <c r="I1014" t="s">
        <v>4086</v>
      </c>
      <c r="J1014" t="s">
        <v>1215</v>
      </c>
      <c r="K1014" t="s">
        <v>55</v>
      </c>
      <c r="L1014" t="s">
        <v>1065</v>
      </c>
      <c r="M1014" t="s">
        <v>57</v>
      </c>
      <c r="N1014" t="str">
        <f>"045161"</f>
        <v>045161</v>
      </c>
      <c r="O1014" t="s">
        <v>1212</v>
      </c>
      <c r="P1014" t="s">
        <v>68</v>
      </c>
      <c r="Q1014">
        <v>100</v>
      </c>
      <c r="R1014">
        <v>71.5</v>
      </c>
      <c r="S1014" t="s">
        <v>77</v>
      </c>
    </row>
    <row r="1015" spans="1:19" x14ac:dyDescent="0.35">
      <c r="A1015">
        <v>4317</v>
      </c>
      <c r="B1015" t="str">
        <f>"004317"</f>
        <v>004317</v>
      </c>
      <c r="C1015" t="s">
        <v>4087</v>
      </c>
      <c r="D1015" t="s">
        <v>3394</v>
      </c>
      <c r="E1015" t="s">
        <v>3395</v>
      </c>
      <c r="F1015" t="s">
        <v>3396</v>
      </c>
      <c r="G1015" t="s">
        <v>1335</v>
      </c>
      <c r="H1015" t="s">
        <v>4088</v>
      </c>
      <c r="I1015" t="s">
        <v>4089</v>
      </c>
      <c r="J1015" t="s">
        <v>2859</v>
      </c>
      <c r="K1015" t="s">
        <v>55</v>
      </c>
      <c r="L1015" t="s">
        <v>2860</v>
      </c>
      <c r="M1015" t="s">
        <v>57</v>
      </c>
      <c r="N1015" t="str">
        <f>"047951"</f>
        <v>047951</v>
      </c>
      <c r="O1015" t="s">
        <v>2856</v>
      </c>
      <c r="P1015" t="s">
        <v>68</v>
      </c>
      <c r="Q1015">
        <v>88.1</v>
      </c>
      <c r="R1015">
        <v>11.900000000000006</v>
      </c>
      <c r="S1015" t="s">
        <v>130</v>
      </c>
    </row>
    <row r="1016" spans="1:19" x14ac:dyDescent="0.35">
      <c r="A1016">
        <v>4333</v>
      </c>
      <c r="B1016" t="str">
        <f>"004333"</f>
        <v>004333</v>
      </c>
      <c r="C1016" t="s">
        <v>4090</v>
      </c>
      <c r="D1016" t="s">
        <v>3400</v>
      </c>
      <c r="E1016" t="s">
        <v>3395</v>
      </c>
      <c r="F1016" t="s">
        <v>3396</v>
      </c>
      <c r="G1016" t="s">
        <v>344</v>
      </c>
      <c r="H1016" t="s">
        <v>4091</v>
      </c>
      <c r="I1016" t="s">
        <v>4092</v>
      </c>
      <c r="J1016" t="s">
        <v>3376</v>
      </c>
      <c r="K1016" t="s">
        <v>55</v>
      </c>
      <c r="L1016" t="s">
        <v>3377</v>
      </c>
      <c r="M1016" t="s">
        <v>57</v>
      </c>
      <c r="N1016" t="str">
        <f>"045641"</f>
        <v>045641</v>
      </c>
      <c r="O1016" t="s">
        <v>3373</v>
      </c>
      <c r="P1016" t="s">
        <v>68</v>
      </c>
      <c r="Q1016">
        <v>33.799999999999997</v>
      </c>
      <c r="R1016">
        <v>26</v>
      </c>
      <c r="S1016" t="s">
        <v>156</v>
      </c>
    </row>
    <row r="1017" spans="1:19" x14ac:dyDescent="0.35">
      <c r="A1017">
        <v>4341</v>
      </c>
      <c r="B1017" t="str">
        <f>"004341"</f>
        <v>004341</v>
      </c>
      <c r="C1017" t="s">
        <v>4093</v>
      </c>
      <c r="D1017" t="s">
        <v>3394</v>
      </c>
      <c r="E1017" t="s">
        <v>3395</v>
      </c>
      <c r="F1017" t="s">
        <v>3396</v>
      </c>
      <c r="G1017" t="s">
        <v>600</v>
      </c>
      <c r="H1017" t="s">
        <v>4094</v>
      </c>
      <c r="I1017" t="s">
        <v>4095</v>
      </c>
      <c r="J1017" t="s">
        <v>1348</v>
      </c>
      <c r="K1017" t="s">
        <v>55</v>
      </c>
      <c r="L1017" t="s">
        <v>3854</v>
      </c>
      <c r="M1017" t="s">
        <v>57</v>
      </c>
      <c r="N1017" t="str">
        <f>"043802"</f>
        <v>043802</v>
      </c>
      <c r="O1017" t="s">
        <v>3171</v>
      </c>
      <c r="P1017" t="s">
        <v>68</v>
      </c>
      <c r="Q1017">
        <v>100</v>
      </c>
      <c r="R1017">
        <v>68.7</v>
      </c>
      <c r="S1017" t="s">
        <v>60</v>
      </c>
    </row>
    <row r="1018" spans="1:19" x14ac:dyDescent="0.35">
      <c r="A1018">
        <v>4358</v>
      </c>
      <c r="B1018" t="str">
        <f>"004358"</f>
        <v>004358</v>
      </c>
      <c r="C1018" t="s">
        <v>4093</v>
      </c>
      <c r="D1018" t="s">
        <v>3394</v>
      </c>
      <c r="E1018" t="s">
        <v>3395</v>
      </c>
      <c r="F1018" t="s">
        <v>3396</v>
      </c>
      <c r="G1018" t="s">
        <v>200</v>
      </c>
      <c r="H1018" t="s">
        <v>4096</v>
      </c>
      <c r="I1018" t="s">
        <v>4097</v>
      </c>
      <c r="J1018" t="s">
        <v>304</v>
      </c>
      <c r="K1018" t="s">
        <v>55</v>
      </c>
      <c r="L1018" t="s">
        <v>3552</v>
      </c>
      <c r="M1018" t="s">
        <v>57</v>
      </c>
      <c r="N1018" t="str">
        <f>"044909"</f>
        <v>044909</v>
      </c>
      <c r="O1018" t="s">
        <v>3318</v>
      </c>
      <c r="P1018" t="s">
        <v>68</v>
      </c>
      <c r="Q1018">
        <v>100</v>
      </c>
      <c r="R1018">
        <v>69.7</v>
      </c>
      <c r="S1018" t="s">
        <v>156</v>
      </c>
    </row>
    <row r="1019" spans="1:19" x14ac:dyDescent="0.35">
      <c r="A1019">
        <v>4366</v>
      </c>
      <c r="B1019" t="str">
        <f>"004366"</f>
        <v>004366</v>
      </c>
      <c r="C1019" t="s">
        <v>4098</v>
      </c>
      <c r="D1019" t="s">
        <v>3394</v>
      </c>
      <c r="E1019" t="s">
        <v>3395</v>
      </c>
      <c r="F1019" t="s">
        <v>3396</v>
      </c>
      <c r="G1019" t="s">
        <v>511</v>
      </c>
      <c r="H1019" t="s">
        <v>637</v>
      </c>
      <c r="I1019" t="s">
        <v>638</v>
      </c>
      <c r="J1019" t="s">
        <v>639</v>
      </c>
      <c r="K1019" t="s">
        <v>55</v>
      </c>
      <c r="L1019" t="s">
        <v>640</v>
      </c>
      <c r="M1019" t="s">
        <v>57</v>
      </c>
      <c r="N1019" t="str">
        <f>"047167"</f>
        <v>047167</v>
      </c>
      <c r="O1019" t="s">
        <v>636</v>
      </c>
      <c r="P1019" t="s">
        <v>68</v>
      </c>
      <c r="Q1019">
        <v>22.1</v>
      </c>
      <c r="R1019">
        <v>5.7999999999999972</v>
      </c>
      <c r="S1019" t="s">
        <v>69</v>
      </c>
    </row>
    <row r="1020" spans="1:19" x14ac:dyDescent="0.35">
      <c r="A1020">
        <v>4390</v>
      </c>
      <c r="B1020" t="str">
        <f>"004390"</f>
        <v>004390</v>
      </c>
      <c r="C1020" t="s">
        <v>4099</v>
      </c>
      <c r="D1020" t="s">
        <v>3394</v>
      </c>
      <c r="E1020" t="s">
        <v>3395</v>
      </c>
      <c r="F1020" t="s">
        <v>3396</v>
      </c>
      <c r="G1020" t="s">
        <v>663</v>
      </c>
      <c r="H1020" t="s">
        <v>4100</v>
      </c>
      <c r="I1020" t="s">
        <v>4101</v>
      </c>
      <c r="J1020" t="s">
        <v>244</v>
      </c>
      <c r="K1020" t="s">
        <v>55</v>
      </c>
      <c r="L1020" t="s">
        <v>4102</v>
      </c>
      <c r="M1020" t="s">
        <v>57</v>
      </c>
      <c r="N1020" t="str">
        <f>"049411"</f>
        <v>049411</v>
      </c>
      <c r="O1020" t="s">
        <v>929</v>
      </c>
      <c r="P1020" t="s">
        <v>68</v>
      </c>
      <c r="Q1020">
        <v>40.700000000000003</v>
      </c>
      <c r="R1020">
        <v>4.7000000000000028</v>
      </c>
      <c r="S1020" t="s">
        <v>77</v>
      </c>
    </row>
    <row r="1021" spans="1:19" x14ac:dyDescent="0.35">
      <c r="A1021">
        <v>4408</v>
      </c>
      <c r="B1021" t="str">
        <f>"004408"</f>
        <v>004408</v>
      </c>
      <c r="C1021" t="s">
        <v>4103</v>
      </c>
      <c r="D1021" t="s">
        <v>3400</v>
      </c>
      <c r="E1021" t="s">
        <v>3395</v>
      </c>
      <c r="F1021" t="s">
        <v>3396</v>
      </c>
      <c r="G1021" t="s">
        <v>175</v>
      </c>
      <c r="H1021" t="s">
        <v>1274</v>
      </c>
      <c r="I1021" t="s">
        <v>1275</v>
      </c>
      <c r="J1021" t="s">
        <v>597</v>
      </c>
      <c r="K1021" t="s">
        <v>55</v>
      </c>
      <c r="L1021" t="s">
        <v>598</v>
      </c>
      <c r="M1021" t="s">
        <v>57</v>
      </c>
      <c r="N1021" t="str">
        <f>"046631"</f>
        <v>046631</v>
      </c>
      <c r="O1021" t="s">
        <v>1273</v>
      </c>
      <c r="P1021" t="s">
        <v>68</v>
      </c>
      <c r="Q1021">
        <v>22.5</v>
      </c>
      <c r="R1021">
        <v>3.2000000000000028</v>
      </c>
      <c r="S1021" t="s">
        <v>180</v>
      </c>
    </row>
    <row r="1022" spans="1:19" x14ac:dyDescent="0.35">
      <c r="A1022">
        <v>4416</v>
      </c>
      <c r="B1022" t="str">
        <f>"004416"</f>
        <v>004416</v>
      </c>
      <c r="C1022" t="s">
        <v>4104</v>
      </c>
      <c r="D1022" t="s">
        <v>3398</v>
      </c>
      <c r="E1022" t="s">
        <v>3395</v>
      </c>
      <c r="F1022" t="s">
        <v>3396</v>
      </c>
      <c r="G1022" t="s">
        <v>543</v>
      </c>
      <c r="H1022" t="s">
        <v>4105</v>
      </c>
      <c r="I1022" t="s">
        <v>4106</v>
      </c>
      <c r="J1022" t="s">
        <v>3061</v>
      </c>
      <c r="K1022" t="s">
        <v>55</v>
      </c>
      <c r="L1022" t="s">
        <v>3062</v>
      </c>
      <c r="M1022" t="s">
        <v>57</v>
      </c>
      <c r="N1022" t="str">
        <f>"044958"</f>
        <v>044958</v>
      </c>
      <c r="O1022" t="s">
        <v>3058</v>
      </c>
      <c r="P1022" t="s">
        <v>68</v>
      </c>
      <c r="Q1022">
        <v>24.7</v>
      </c>
      <c r="R1022">
        <v>24.200000000000003</v>
      </c>
      <c r="S1022" t="s">
        <v>180</v>
      </c>
    </row>
    <row r="1023" spans="1:19" x14ac:dyDescent="0.35">
      <c r="A1023">
        <v>4432</v>
      </c>
      <c r="B1023" t="str">
        <f>"004432"</f>
        <v>004432</v>
      </c>
      <c r="C1023" t="s">
        <v>4107</v>
      </c>
      <c r="D1023" t="s">
        <v>3394</v>
      </c>
      <c r="E1023" t="s">
        <v>3395</v>
      </c>
      <c r="F1023" t="s">
        <v>3396</v>
      </c>
      <c r="G1023" t="s">
        <v>1679</v>
      </c>
      <c r="H1023" t="s">
        <v>4108</v>
      </c>
      <c r="I1023" t="s">
        <v>4109</v>
      </c>
      <c r="J1023" t="s">
        <v>4076</v>
      </c>
      <c r="K1023" t="s">
        <v>55</v>
      </c>
      <c r="L1023" t="s">
        <v>4077</v>
      </c>
      <c r="M1023" t="s">
        <v>57</v>
      </c>
      <c r="N1023" t="str">
        <f>"047308"</f>
        <v>047308</v>
      </c>
      <c r="O1023" t="s">
        <v>1678</v>
      </c>
      <c r="P1023" t="s">
        <v>68</v>
      </c>
      <c r="Q1023">
        <v>100</v>
      </c>
      <c r="R1023">
        <v>5.7000000000000028</v>
      </c>
      <c r="S1023" t="s">
        <v>130</v>
      </c>
    </row>
    <row r="1024" spans="1:19" x14ac:dyDescent="0.35">
      <c r="A1024">
        <v>4457</v>
      </c>
      <c r="B1024" t="str">
        <f>"004457"</f>
        <v>004457</v>
      </c>
      <c r="C1024" t="s">
        <v>4110</v>
      </c>
      <c r="D1024" t="s">
        <v>3400</v>
      </c>
      <c r="E1024" t="s">
        <v>3395</v>
      </c>
      <c r="F1024" t="s">
        <v>3396</v>
      </c>
      <c r="G1024" t="s">
        <v>63</v>
      </c>
      <c r="H1024" t="s">
        <v>4111</v>
      </c>
      <c r="I1024" t="s">
        <v>4112</v>
      </c>
      <c r="J1024" t="s">
        <v>101</v>
      </c>
      <c r="K1024" t="s">
        <v>55</v>
      </c>
      <c r="L1024" t="s">
        <v>3032</v>
      </c>
      <c r="M1024" t="s">
        <v>57</v>
      </c>
      <c r="N1024" t="str">
        <f>"044750"</f>
        <v>044750</v>
      </c>
      <c r="O1024" t="s">
        <v>98</v>
      </c>
      <c r="P1024" t="s">
        <v>68</v>
      </c>
      <c r="Q1024">
        <v>38.299999999999997</v>
      </c>
      <c r="R1024">
        <v>62.2</v>
      </c>
      <c r="S1024" t="s">
        <v>69</v>
      </c>
    </row>
    <row r="1025" spans="1:19" x14ac:dyDescent="0.35">
      <c r="A1025">
        <v>4473</v>
      </c>
      <c r="B1025" t="str">
        <f>"004473"</f>
        <v>004473</v>
      </c>
      <c r="C1025" t="s">
        <v>4113</v>
      </c>
      <c r="D1025" t="s">
        <v>3394</v>
      </c>
      <c r="E1025" t="s">
        <v>3395</v>
      </c>
      <c r="F1025" t="s">
        <v>3396</v>
      </c>
      <c r="G1025" t="s">
        <v>212</v>
      </c>
      <c r="H1025" t="s">
        <v>4114</v>
      </c>
      <c r="I1025" t="s">
        <v>4115</v>
      </c>
      <c r="J1025" t="s">
        <v>215</v>
      </c>
      <c r="K1025" t="s">
        <v>55</v>
      </c>
      <c r="L1025" t="s">
        <v>1512</v>
      </c>
      <c r="M1025" t="s">
        <v>57</v>
      </c>
      <c r="N1025" t="str">
        <f>"047373"</f>
        <v>047373</v>
      </c>
      <c r="O1025" t="s">
        <v>1509</v>
      </c>
      <c r="P1025" t="s">
        <v>68</v>
      </c>
      <c r="Q1025">
        <v>40.5</v>
      </c>
      <c r="R1025">
        <v>21.700000000000003</v>
      </c>
      <c r="S1025" t="s">
        <v>217</v>
      </c>
    </row>
    <row r="1026" spans="1:19" x14ac:dyDescent="0.35">
      <c r="A1026">
        <v>4507</v>
      </c>
      <c r="B1026" t="str">
        <f>"004507"</f>
        <v>004507</v>
      </c>
      <c r="C1026" t="s">
        <v>4116</v>
      </c>
      <c r="D1026" t="s">
        <v>3398</v>
      </c>
      <c r="E1026" t="s">
        <v>3395</v>
      </c>
      <c r="F1026" t="s">
        <v>3396</v>
      </c>
      <c r="G1026" t="s">
        <v>1187</v>
      </c>
      <c r="H1026" t="s">
        <v>1188</v>
      </c>
      <c r="I1026" t="s">
        <v>1189</v>
      </c>
      <c r="J1026" t="s">
        <v>1190</v>
      </c>
      <c r="K1026" t="s">
        <v>55</v>
      </c>
      <c r="L1026" t="s">
        <v>1191</v>
      </c>
      <c r="M1026" t="s">
        <v>57</v>
      </c>
      <c r="N1026" t="str">
        <f>"045245"</f>
        <v>045245</v>
      </c>
      <c r="O1026" t="s">
        <v>1186</v>
      </c>
      <c r="P1026" t="s">
        <v>68</v>
      </c>
      <c r="Q1026">
        <v>44.4</v>
      </c>
      <c r="R1026">
        <v>5.7000000000000028</v>
      </c>
      <c r="S1026" t="s">
        <v>130</v>
      </c>
    </row>
    <row r="1027" spans="1:19" x14ac:dyDescent="0.35">
      <c r="A1027">
        <v>4515</v>
      </c>
      <c r="B1027" t="str">
        <f>"004515"</f>
        <v>004515</v>
      </c>
      <c r="C1027" t="s">
        <v>4117</v>
      </c>
      <c r="D1027" t="s">
        <v>3394</v>
      </c>
      <c r="E1027" t="s">
        <v>3395</v>
      </c>
      <c r="F1027" t="s">
        <v>3396</v>
      </c>
      <c r="G1027" t="s">
        <v>861</v>
      </c>
      <c r="H1027" t="s">
        <v>4118</v>
      </c>
      <c r="I1027" t="s">
        <v>4119</v>
      </c>
      <c r="J1027" t="s">
        <v>1758</v>
      </c>
      <c r="K1027" t="s">
        <v>55</v>
      </c>
      <c r="L1027" t="s">
        <v>1759</v>
      </c>
      <c r="M1027" t="s">
        <v>57</v>
      </c>
      <c r="N1027" t="str">
        <f>"065680"</f>
        <v>065680</v>
      </c>
      <c r="O1027" t="s">
        <v>1755</v>
      </c>
      <c r="P1027" t="s">
        <v>68</v>
      </c>
      <c r="Q1027">
        <v>100</v>
      </c>
      <c r="R1027">
        <v>3.5999999999999943</v>
      </c>
      <c r="S1027" t="s">
        <v>130</v>
      </c>
    </row>
    <row r="1028" spans="1:19" x14ac:dyDescent="0.35">
      <c r="A1028">
        <v>4549</v>
      </c>
      <c r="B1028" t="str">
        <f>"004549"</f>
        <v>004549</v>
      </c>
      <c r="C1028" t="s">
        <v>4120</v>
      </c>
      <c r="D1028" t="s">
        <v>3394</v>
      </c>
      <c r="E1028" t="s">
        <v>3395</v>
      </c>
      <c r="F1028" t="s">
        <v>3396</v>
      </c>
      <c r="G1028" t="s">
        <v>536</v>
      </c>
      <c r="H1028" t="s">
        <v>537</v>
      </c>
      <c r="I1028" t="s">
        <v>538</v>
      </c>
      <c r="J1028" t="s">
        <v>539</v>
      </c>
      <c r="K1028" t="s">
        <v>55</v>
      </c>
      <c r="L1028" t="s">
        <v>540</v>
      </c>
      <c r="M1028" t="s">
        <v>57</v>
      </c>
      <c r="N1028" t="str">
        <f>"046425"</f>
        <v>046425</v>
      </c>
      <c r="O1028" t="s">
        <v>535</v>
      </c>
      <c r="P1028" t="s">
        <v>68</v>
      </c>
      <c r="Q1028">
        <v>41.4</v>
      </c>
      <c r="R1028">
        <v>5.2999999999999972</v>
      </c>
      <c r="S1028" t="s">
        <v>77</v>
      </c>
    </row>
    <row r="1029" spans="1:19" x14ac:dyDescent="0.35">
      <c r="A1029">
        <v>4556</v>
      </c>
      <c r="B1029" t="str">
        <f>"004556"</f>
        <v>004556</v>
      </c>
      <c r="C1029" t="s">
        <v>4121</v>
      </c>
      <c r="D1029" t="s">
        <v>3398</v>
      </c>
      <c r="E1029" t="s">
        <v>3395</v>
      </c>
      <c r="F1029" t="s">
        <v>3396</v>
      </c>
      <c r="G1029" t="s">
        <v>2212</v>
      </c>
      <c r="H1029" t="s">
        <v>2234</v>
      </c>
      <c r="I1029" t="s">
        <v>2235</v>
      </c>
      <c r="J1029" t="s">
        <v>2236</v>
      </c>
      <c r="K1029" t="s">
        <v>55</v>
      </c>
      <c r="L1029" t="s">
        <v>2237</v>
      </c>
      <c r="M1029" t="s">
        <v>57</v>
      </c>
      <c r="N1029" t="str">
        <f>"045252"</f>
        <v>045252</v>
      </c>
      <c r="O1029" t="s">
        <v>2233</v>
      </c>
      <c r="P1029" t="s">
        <v>68</v>
      </c>
      <c r="Q1029">
        <v>34</v>
      </c>
      <c r="R1029">
        <v>3.2999999999999972</v>
      </c>
      <c r="S1029" t="s">
        <v>130</v>
      </c>
    </row>
    <row r="1030" spans="1:19" x14ac:dyDescent="0.35">
      <c r="A1030">
        <v>4564</v>
      </c>
      <c r="B1030" t="str">
        <f>"004564"</f>
        <v>004564</v>
      </c>
      <c r="C1030" t="s">
        <v>4122</v>
      </c>
      <c r="D1030" t="s">
        <v>3394</v>
      </c>
      <c r="E1030" t="s">
        <v>3395</v>
      </c>
      <c r="F1030" t="s">
        <v>3396</v>
      </c>
      <c r="G1030" t="s">
        <v>2212</v>
      </c>
      <c r="H1030" t="s">
        <v>4123</v>
      </c>
      <c r="I1030" t="s">
        <v>4124</v>
      </c>
      <c r="J1030" t="s">
        <v>2236</v>
      </c>
      <c r="K1030" t="s">
        <v>55</v>
      </c>
      <c r="L1030" t="s">
        <v>2237</v>
      </c>
      <c r="M1030" t="s">
        <v>57</v>
      </c>
      <c r="N1030" t="str">
        <f>"045252"</f>
        <v>045252</v>
      </c>
      <c r="O1030" t="s">
        <v>2233</v>
      </c>
      <c r="P1030" t="s">
        <v>68</v>
      </c>
      <c r="Q1030">
        <v>46.9</v>
      </c>
      <c r="R1030">
        <v>3</v>
      </c>
      <c r="S1030" t="s">
        <v>130</v>
      </c>
    </row>
    <row r="1031" spans="1:19" x14ac:dyDescent="0.35">
      <c r="A1031">
        <v>4580</v>
      </c>
      <c r="B1031" t="str">
        <f>"004580"</f>
        <v>004580</v>
      </c>
      <c r="C1031" t="s">
        <v>4125</v>
      </c>
      <c r="D1031" t="s">
        <v>3394</v>
      </c>
      <c r="E1031" t="s">
        <v>3395</v>
      </c>
      <c r="F1031" t="s">
        <v>3396</v>
      </c>
      <c r="G1031" t="s">
        <v>312</v>
      </c>
      <c r="H1031" t="s">
        <v>4126</v>
      </c>
      <c r="I1031" t="s">
        <v>4127</v>
      </c>
      <c r="J1031" t="s">
        <v>359</v>
      </c>
      <c r="K1031" t="s">
        <v>55</v>
      </c>
      <c r="L1031" t="s">
        <v>360</v>
      </c>
      <c r="M1031" t="s">
        <v>57</v>
      </c>
      <c r="N1031" t="str">
        <f>"048447"</f>
        <v>048447</v>
      </c>
      <c r="O1031" t="s">
        <v>356</v>
      </c>
      <c r="P1031" t="s">
        <v>68</v>
      </c>
      <c r="Q1031">
        <v>47.4</v>
      </c>
      <c r="R1031">
        <v>9.5</v>
      </c>
      <c r="S1031" t="s">
        <v>156</v>
      </c>
    </row>
    <row r="1032" spans="1:19" x14ac:dyDescent="0.35">
      <c r="A1032">
        <v>4598</v>
      </c>
      <c r="B1032" t="str">
        <f>"004598"</f>
        <v>004598</v>
      </c>
      <c r="C1032" t="s">
        <v>4128</v>
      </c>
      <c r="D1032" t="s">
        <v>3394</v>
      </c>
      <c r="E1032" t="s">
        <v>3395</v>
      </c>
      <c r="F1032" t="s">
        <v>3396</v>
      </c>
      <c r="G1032" t="s">
        <v>63</v>
      </c>
      <c r="H1032" t="s">
        <v>4129</v>
      </c>
      <c r="I1032" t="s">
        <v>4130</v>
      </c>
      <c r="J1032" t="s">
        <v>1844</v>
      </c>
      <c r="K1032" t="s">
        <v>55</v>
      </c>
      <c r="L1032" t="s">
        <v>1237</v>
      </c>
      <c r="M1032" t="s">
        <v>57</v>
      </c>
      <c r="N1032" t="str">
        <f>"043901"</f>
        <v>043901</v>
      </c>
      <c r="O1032" t="s">
        <v>3351</v>
      </c>
      <c r="P1032" t="s">
        <v>68</v>
      </c>
      <c r="Q1032">
        <v>100</v>
      </c>
      <c r="R1032">
        <v>100</v>
      </c>
      <c r="S1032" t="s">
        <v>69</v>
      </c>
    </row>
    <row r="1033" spans="1:19" x14ac:dyDescent="0.35">
      <c r="A1033">
        <v>4614</v>
      </c>
      <c r="B1033" t="str">
        <f>"004614"</f>
        <v>004614</v>
      </c>
      <c r="C1033" t="s">
        <v>4131</v>
      </c>
      <c r="D1033" t="s">
        <v>3400</v>
      </c>
      <c r="E1033" t="s">
        <v>3395</v>
      </c>
      <c r="F1033" t="s">
        <v>3396</v>
      </c>
      <c r="G1033" t="s">
        <v>1679</v>
      </c>
      <c r="H1033" t="s">
        <v>4132</v>
      </c>
      <c r="I1033" t="s">
        <v>4133</v>
      </c>
      <c r="J1033" t="s">
        <v>1157</v>
      </c>
      <c r="K1033" t="s">
        <v>55</v>
      </c>
      <c r="L1033" t="s">
        <v>1158</v>
      </c>
      <c r="M1033" t="s">
        <v>57</v>
      </c>
      <c r="N1033" t="str">
        <f>"043695"</f>
        <v>043695</v>
      </c>
      <c r="O1033" t="s">
        <v>1824</v>
      </c>
      <c r="P1033" t="s">
        <v>68</v>
      </c>
      <c r="Q1033">
        <v>54.9</v>
      </c>
      <c r="R1033">
        <v>6.2000000000000028</v>
      </c>
      <c r="S1033" t="s">
        <v>130</v>
      </c>
    </row>
    <row r="1034" spans="1:19" x14ac:dyDescent="0.35">
      <c r="A1034">
        <v>4622</v>
      </c>
      <c r="B1034" t="str">
        <f>"004622"</f>
        <v>004622</v>
      </c>
      <c r="C1034" t="s">
        <v>4134</v>
      </c>
      <c r="D1034" t="s">
        <v>3398</v>
      </c>
      <c r="E1034" t="s">
        <v>3395</v>
      </c>
      <c r="F1034" t="s">
        <v>3396</v>
      </c>
      <c r="G1034" t="s">
        <v>1679</v>
      </c>
      <c r="H1034" t="s">
        <v>4135</v>
      </c>
      <c r="I1034" t="s">
        <v>4136</v>
      </c>
      <c r="J1034" t="s">
        <v>1157</v>
      </c>
      <c r="K1034" t="s">
        <v>55</v>
      </c>
      <c r="L1034" t="s">
        <v>1158</v>
      </c>
      <c r="M1034" t="s">
        <v>57</v>
      </c>
      <c r="N1034" t="str">
        <f>"043695"</f>
        <v>043695</v>
      </c>
      <c r="O1034" t="s">
        <v>1824</v>
      </c>
      <c r="P1034" t="s">
        <v>68</v>
      </c>
      <c r="Q1034">
        <v>44.9</v>
      </c>
      <c r="R1034">
        <v>9.0999999999999943</v>
      </c>
      <c r="S1034" t="s">
        <v>130</v>
      </c>
    </row>
    <row r="1035" spans="1:19" x14ac:dyDescent="0.35">
      <c r="A1035">
        <v>4630</v>
      </c>
      <c r="B1035" t="str">
        <f>"004630"</f>
        <v>004630</v>
      </c>
      <c r="C1035" t="s">
        <v>4137</v>
      </c>
      <c r="D1035" t="s">
        <v>3394</v>
      </c>
      <c r="E1035" t="s">
        <v>3395</v>
      </c>
      <c r="F1035" t="s">
        <v>3396</v>
      </c>
      <c r="G1035" t="s">
        <v>362</v>
      </c>
      <c r="H1035" t="s">
        <v>4138</v>
      </c>
      <c r="I1035" t="s">
        <v>4139</v>
      </c>
      <c r="J1035" t="s">
        <v>365</v>
      </c>
      <c r="K1035" t="s">
        <v>55</v>
      </c>
      <c r="L1035" t="s">
        <v>366</v>
      </c>
      <c r="M1035" t="s">
        <v>57</v>
      </c>
      <c r="N1035" t="str">
        <f>"049288"</f>
        <v>049288</v>
      </c>
      <c r="O1035" t="s">
        <v>361</v>
      </c>
      <c r="P1035" t="s">
        <v>68</v>
      </c>
      <c r="Q1035">
        <v>32</v>
      </c>
      <c r="R1035">
        <v>4.7999999999999972</v>
      </c>
      <c r="S1035" t="s">
        <v>180</v>
      </c>
    </row>
    <row r="1036" spans="1:19" x14ac:dyDescent="0.35">
      <c r="A1036">
        <v>4697</v>
      </c>
      <c r="B1036" t="str">
        <f>"004697"</f>
        <v>004697</v>
      </c>
      <c r="C1036" t="s">
        <v>4140</v>
      </c>
      <c r="D1036" t="s">
        <v>3394</v>
      </c>
      <c r="E1036" t="s">
        <v>3395</v>
      </c>
      <c r="F1036" t="s">
        <v>3396</v>
      </c>
      <c r="G1036" t="s">
        <v>383</v>
      </c>
      <c r="H1036" t="s">
        <v>4141</v>
      </c>
      <c r="I1036" t="s">
        <v>4142</v>
      </c>
      <c r="J1036" t="s">
        <v>1069</v>
      </c>
      <c r="K1036" t="s">
        <v>55</v>
      </c>
      <c r="L1036" t="s">
        <v>1070</v>
      </c>
      <c r="M1036" t="s">
        <v>57</v>
      </c>
      <c r="N1036" t="str">
        <f>"048314"</f>
        <v>048314</v>
      </c>
      <c r="O1036" t="s">
        <v>1138</v>
      </c>
      <c r="P1036" t="s">
        <v>68</v>
      </c>
      <c r="Q1036">
        <v>11.3</v>
      </c>
      <c r="R1036">
        <v>13.700000000000003</v>
      </c>
      <c r="S1036" t="s">
        <v>77</v>
      </c>
    </row>
    <row r="1037" spans="1:19" x14ac:dyDescent="0.35">
      <c r="A1037">
        <v>4713</v>
      </c>
      <c r="B1037" t="str">
        <f>"004713"</f>
        <v>004713</v>
      </c>
      <c r="C1037" t="s">
        <v>4143</v>
      </c>
      <c r="D1037" t="s">
        <v>3400</v>
      </c>
      <c r="E1037" t="s">
        <v>3395</v>
      </c>
      <c r="F1037" t="s">
        <v>3396</v>
      </c>
      <c r="G1037" t="s">
        <v>1335</v>
      </c>
      <c r="H1037" t="s">
        <v>4144</v>
      </c>
      <c r="I1037" t="s">
        <v>4145</v>
      </c>
      <c r="J1037" t="s">
        <v>1640</v>
      </c>
      <c r="K1037" t="s">
        <v>55</v>
      </c>
      <c r="L1037" t="s">
        <v>1641</v>
      </c>
      <c r="M1037" t="s">
        <v>57</v>
      </c>
      <c r="N1037" t="str">
        <f>"044149"</f>
        <v>044149</v>
      </c>
      <c r="O1037" t="s">
        <v>1637</v>
      </c>
      <c r="P1037" t="s">
        <v>68</v>
      </c>
      <c r="Q1037">
        <v>100</v>
      </c>
      <c r="R1037">
        <v>11</v>
      </c>
      <c r="S1037" t="s">
        <v>130</v>
      </c>
    </row>
    <row r="1038" spans="1:19" x14ac:dyDescent="0.35">
      <c r="A1038">
        <v>4739</v>
      </c>
      <c r="B1038" t="str">
        <f>"004739"</f>
        <v>004739</v>
      </c>
      <c r="C1038" t="s">
        <v>4146</v>
      </c>
      <c r="D1038" t="s">
        <v>3394</v>
      </c>
      <c r="E1038" t="s">
        <v>3395</v>
      </c>
      <c r="F1038" t="s">
        <v>3396</v>
      </c>
      <c r="G1038" t="s">
        <v>295</v>
      </c>
      <c r="H1038" t="s">
        <v>4147</v>
      </c>
      <c r="I1038" t="s">
        <v>4148</v>
      </c>
      <c r="J1038" t="s">
        <v>3209</v>
      </c>
      <c r="K1038" t="s">
        <v>55</v>
      </c>
      <c r="L1038" t="s">
        <v>3210</v>
      </c>
      <c r="M1038" t="s">
        <v>57</v>
      </c>
      <c r="N1038" t="str">
        <f>"049239"</f>
        <v>049239</v>
      </c>
      <c r="O1038" t="s">
        <v>3206</v>
      </c>
      <c r="P1038" t="s">
        <v>68</v>
      </c>
      <c r="Q1038">
        <v>37.700000000000003</v>
      </c>
      <c r="R1038">
        <v>32.799999999999997</v>
      </c>
      <c r="S1038" t="s">
        <v>77</v>
      </c>
    </row>
    <row r="1039" spans="1:19" x14ac:dyDescent="0.35">
      <c r="A1039">
        <v>4747</v>
      </c>
      <c r="B1039" t="str">
        <f>"004747"</f>
        <v>004747</v>
      </c>
      <c r="C1039" t="s">
        <v>4149</v>
      </c>
      <c r="D1039" t="s">
        <v>3506</v>
      </c>
      <c r="E1039" t="s">
        <v>3395</v>
      </c>
      <c r="F1039" t="s">
        <v>3396</v>
      </c>
      <c r="G1039" t="s">
        <v>657</v>
      </c>
      <c r="H1039" t="s">
        <v>4150</v>
      </c>
      <c r="I1039" t="s">
        <v>4151</v>
      </c>
      <c r="J1039" t="s">
        <v>1753</v>
      </c>
      <c r="K1039" t="s">
        <v>55</v>
      </c>
      <c r="L1039" t="s">
        <v>1754</v>
      </c>
      <c r="M1039" t="s">
        <v>57</v>
      </c>
      <c r="N1039" t="str">
        <f>"048264"</f>
        <v>048264</v>
      </c>
      <c r="O1039" t="s">
        <v>3014</v>
      </c>
      <c r="P1039" t="s">
        <v>68</v>
      </c>
      <c r="Q1039">
        <v>28.7</v>
      </c>
      <c r="R1039">
        <v>16.799999999999997</v>
      </c>
      <c r="S1039" t="s">
        <v>60</v>
      </c>
    </row>
    <row r="1040" spans="1:19" x14ac:dyDescent="0.35">
      <c r="A1040">
        <v>4754</v>
      </c>
      <c r="B1040" t="str">
        <f>"004754"</f>
        <v>004754</v>
      </c>
      <c r="C1040" t="s">
        <v>4152</v>
      </c>
      <c r="D1040" t="s">
        <v>3394</v>
      </c>
      <c r="E1040" t="s">
        <v>3395</v>
      </c>
      <c r="F1040" t="s">
        <v>3396</v>
      </c>
      <c r="G1040" t="s">
        <v>117</v>
      </c>
      <c r="H1040" t="s">
        <v>4153</v>
      </c>
      <c r="I1040" t="s">
        <v>4154</v>
      </c>
      <c r="J1040" t="s">
        <v>1806</v>
      </c>
      <c r="K1040" t="s">
        <v>55</v>
      </c>
      <c r="L1040" t="s">
        <v>1807</v>
      </c>
      <c r="M1040" t="s">
        <v>57</v>
      </c>
      <c r="N1040" t="str">
        <f>"049908"</f>
        <v>049908</v>
      </c>
      <c r="O1040" t="s">
        <v>1419</v>
      </c>
      <c r="P1040" t="s">
        <v>68</v>
      </c>
      <c r="Q1040">
        <v>29.2</v>
      </c>
      <c r="R1040">
        <v>7.4000000000000057</v>
      </c>
      <c r="S1040" t="s">
        <v>77</v>
      </c>
    </row>
    <row r="1041" spans="1:19" x14ac:dyDescent="0.35">
      <c r="A1041">
        <v>4770</v>
      </c>
      <c r="B1041" t="str">
        <f>"004770"</f>
        <v>004770</v>
      </c>
      <c r="C1041" t="s">
        <v>4155</v>
      </c>
      <c r="D1041" t="s">
        <v>3398</v>
      </c>
      <c r="E1041" t="s">
        <v>3395</v>
      </c>
      <c r="F1041" t="s">
        <v>3396</v>
      </c>
      <c r="G1041" t="s">
        <v>600</v>
      </c>
      <c r="H1041" t="s">
        <v>4156</v>
      </c>
      <c r="I1041" t="s">
        <v>4157</v>
      </c>
      <c r="J1041" t="s">
        <v>2643</v>
      </c>
      <c r="K1041" t="s">
        <v>55</v>
      </c>
      <c r="L1041" t="s">
        <v>2644</v>
      </c>
      <c r="M1041" t="s">
        <v>57</v>
      </c>
      <c r="N1041" t="str">
        <f>"046946"</f>
        <v>046946</v>
      </c>
      <c r="O1041" t="s">
        <v>2640</v>
      </c>
      <c r="P1041" t="s">
        <v>68</v>
      </c>
      <c r="Q1041">
        <v>32.799999999999997</v>
      </c>
      <c r="R1041">
        <v>43.2</v>
      </c>
      <c r="S1041" t="s">
        <v>60</v>
      </c>
    </row>
    <row r="1042" spans="1:19" x14ac:dyDescent="0.35">
      <c r="A1042">
        <v>4796</v>
      </c>
      <c r="B1042" t="str">
        <f>"004796"</f>
        <v>004796</v>
      </c>
      <c r="C1042" t="s">
        <v>4158</v>
      </c>
      <c r="D1042" t="s">
        <v>3398</v>
      </c>
      <c r="E1042" t="s">
        <v>3395</v>
      </c>
      <c r="F1042" t="s">
        <v>3396</v>
      </c>
      <c r="G1042" t="s">
        <v>383</v>
      </c>
      <c r="H1042" t="s">
        <v>4159</v>
      </c>
      <c r="I1042" t="s">
        <v>4160</v>
      </c>
      <c r="J1042" t="s">
        <v>1069</v>
      </c>
      <c r="K1042" t="s">
        <v>55</v>
      </c>
      <c r="L1042" t="s">
        <v>1070</v>
      </c>
      <c r="M1042" t="s">
        <v>57</v>
      </c>
      <c r="N1042" t="str">
        <f>"048314"</f>
        <v>048314</v>
      </c>
      <c r="O1042" t="s">
        <v>1138</v>
      </c>
      <c r="P1042" t="s">
        <v>68</v>
      </c>
      <c r="Q1042">
        <v>8</v>
      </c>
      <c r="R1042">
        <v>11.599999999999994</v>
      </c>
      <c r="S1042" t="s">
        <v>77</v>
      </c>
    </row>
    <row r="1043" spans="1:19" x14ac:dyDescent="0.35">
      <c r="A1043">
        <v>4804</v>
      </c>
      <c r="B1043" t="str">
        <f>"004804"</f>
        <v>004804</v>
      </c>
      <c r="C1043" t="s">
        <v>4161</v>
      </c>
      <c r="D1043" t="s">
        <v>3394</v>
      </c>
      <c r="E1043" t="s">
        <v>3395</v>
      </c>
      <c r="F1043" t="s">
        <v>3396</v>
      </c>
      <c r="G1043" t="s">
        <v>63</v>
      </c>
      <c r="H1043" t="s">
        <v>4162</v>
      </c>
      <c r="I1043" t="s">
        <v>4163</v>
      </c>
      <c r="J1043" t="s">
        <v>1844</v>
      </c>
      <c r="K1043" t="s">
        <v>55</v>
      </c>
      <c r="L1043" t="s">
        <v>1636</v>
      </c>
      <c r="M1043" t="s">
        <v>57</v>
      </c>
      <c r="N1043" t="str">
        <f>"043794"</f>
        <v>043794</v>
      </c>
      <c r="O1043" t="s">
        <v>1912</v>
      </c>
      <c r="P1043" t="s">
        <v>68</v>
      </c>
      <c r="Q1043">
        <v>100</v>
      </c>
      <c r="R1043">
        <v>72.2</v>
      </c>
      <c r="S1043" t="s">
        <v>69</v>
      </c>
    </row>
    <row r="1044" spans="1:19" x14ac:dyDescent="0.35">
      <c r="A1044">
        <v>4812</v>
      </c>
      <c r="B1044" t="str">
        <f>"004812"</f>
        <v>004812</v>
      </c>
      <c r="C1044" t="s">
        <v>4164</v>
      </c>
      <c r="D1044" t="s">
        <v>3398</v>
      </c>
      <c r="E1044" t="s">
        <v>3395</v>
      </c>
      <c r="F1044" t="s">
        <v>3396</v>
      </c>
      <c r="G1044" t="s">
        <v>117</v>
      </c>
      <c r="H1044" t="s">
        <v>1984</v>
      </c>
      <c r="I1044" t="s">
        <v>1985</v>
      </c>
      <c r="J1044" t="s">
        <v>1409</v>
      </c>
      <c r="K1044" t="s">
        <v>55</v>
      </c>
      <c r="L1044" t="s">
        <v>1986</v>
      </c>
      <c r="M1044" t="s">
        <v>57</v>
      </c>
      <c r="N1044" t="str">
        <f>"049833"</f>
        <v>049833</v>
      </c>
      <c r="O1044" t="s">
        <v>1983</v>
      </c>
      <c r="P1044" t="s">
        <v>68</v>
      </c>
      <c r="Q1044">
        <v>46.7</v>
      </c>
      <c r="R1044">
        <v>21</v>
      </c>
      <c r="S1044" t="s">
        <v>77</v>
      </c>
    </row>
    <row r="1045" spans="1:19" x14ac:dyDescent="0.35">
      <c r="A1045">
        <v>4838</v>
      </c>
      <c r="B1045" t="str">
        <f>"004838"</f>
        <v>004838</v>
      </c>
      <c r="C1045" t="s">
        <v>4165</v>
      </c>
      <c r="D1045" t="s">
        <v>3394</v>
      </c>
      <c r="E1045" t="s">
        <v>3395</v>
      </c>
      <c r="F1045" t="s">
        <v>3396</v>
      </c>
      <c r="G1045" t="s">
        <v>536</v>
      </c>
      <c r="H1045" t="s">
        <v>4166</v>
      </c>
      <c r="I1045" t="s">
        <v>4167</v>
      </c>
      <c r="J1045" t="s">
        <v>2698</v>
      </c>
      <c r="K1045" t="s">
        <v>55</v>
      </c>
      <c r="L1045" t="s">
        <v>2699</v>
      </c>
      <c r="M1045" t="s">
        <v>57</v>
      </c>
      <c r="N1045" t="str">
        <f>"043927"</f>
        <v>043927</v>
      </c>
      <c r="O1045" t="s">
        <v>2695</v>
      </c>
      <c r="P1045" t="s">
        <v>68</v>
      </c>
      <c r="Q1045">
        <v>46.5</v>
      </c>
      <c r="R1045">
        <v>7.5999999999999943</v>
      </c>
      <c r="S1045" t="s">
        <v>77</v>
      </c>
    </row>
    <row r="1046" spans="1:19" x14ac:dyDescent="0.35">
      <c r="A1046">
        <v>4846</v>
      </c>
      <c r="B1046" t="str">
        <f>"004846"</f>
        <v>004846</v>
      </c>
      <c r="C1046" t="s">
        <v>4168</v>
      </c>
      <c r="D1046" t="s">
        <v>3400</v>
      </c>
      <c r="E1046" t="s">
        <v>3395</v>
      </c>
      <c r="F1046" t="s">
        <v>3396</v>
      </c>
      <c r="G1046" t="s">
        <v>511</v>
      </c>
      <c r="H1046" t="s">
        <v>4169</v>
      </c>
      <c r="I1046" t="s">
        <v>4170</v>
      </c>
      <c r="J1046" t="s">
        <v>514</v>
      </c>
      <c r="K1046" t="s">
        <v>55</v>
      </c>
      <c r="L1046" t="s">
        <v>515</v>
      </c>
      <c r="M1046" t="s">
        <v>57</v>
      </c>
      <c r="N1046" t="str">
        <f>"047175"</f>
        <v>047175</v>
      </c>
      <c r="O1046" t="s">
        <v>510</v>
      </c>
      <c r="P1046" t="s">
        <v>68</v>
      </c>
      <c r="Q1046">
        <v>34.6</v>
      </c>
      <c r="R1046">
        <v>3.7999999999999972</v>
      </c>
      <c r="S1046" t="s">
        <v>69</v>
      </c>
    </row>
    <row r="1047" spans="1:19" x14ac:dyDescent="0.35">
      <c r="A1047">
        <v>4853</v>
      </c>
      <c r="B1047" t="str">
        <f>"004853"</f>
        <v>004853</v>
      </c>
      <c r="C1047" t="s">
        <v>4171</v>
      </c>
      <c r="D1047" t="s">
        <v>3398</v>
      </c>
      <c r="E1047" t="s">
        <v>3395</v>
      </c>
      <c r="F1047" t="s">
        <v>3396</v>
      </c>
      <c r="G1047" t="s">
        <v>511</v>
      </c>
      <c r="H1047" t="s">
        <v>4172</v>
      </c>
      <c r="I1047" t="s">
        <v>4173</v>
      </c>
      <c r="J1047" t="s">
        <v>514</v>
      </c>
      <c r="K1047" t="s">
        <v>55</v>
      </c>
      <c r="L1047" t="s">
        <v>515</v>
      </c>
      <c r="M1047" t="s">
        <v>57</v>
      </c>
      <c r="N1047" t="str">
        <f>"047175"</f>
        <v>047175</v>
      </c>
      <c r="O1047" t="s">
        <v>510</v>
      </c>
      <c r="P1047" t="s">
        <v>68</v>
      </c>
      <c r="Q1047">
        <v>25.6</v>
      </c>
      <c r="R1047">
        <v>4.7000000000000028</v>
      </c>
      <c r="S1047" t="s">
        <v>69</v>
      </c>
    </row>
    <row r="1048" spans="1:19" x14ac:dyDescent="0.35">
      <c r="A1048">
        <v>4861</v>
      </c>
      <c r="B1048" t="str">
        <f>"004861"</f>
        <v>004861</v>
      </c>
      <c r="C1048" t="s">
        <v>4174</v>
      </c>
      <c r="D1048" t="s">
        <v>3398</v>
      </c>
      <c r="E1048" t="s">
        <v>3395</v>
      </c>
      <c r="F1048" t="s">
        <v>3396</v>
      </c>
      <c r="G1048" t="s">
        <v>1359</v>
      </c>
      <c r="H1048" t="s">
        <v>4175</v>
      </c>
      <c r="I1048" t="s">
        <v>4176</v>
      </c>
      <c r="J1048" t="s">
        <v>1362</v>
      </c>
      <c r="K1048" t="s">
        <v>55</v>
      </c>
      <c r="L1048" t="s">
        <v>1363</v>
      </c>
      <c r="M1048" t="s">
        <v>57</v>
      </c>
      <c r="N1048" t="str">
        <f>"048793"</f>
        <v>048793</v>
      </c>
      <c r="O1048" t="s">
        <v>1358</v>
      </c>
      <c r="P1048" t="s">
        <v>68</v>
      </c>
      <c r="Q1048">
        <v>37.299999999999997</v>
      </c>
      <c r="R1048">
        <v>6.5999999999999943</v>
      </c>
      <c r="S1048" t="s">
        <v>60</v>
      </c>
    </row>
    <row r="1049" spans="1:19" x14ac:dyDescent="0.35">
      <c r="A1049">
        <v>4879</v>
      </c>
      <c r="B1049" t="str">
        <f>"004879"</f>
        <v>004879</v>
      </c>
      <c r="C1049" t="s">
        <v>4177</v>
      </c>
      <c r="D1049" t="s">
        <v>3394</v>
      </c>
      <c r="E1049" t="s">
        <v>3395</v>
      </c>
      <c r="F1049" t="s">
        <v>3396</v>
      </c>
      <c r="G1049" t="s">
        <v>1359</v>
      </c>
      <c r="H1049" t="s">
        <v>1360</v>
      </c>
      <c r="I1049" t="s">
        <v>1361</v>
      </c>
      <c r="J1049" t="s">
        <v>1362</v>
      </c>
      <c r="K1049" t="s">
        <v>55</v>
      </c>
      <c r="L1049" t="s">
        <v>1363</v>
      </c>
      <c r="M1049" t="s">
        <v>57</v>
      </c>
      <c r="N1049" t="str">
        <f>"048793"</f>
        <v>048793</v>
      </c>
      <c r="O1049" t="s">
        <v>1358</v>
      </c>
      <c r="P1049" t="s">
        <v>68</v>
      </c>
      <c r="Q1049">
        <v>46.7</v>
      </c>
      <c r="R1049">
        <v>8.2999999999999972</v>
      </c>
      <c r="S1049" t="s">
        <v>60</v>
      </c>
    </row>
    <row r="1050" spans="1:19" x14ac:dyDescent="0.35">
      <c r="A1050">
        <v>4887</v>
      </c>
      <c r="B1050" t="str">
        <f>"004887"</f>
        <v>004887</v>
      </c>
      <c r="C1050" t="s">
        <v>4178</v>
      </c>
      <c r="D1050" t="s">
        <v>3398</v>
      </c>
      <c r="E1050" t="s">
        <v>3395</v>
      </c>
      <c r="F1050" t="s">
        <v>3396</v>
      </c>
      <c r="G1050" t="s">
        <v>1702</v>
      </c>
      <c r="H1050" t="s">
        <v>2716</v>
      </c>
      <c r="I1050" t="s">
        <v>2717</v>
      </c>
      <c r="J1050" t="s">
        <v>2718</v>
      </c>
      <c r="K1050" t="s">
        <v>55</v>
      </c>
      <c r="L1050" t="s">
        <v>2719</v>
      </c>
      <c r="M1050" t="s">
        <v>57</v>
      </c>
      <c r="N1050" t="str">
        <f>"045260"</f>
        <v>045260</v>
      </c>
      <c r="O1050" t="s">
        <v>2715</v>
      </c>
      <c r="P1050" t="s">
        <v>68</v>
      </c>
      <c r="Q1050">
        <v>22.2</v>
      </c>
      <c r="R1050">
        <v>7</v>
      </c>
      <c r="S1050" t="s">
        <v>156</v>
      </c>
    </row>
    <row r="1051" spans="1:19" x14ac:dyDescent="0.35">
      <c r="A1051">
        <v>4911</v>
      </c>
      <c r="B1051" t="str">
        <f>"004911"</f>
        <v>004911</v>
      </c>
      <c r="C1051" t="s">
        <v>4179</v>
      </c>
      <c r="D1051" t="s">
        <v>3398</v>
      </c>
      <c r="E1051" t="s">
        <v>3395</v>
      </c>
      <c r="F1051" t="s">
        <v>3396</v>
      </c>
      <c r="G1051" t="s">
        <v>172</v>
      </c>
      <c r="H1051" t="s">
        <v>4180</v>
      </c>
      <c r="I1051" t="s">
        <v>4181</v>
      </c>
      <c r="J1051" t="s">
        <v>938</v>
      </c>
      <c r="K1051" t="s">
        <v>55</v>
      </c>
      <c r="L1051" t="s">
        <v>939</v>
      </c>
      <c r="M1051" t="s">
        <v>57</v>
      </c>
      <c r="N1051" t="str">
        <f>"050419"</f>
        <v>050419</v>
      </c>
      <c r="O1051" t="s">
        <v>935</v>
      </c>
      <c r="P1051" t="s">
        <v>68</v>
      </c>
      <c r="Q1051">
        <v>28</v>
      </c>
      <c r="R1051">
        <v>7.7000000000000028</v>
      </c>
      <c r="S1051" t="s">
        <v>217</v>
      </c>
    </row>
    <row r="1052" spans="1:19" x14ac:dyDescent="0.35">
      <c r="A1052">
        <v>4929</v>
      </c>
      <c r="B1052" t="str">
        <f>"004929"</f>
        <v>004929</v>
      </c>
      <c r="C1052" t="s">
        <v>4182</v>
      </c>
      <c r="D1052" t="s">
        <v>3394</v>
      </c>
      <c r="E1052" t="s">
        <v>3395</v>
      </c>
      <c r="F1052" t="s">
        <v>3396</v>
      </c>
      <c r="G1052" t="s">
        <v>172</v>
      </c>
      <c r="H1052" t="s">
        <v>4183</v>
      </c>
      <c r="I1052" t="s">
        <v>4184</v>
      </c>
      <c r="J1052" t="s">
        <v>938</v>
      </c>
      <c r="K1052" t="s">
        <v>55</v>
      </c>
      <c r="L1052" t="s">
        <v>939</v>
      </c>
      <c r="M1052" t="s">
        <v>57</v>
      </c>
      <c r="N1052" t="str">
        <f>"050419"</f>
        <v>050419</v>
      </c>
      <c r="O1052" t="s">
        <v>935</v>
      </c>
      <c r="P1052" t="s">
        <v>68</v>
      </c>
      <c r="Q1052">
        <v>36.1</v>
      </c>
      <c r="R1052">
        <v>7.7999999999999972</v>
      </c>
      <c r="S1052" t="s">
        <v>217</v>
      </c>
    </row>
    <row r="1053" spans="1:19" x14ac:dyDescent="0.35">
      <c r="A1053">
        <v>4937</v>
      </c>
      <c r="B1053" t="str">
        <f>"004937"</f>
        <v>004937</v>
      </c>
      <c r="C1053" t="s">
        <v>4185</v>
      </c>
      <c r="D1053" t="s">
        <v>3394</v>
      </c>
      <c r="E1053" t="s">
        <v>3395</v>
      </c>
      <c r="F1053" t="s">
        <v>3396</v>
      </c>
      <c r="G1053" t="s">
        <v>172</v>
      </c>
      <c r="H1053" t="s">
        <v>4183</v>
      </c>
      <c r="I1053" t="s">
        <v>4184</v>
      </c>
      <c r="J1053" t="s">
        <v>938</v>
      </c>
      <c r="K1053" t="s">
        <v>55</v>
      </c>
      <c r="L1053" t="s">
        <v>939</v>
      </c>
      <c r="M1053" t="s">
        <v>57</v>
      </c>
      <c r="N1053" t="str">
        <f>"050419"</f>
        <v>050419</v>
      </c>
      <c r="O1053" t="s">
        <v>935</v>
      </c>
      <c r="P1053" t="s">
        <v>68</v>
      </c>
      <c r="Q1053">
        <v>41.7</v>
      </c>
      <c r="R1053">
        <v>6.7000000000000028</v>
      </c>
      <c r="S1053" t="s">
        <v>217</v>
      </c>
    </row>
    <row r="1054" spans="1:19" x14ac:dyDescent="0.35">
      <c r="A1054">
        <v>4952</v>
      </c>
      <c r="B1054" t="str">
        <f>"004952"</f>
        <v>004952</v>
      </c>
      <c r="C1054" t="s">
        <v>4186</v>
      </c>
      <c r="D1054" t="s">
        <v>3394</v>
      </c>
      <c r="E1054" t="s">
        <v>3395</v>
      </c>
      <c r="F1054" t="s">
        <v>3396</v>
      </c>
      <c r="G1054" t="s">
        <v>543</v>
      </c>
      <c r="H1054" t="s">
        <v>4187</v>
      </c>
      <c r="I1054" t="s">
        <v>4188</v>
      </c>
      <c r="J1054" t="s">
        <v>687</v>
      </c>
      <c r="K1054" t="s">
        <v>55</v>
      </c>
      <c r="L1054" t="s">
        <v>4189</v>
      </c>
      <c r="M1054" t="s">
        <v>57</v>
      </c>
      <c r="N1054" t="str">
        <f>"043844"</f>
        <v>043844</v>
      </c>
      <c r="O1054" t="s">
        <v>985</v>
      </c>
      <c r="P1054" t="s">
        <v>68</v>
      </c>
      <c r="Q1054">
        <v>97.5</v>
      </c>
      <c r="R1054">
        <v>95.2</v>
      </c>
      <c r="S1054" t="s">
        <v>180</v>
      </c>
    </row>
    <row r="1055" spans="1:19" x14ac:dyDescent="0.35">
      <c r="A1055">
        <v>4994</v>
      </c>
      <c r="B1055" t="str">
        <f>"004994"</f>
        <v>004994</v>
      </c>
      <c r="C1055" t="s">
        <v>4190</v>
      </c>
      <c r="D1055" t="s">
        <v>3398</v>
      </c>
      <c r="E1055" t="s">
        <v>3395</v>
      </c>
      <c r="F1055" t="s">
        <v>3396</v>
      </c>
      <c r="G1055" t="s">
        <v>92</v>
      </c>
      <c r="H1055" t="s">
        <v>4191</v>
      </c>
      <c r="I1055" t="s">
        <v>4192</v>
      </c>
      <c r="J1055" t="s">
        <v>104</v>
      </c>
      <c r="K1055" t="s">
        <v>55</v>
      </c>
      <c r="L1055" t="s">
        <v>1564</v>
      </c>
      <c r="M1055" t="s">
        <v>57</v>
      </c>
      <c r="N1055" t="str">
        <f>"046862"</f>
        <v>046862</v>
      </c>
      <c r="O1055" t="s">
        <v>1561</v>
      </c>
      <c r="P1055" t="s">
        <v>68</v>
      </c>
      <c r="Q1055">
        <v>14.8</v>
      </c>
      <c r="R1055">
        <v>10.200000000000003</v>
      </c>
      <c r="S1055" t="s">
        <v>60</v>
      </c>
    </row>
    <row r="1056" spans="1:19" x14ac:dyDescent="0.35">
      <c r="A1056">
        <v>5017</v>
      </c>
      <c r="B1056" t="str">
        <f>"005017"</f>
        <v>005017</v>
      </c>
      <c r="C1056" t="s">
        <v>4193</v>
      </c>
      <c r="D1056" t="s">
        <v>3398</v>
      </c>
      <c r="E1056" t="s">
        <v>3395</v>
      </c>
      <c r="F1056" t="s">
        <v>3396</v>
      </c>
      <c r="G1056" t="s">
        <v>104</v>
      </c>
      <c r="H1056" t="s">
        <v>4194</v>
      </c>
      <c r="I1056" t="s">
        <v>4195</v>
      </c>
      <c r="J1056" t="s">
        <v>107</v>
      </c>
      <c r="K1056" t="s">
        <v>55</v>
      </c>
      <c r="L1056" t="s">
        <v>108</v>
      </c>
      <c r="M1056" t="s">
        <v>57</v>
      </c>
      <c r="N1056" t="str">
        <f>"045278"</f>
        <v>045278</v>
      </c>
      <c r="O1056" t="s">
        <v>103</v>
      </c>
      <c r="P1056" t="s">
        <v>68</v>
      </c>
      <c r="Q1056">
        <v>40.700000000000003</v>
      </c>
      <c r="R1056">
        <v>6.4000000000000057</v>
      </c>
      <c r="S1056" t="s">
        <v>77</v>
      </c>
    </row>
    <row r="1057" spans="1:19" x14ac:dyDescent="0.35">
      <c r="A1057">
        <v>5025</v>
      </c>
      <c r="B1057" t="str">
        <f>"005025"</f>
        <v>005025</v>
      </c>
      <c r="C1057" t="s">
        <v>4196</v>
      </c>
      <c r="D1057" t="s">
        <v>3394</v>
      </c>
      <c r="E1057" t="s">
        <v>3395</v>
      </c>
      <c r="F1057" t="s">
        <v>3396</v>
      </c>
      <c r="G1057" t="s">
        <v>212</v>
      </c>
      <c r="H1057" t="s">
        <v>4197</v>
      </c>
      <c r="I1057" t="s">
        <v>4198</v>
      </c>
      <c r="J1057" t="s">
        <v>215</v>
      </c>
      <c r="K1057" t="s">
        <v>55</v>
      </c>
      <c r="L1057" t="s">
        <v>4199</v>
      </c>
      <c r="M1057" t="s">
        <v>57</v>
      </c>
      <c r="N1057" t="str">
        <f>"043752"</f>
        <v>043752</v>
      </c>
      <c r="O1057" t="s">
        <v>440</v>
      </c>
      <c r="P1057" t="s">
        <v>68</v>
      </c>
      <c r="Q1057">
        <v>100</v>
      </c>
      <c r="R1057">
        <v>66.5</v>
      </c>
      <c r="S1057" t="s">
        <v>217</v>
      </c>
    </row>
    <row r="1058" spans="1:19" x14ac:dyDescent="0.35">
      <c r="A1058">
        <v>5041</v>
      </c>
      <c r="B1058" t="str">
        <f>"005041"</f>
        <v>005041</v>
      </c>
      <c r="C1058" t="s">
        <v>4200</v>
      </c>
      <c r="D1058" t="s">
        <v>3394</v>
      </c>
      <c r="E1058" t="s">
        <v>3395</v>
      </c>
      <c r="F1058" t="s">
        <v>3396</v>
      </c>
      <c r="G1058" t="s">
        <v>63</v>
      </c>
      <c r="H1058" t="s">
        <v>4201</v>
      </c>
      <c r="I1058" t="s">
        <v>4202</v>
      </c>
      <c r="J1058" t="s">
        <v>2080</v>
      </c>
      <c r="K1058" t="s">
        <v>55</v>
      </c>
      <c r="L1058" t="s">
        <v>2081</v>
      </c>
      <c r="M1058" t="s">
        <v>57</v>
      </c>
      <c r="N1058" t="str">
        <f>"043562"</f>
        <v>043562</v>
      </c>
      <c r="O1058" t="s">
        <v>2077</v>
      </c>
      <c r="P1058" t="s">
        <v>68</v>
      </c>
      <c r="Q1058">
        <v>69.5</v>
      </c>
      <c r="R1058">
        <v>91.1</v>
      </c>
      <c r="S1058" t="s">
        <v>69</v>
      </c>
    </row>
    <row r="1059" spans="1:19" x14ac:dyDescent="0.35">
      <c r="A1059">
        <v>5074</v>
      </c>
      <c r="B1059" t="str">
        <f>"005074"</f>
        <v>005074</v>
      </c>
      <c r="C1059" t="s">
        <v>4203</v>
      </c>
      <c r="D1059" t="s">
        <v>3394</v>
      </c>
      <c r="E1059" t="s">
        <v>3395</v>
      </c>
      <c r="F1059" t="s">
        <v>3396</v>
      </c>
      <c r="G1059" t="s">
        <v>264</v>
      </c>
      <c r="H1059" t="s">
        <v>4204</v>
      </c>
      <c r="I1059" t="s">
        <v>4205</v>
      </c>
      <c r="J1059" t="s">
        <v>267</v>
      </c>
      <c r="K1059" t="s">
        <v>55</v>
      </c>
      <c r="L1059" t="s">
        <v>4206</v>
      </c>
      <c r="M1059" t="s">
        <v>57</v>
      </c>
      <c r="N1059" t="str">
        <f>"043489"</f>
        <v>043489</v>
      </c>
      <c r="O1059" t="s">
        <v>3176</v>
      </c>
      <c r="P1059" t="s">
        <v>68</v>
      </c>
      <c r="Q1059">
        <v>100</v>
      </c>
      <c r="R1059">
        <v>77.099999999999994</v>
      </c>
      <c r="S1059" t="s">
        <v>77</v>
      </c>
    </row>
    <row r="1060" spans="1:19" x14ac:dyDescent="0.35">
      <c r="A1060">
        <v>5082</v>
      </c>
      <c r="B1060" t="str">
        <f>"005082"</f>
        <v>005082</v>
      </c>
      <c r="C1060" t="s">
        <v>4207</v>
      </c>
      <c r="D1060" t="s">
        <v>3394</v>
      </c>
      <c r="E1060" t="s">
        <v>3395</v>
      </c>
      <c r="F1060" t="s">
        <v>3396</v>
      </c>
      <c r="G1060" t="s">
        <v>600</v>
      </c>
      <c r="H1060" t="s">
        <v>4208</v>
      </c>
      <c r="I1060" t="s">
        <v>4209</v>
      </c>
      <c r="J1060" t="s">
        <v>3160</v>
      </c>
      <c r="K1060" t="s">
        <v>55</v>
      </c>
      <c r="L1060" t="s">
        <v>3161</v>
      </c>
      <c r="M1060" t="s">
        <v>57</v>
      </c>
      <c r="N1060" t="str">
        <f>"043620"</f>
        <v>043620</v>
      </c>
      <c r="O1060" t="s">
        <v>3157</v>
      </c>
      <c r="P1060" t="s">
        <v>68</v>
      </c>
      <c r="Q1060">
        <v>6.1</v>
      </c>
      <c r="R1060">
        <v>12.799999999999997</v>
      </c>
      <c r="S1060" t="s">
        <v>60</v>
      </c>
    </row>
    <row r="1061" spans="1:19" x14ac:dyDescent="0.35">
      <c r="A1061">
        <v>5124</v>
      </c>
      <c r="B1061" t="str">
        <f>"005124"</f>
        <v>005124</v>
      </c>
      <c r="C1061" t="s">
        <v>4210</v>
      </c>
      <c r="D1061" t="s">
        <v>3394</v>
      </c>
      <c r="E1061" t="s">
        <v>3395</v>
      </c>
      <c r="F1061" t="s">
        <v>3396</v>
      </c>
      <c r="G1061" t="s">
        <v>117</v>
      </c>
      <c r="H1061" t="s">
        <v>4211</v>
      </c>
      <c r="I1061" t="s">
        <v>4212</v>
      </c>
      <c r="J1061" t="s">
        <v>1409</v>
      </c>
      <c r="K1061" t="s">
        <v>55</v>
      </c>
      <c r="L1061" t="s">
        <v>4213</v>
      </c>
      <c r="M1061" t="s">
        <v>57</v>
      </c>
      <c r="N1061" t="str">
        <f>"043711"</f>
        <v>043711</v>
      </c>
      <c r="O1061" t="s">
        <v>3000</v>
      </c>
      <c r="P1061" t="s">
        <v>68</v>
      </c>
      <c r="Q1061">
        <v>100</v>
      </c>
      <c r="R1061">
        <v>55.6</v>
      </c>
      <c r="S1061" t="s">
        <v>77</v>
      </c>
    </row>
    <row r="1062" spans="1:19" x14ac:dyDescent="0.35">
      <c r="A1062">
        <v>5132</v>
      </c>
      <c r="B1062" t="str">
        <f>"005132"</f>
        <v>005132</v>
      </c>
      <c r="C1062" t="s">
        <v>4214</v>
      </c>
      <c r="D1062" t="s">
        <v>3394</v>
      </c>
      <c r="E1062" t="s">
        <v>3395</v>
      </c>
      <c r="F1062" t="s">
        <v>3396</v>
      </c>
      <c r="G1062" t="s">
        <v>92</v>
      </c>
      <c r="H1062" t="s">
        <v>4215</v>
      </c>
      <c r="I1062" t="s">
        <v>4216</v>
      </c>
      <c r="J1062" t="s">
        <v>1940</v>
      </c>
      <c r="K1062" t="s">
        <v>55</v>
      </c>
      <c r="L1062" t="s">
        <v>1941</v>
      </c>
      <c r="M1062" t="s">
        <v>57</v>
      </c>
      <c r="N1062" t="str">
        <f>"044206"</f>
        <v>044206</v>
      </c>
      <c r="O1062" t="s">
        <v>2980</v>
      </c>
      <c r="P1062" t="s">
        <v>68</v>
      </c>
      <c r="Q1062">
        <v>71.900000000000006</v>
      </c>
      <c r="R1062">
        <v>18.099999999999994</v>
      </c>
      <c r="S1062" t="s">
        <v>60</v>
      </c>
    </row>
    <row r="1063" spans="1:19" x14ac:dyDescent="0.35">
      <c r="A1063">
        <v>5157</v>
      </c>
      <c r="B1063" t="str">
        <f>"005157"</f>
        <v>005157</v>
      </c>
      <c r="C1063" t="s">
        <v>4217</v>
      </c>
      <c r="D1063" t="s">
        <v>3394</v>
      </c>
      <c r="E1063" t="s">
        <v>3395</v>
      </c>
      <c r="F1063" t="s">
        <v>3396</v>
      </c>
      <c r="G1063" t="s">
        <v>481</v>
      </c>
      <c r="H1063" t="s">
        <v>4218</v>
      </c>
      <c r="I1063" t="s">
        <v>4219</v>
      </c>
      <c r="J1063" t="s">
        <v>876</v>
      </c>
      <c r="K1063" t="s">
        <v>55</v>
      </c>
      <c r="L1063" t="s">
        <v>819</v>
      </c>
      <c r="M1063" t="s">
        <v>57</v>
      </c>
      <c r="N1063" t="str">
        <f>"044628"</f>
        <v>044628</v>
      </c>
      <c r="O1063" t="s">
        <v>873</v>
      </c>
      <c r="P1063" t="s">
        <v>68</v>
      </c>
      <c r="Q1063">
        <v>97.7</v>
      </c>
      <c r="R1063">
        <v>79.8</v>
      </c>
      <c r="S1063" t="s">
        <v>69</v>
      </c>
    </row>
    <row r="1064" spans="1:19" x14ac:dyDescent="0.35">
      <c r="A1064">
        <v>5165</v>
      </c>
      <c r="B1064" t="str">
        <f>"005165"</f>
        <v>005165</v>
      </c>
      <c r="C1064" t="s">
        <v>4220</v>
      </c>
      <c r="D1064" t="s">
        <v>3394</v>
      </c>
      <c r="E1064" t="s">
        <v>3395</v>
      </c>
      <c r="F1064" t="s">
        <v>3396</v>
      </c>
      <c r="G1064" t="s">
        <v>642</v>
      </c>
      <c r="H1064" t="s">
        <v>4221</v>
      </c>
      <c r="I1064" t="s">
        <v>4222</v>
      </c>
      <c r="J1064" t="s">
        <v>645</v>
      </c>
      <c r="K1064" t="s">
        <v>55</v>
      </c>
      <c r="L1064" t="s">
        <v>646</v>
      </c>
      <c r="M1064" t="s">
        <v>57</v>
      </c>
      <c r="N1064" t="str">
        <f>"047258"</f>
        <v>047258</v>
      </c>
      <c r="O1064" t="s">
        <v>641</v>
      </c>
      <c r="P1064" t="s">
        <v>68</v>
      </c>
      <c r="Q1064">
        <v>21.1</v>
      </c>
      <c r="R1064">
        <v>13.200000000000003</v>
      </c>
      <c r="S1064" t="s">
        <v>180</v>
      </c>
    </row>
    <row r="1065" spans="1:19" x14ac:dyDescent="0.35">
      <c r="A1065">
        <v>5173</v>
      </c>
      <c r="B1065" t="str">
        <f>"005173"</f>
        <v>005173</v>
      </c>
      <c r="C1065" t="s">
        <v>4223</v>
      </c>
      <c r="D1065" t="s">
        <v>3398</v>
      </c>
      <c r="E1065" t="s">
        <v>3395</v>
      </c>
      <c r="F1065" t="s">
        <v>3396</v>
      </c>
      <c r="G1065" t="s">
        <v>642</v>
      </c>
      <c r="H1065" t="s">
        <v>4221</v>
      </c>
      <c r="I1065" t="s">
        <v>4222</v>
      </c>
      <c r="J1065" t="s">
        <v>645</v>
      </c>
      <c r="K1065" t="s">
        <v>55</v>
      </c>
      <c r="L1065" t="s">
        <v>646</v>
      </c>
      <c r="M1065" t="s">
        <v>57</v>
      </c>
      <c r="N1065" t="str">
        <f>"047258"</f>
        <v>047258</v>
      </c>
      <c r="O1065" t="s">
        <v>641</v>
      </c>
      <c r="P1065" t="s">
        <v>68</v>
      </c>
      <c r="Q1065">
        <v>18</v>
      </c>
      <c r="R1065">
        <v>8.7999999999999972</v>
      </c>
      <c r="S1065" t="s">
        <v>180</v>
      </c>
    </row>
    <row r="1066" spans="1:19" x14ac:dyDescent="0.35">
      <c r="A1066">
        <v>5181</v>
      </c>
      <c r="B1066" t="str">
        <f>"005181"</f>
        <v>005181</v>
      </c>
      <c r="C1066" t="s">
        <v>4224</v>
      </c>
      <c r="D1066" t="s">
        <v>3394</v>
      </c>
      <c r="E1066" t="s">
        <v>3395</v>
      </c>
      <c r="F1066" t="s">
        <v>3396</v>
      </c>
      <c r="G1066" t="s">
        <v>600</v>
      </c>
      <c r="H1066" t="s">
        <v>4225</v>
      </c>
      <c r="I1066" t="s">
        <v>4226</v>
      </c>
      <c r="J1066" t="s">
        <v>1348</v>
      </c>
      <c r="K1066" t="s">
        <v>55</v>
      </c>
      <c r="L1066" t="s">
        <v>2733</v>
      </c>
      <c r="M1066" t="s">
        <v>57</v>
      </c>
      <c r="N1066" t="str">
        <f>"043802"</f>
        <v>043802</v>
      </c>
      <c r="O1066" t="s">
        <v>3171</v>
      </c>
      <c r="P1066" t="s">
        <v>68</v>
      </c>
      <c r="Q1066">
        <v>100</v>
      </c>
      <c r="R1066">
        <v>59.8</v>
      </c>
      <c r="S1066" t="s">
        <v>60</v>
      </c>
    </row>
    <row r="1067" spans="1:19" x14ac:dyDescent="0.35">
      <c r="A1067">
        <v>5199</v>
      </c>
      <c r="B1067" t="str">
        <f>"005199"</f>
        <v>005199</v>
      </c>
      <c r="C1067" t="s">
        <v>4227</v>
      </c>
      <c r="D1067" t="s">
        <v>3400</v>
      </c>
      <c r="E1067" t="s">
        <v>3395</v>
      </c>
      <c r="F1067" t="s">
        <v>3396</v>
      </c>
      <c r="G1067" t="s">
        <v>423</v>
      </c>
      <c r="H1067" t="s">
        <v>4228</v>
      </c>
      <c r="I1067" t="s">
        <v>4229</v>
      </c>
      <c r="J1067" t="s">
        <v>426</v>
      </c>
      <c r="K1067" t="s">
        <v>55</v>
      </c>
      <c r="L1067" t="s">
        <v>427</v>
      </c>
      <c r="M1067" t="s">
        <v>57</v>
      </c>
      <c r="N1067" t="str">
        <f>"043729"</f>
        <v>043729</v>
      </c>
      <c r="O1067" t="s">
        <v>1485</v>
      </c>
      <c r="P1067" t="s">
        <v>68</v>
      </c>
      <c r="Q1067">
        <v>53</v>
      </c>
      <c r="R1067">
        <v>16.799999999999997</v>
      </c>
      <c r="S1067" t="s">
        <v>156</v>
      </c>
    </row>
    <row r="1068" spans="1:19" x14ac:dyDescent="0.35">
      <c r="A1068">
        <v>5207</v>
      </c>
      <c r="B1068" t="str">
        <f>"005207"</f>
        <v>005207</v>
      </c>
      <c r="C1068" t="s">
        <v>4230</v>
      </c>
      <c r="D1068" t="s">
        <v>3398</v>
      </c>
      <c r="E1068" t="s">
        <v>3395</v>
      </c>
      <c r="F1068" t="s">
        <v>3396</v>
      </c>
      <c r="G1068" t="s">
        <v>423</v>
      </c>
      <c r="H1068" t="s">
        <v>4231</v>
      </c>
      <c r="I1068" t="s">
        <v>4232</v>
      </c>
      <c r="J1068" t="s">
        <v>426</v>
      </c>
      <c r="K1068" t="s">
        <v>55</v>
      </c>
      <c r="L1068" t="s">
        <v>427</v>
      </c>
      <c r="M1068" t="s">
        <v>57</v>
      </c>
      <c r="N1068" t="str">
        <f>"043729"</f>
        <v>043729</v>
      </c>
      <c r="O1068" t="s">
        <v>1485</v>
      </c>
      <c r="P1068" t="s">
        <v>68</v>
      </c>
      <c r="Q1068">
        <v>47.6</v>
      </c>
      <c r="R1068">
        <v>14.299999999999997</v>
      </c>
      <c r="S1068" t="s">
        <v>156</v>
      </c>
    </row>
    <row r="1069" spans="1:19" x14ac:dyDescent="0.35">
      <c r="A1069">
        <v>5256</v>
      </c>
      <c r="B1069" t="str">
        <f>"005256"</f>
        <v>005256</v>
      </c>
      <c r="C1069" t="s">
        <v>4233</v>
      </c>
      <c r="D1069" t="s">
        <v>3400</v>
      </c>
      <c r="E1069" t="s">
        <v>3395</v>
      </c>
      <c r="F1069" t="s">
        <v>3396</v>
      </c>
      <c r="G1069" t="s">
        <v>169</v>
      </c>
      <c r="H1069" t="s">
        <v>3547</v>
      </c>
      <c r="I1069" t="s">
        <v>3548</v>
      </c>
      <c r="J1069" t="s">
        <v>1811</v>
      </c>
      <c r="K1069" t="s">
        <v>55</v>
      </c>
      <c r="L1069" t="s">
        <v>1812</v>
      </c>
      <c r="M1069" t="s">
        <v>57</v>
      </c>
      <c r="N1069" t="str">
        <f>"045567"</f>
        <v>045567</v>
      </c>
      <c r="O1069" t="s">
        <v>1808</v>
      </c>
      <c r="P1069" t="s">
        <v>68</v>
      </c>
      <c r="Q1069">
        <v>67.400000000000006</v>
      </c>
      <c r="R1069">
        <v>8.9000000000000057</v>
      </c>
      <c r="S1069" t="s">
        <v>77</v>
      </c>
    </row>
    <row r="1070" spans="1:19" x14ac:dyDescent="0.35">
      <c r="A1070">
        <v>5264</v>
      </c>
      <c r="B1070" t="str">
        <f>"005264"</f>
        <v>005264</v>
      </c>
      <c r="C1070" t="s">
        <v>4234</v>
      </c>
      <c r="D1070" t="s">
        <v>3394</v>
      </c>
      <c r="E1070" t="s">
        <v>3395</v>
      </c>
      <c r="F1070" t="s">
        <v>3396</v>
      </c>
      <c r="G1070" t="s">
        <v>481</v>
      </c>
      <c r="H1070" t="s">
        <v>4235</v>
      </c>
      <c r="I1070" t="s">
        <v>4236</v>
      </c>
      <c r="J1070" t="s">
        <v>1551</v>
      </c>
      <c r="K1070" t="s">
        <v>55</v>
      </c>
      <c r="L1070" t="s">
        <v>1552</v>
      </c>
      <c r="M1070" t="s">
        <v>57</v>
      </c>
      <c r="N1070" t="str">
        <f>"047902"</f>
        <v>047902</v>
      </c>
      <c r="O1070" t="s">
        <v>1548</v>
      </c>
      <c r="P1070" t="s">
        <v>68</v>
      </c>
      <c r="Q1070">
        <v>19.2</v>
      </c>
      <c r="R1070">
        <v>16.5</v>
      </c>
      <c r="S1070" t="s">
        <v>69</v>
      </c>
    </row>
    <row r="1071" spans="1:19" x14ac:dyDescent="0.35">
      <c r="A1071">
        <v>5280</v>
      </c>
      <c r="B1071" t="str">
        <f>"005280"</f>
        <v>005280</v>
      </c>
      <c r="C1071" t="s">
        <v>4237</v>
      </c>
      <c r="D1071" t="s">
        <v>3394</v>
      </c>
      <c r="E1071" t="s">
        <v>3395</v>
      </c>
      <c r="F1071" t="s">
        <v>3396</v>
      </c>
      <c r="G1071" t="s">
        <v>901</v>
      </c>
      <c r="H1071" t="s">
        <v>4238</v>
      </c>
      <c r="I1071" t="s">
        <v>4239</v>
      </c>
      <c r="J1071" t="s">
        <v>2509</v>
      </c>
      <c r="K1071" t="s">
        <v>55</v>
      </c>
      <c r="L1071" t="s">
        <v>2510</v>
      </c>
      <c r="M1071" t="s">
        <v>57</v>
      </c>
      <c r="N1071" t="str">
        <f>"047829"</f>
        <v>047829</v>
      </c>
      <c r="O1071" t="s">
        <v>2506</v>
      </c>
      <c r="P1071" t="s">
        <v>68</v>
      </c>
      <c r="Q1071">
        <v>22.8</v>
      </c>
      <c r="R1071">
        <v>4.5</v>
      </c>
      <c r="S1071" t="s">
        <v>60</v>
      </c>
    </row>
    <row r="1072" spans="1:19" x14ac:dyDescent="0.35">
      <c r="A1072">
        <v>5298</v>
      </c>
      <c r="B1072" t="str">
        <f>"005298"</f>
        <v>005298</v>
      </c>
      <c r="C1072" t="s">
        <v>4240</v>
      </c>
      <c r="D1072" t="s">
        <v>3398</v>
      </c>
      <c r="E1072" t="s">
        <v>3395</v>
      </c>
      <c r="F1072" t="s">
        <v>3396</v>
      </c>
      <c r="G1072" t="s">
        <v>901</v>
      </c>
      <c r="H1072" t="s">
        <v>4241</v>
      </c>
      <c r="I1072" t="s">
        <v>4242</v>
      </c>
      <c r="J1072" t="s">
        <v>2509</v>
      </c>
      <c r="K1072" t="s">
        <v>55</v>
      </c>
      <c r="L1072" t="s">
        <v>2510</v>
      </c>
      <c r="M1072" t="s">
        <v>57</v>
      </c>
      <c r="N1072" t="str">
        <f>"047829"</f>
        <v>047829</v>
      </c>
      <c r="O1072" t="s">
        <v>2506</v>
      </c>
      <c r="P1072" t="s">
        <v>68</v>
      </c>
      <c r="Q1072">
        <v>17.7</v>
      </c>
      <c r="R1072">
        <v>10.900000000000006</v>
      </c>
      <c r="S1072" t="s">
        <v>60</v>
      </c>
    </row>
    <row r="1073" spans="1:19" x14ac:dyDescent="0.35">
      <c r="A1073">
        <v>5322</v>
      </c>
      <c r="B1073" t="str">
        <f>"005322"</f>
        <v>005322</v>
      </c>
      <c r="C1073" t="s">
        <v>4243</v>
      </c>
      <c r="D1073" t="s">
        <v>3398</v>
      </c>
      <c r="E1073" t="s">
        <v>3395</v>
      </c>
      <c r="F1073" t="s">
        <v>3396</v>
      </c>
      <c r="G1073" t="s">
        <v>543</v>
      </c>
      <c r="H1073" t="s">
        <v>4244</v>
      </c>
      <c r="I1073" t="s">
        <v>4245</v>
      </c>
      <c r="J1073" t="s">
        <v>1858</v>
      </c>
      <c r="K1073" t="s">
        <v>55</v>
      </c>
      <c r="L1073" t="s">
        <v>4246</v>
      </c>
      <c r="M1073" t="s">
        <v>57</v>
      </c>
      <c r="N1073" t="str">
        <f>"043737"</f>
        <v>043737</v>
      </c>
      <c r="O1073" t="s">
        <v>1855</v>
      </c>
      <c r="P1073" t="s">
        <v>68</v>
      </c>
      <c r="Q1073">
        <v>15.3</v>
      </c>
      <c r="R1073">
        <v>26.099999999999994</v>
      </c>
      <c r="S1073" t="s">
        <v>180</v>
      </c>
    </row>
    <row r="1074" spans="1:19" x14ac:dyDescent="0.35">
      <c r="A1074">
        <v>5330</v>
      </c>
      <c r="B1074" t="str">
        <f>"005330"</f>
        <v>005330</v>
      </c>
      <c r="C1074" t="s">
        <v>4247</v>
      </c>
      <c r="D1074" t="s">
        <v>3394</v>
      </c>
      <c r="E1074" t="s">
        <v>3395</v>
      </c>
      <c r="F1074" t="s">
        <v>3396</v>
      </c>
      <c r="G1074" t="s">
        <v>200</v>
      </c>
      <c r="H1074" t="s">
        <v>4248</v>
      </c>
      <c r="I1074" t="s">
        <v>4249</v>
      </c>
      <c r="J1074" t="s">
        <v>203</v>
      </c>
      <c r="K1074" t="s">
        <v>55</v>
      </c>
      <c r="L1074" t="s">
        <v>204</v>
      </c>
      <c r="M1074" t="s">
        <v>57</v>
      </c>
      <c r="N1074" t="str">
        <f>"044875"</f>
        <v>044875</v>
      </c>
      <c r="O1074" t="s">
        <v>521</v>
      </c>
      <c r="P1074" t="s">
        <v>68</v>
      </c>
      <c r="Q1074">
        <v>14.3</v>
      </c>
      <c r="R1074">
        <v>24.299999999999997</v>
      </c>
      <c r="S1074" t="s">
        <v>156</v>
      </c>
    </row>
    <row r="1075" spans="1:19" x14ac:dyDescent="0.35">
      <c r="A1075">
        <v>5348</v>
      </c>
      <c r="B1075" t="str">
        <f>"005348"</f>
        <v>005348</v>
      </c>
      <c r="C1075" t="s">
        <v>4250</v>
      </c>
      <c r="D1075" t="s">
        <v>3400</v>
      </c>
      <c r="E1075" t="s">
        <v>3395</v>
      </c>
      <c r="F1075" t="s">
        <v>3396</v>
      </c>
      <c r="G1075" t="s">
        <v>657</v>
      </c>
      <c r="H1075" t="s">
        <v>4251</v>
      </c>
      <c r="I1075" t="s">
        <v>4252</v>
      </c>
      <c r="J1075" t="s">
        <v>1432</v>
      </c>
      <c r="K1075" t="s">
        <v>55</v>
      </c>
      <c r="L1075" t="s">
        <v>1433</v>
      </c>
      <c r="M1075" t="s">
        <v>57</v>
      </c>
      <c r="N1075" t="str">
        <f>"044255"</f>
        <v>044255</v>
      </c>
      <c r="O1075" t="s">
        <v>1429</v>
      </c>
      <c r="P1075" t="s">
        <v>68</v>
      </c>
      <c r="Q1075">
        <v>41.7</v>
      </c>
      <c r="R1075">
        <v>14.900000000000006</v>
      </c>
      <c r="S1075" t="s">
        <v>60</v>
      </c>
    </row>
    <row r="1076" spans="1:19" x14ac:dyDescent="0.35">
      <c r="A1076">
        <v>5363</v>
      </c>
      <c r="B1076" t="str">
        <f>"005363"</f>
        <v>005363</v>
      </c>
      <c r="C1076" t="s">
        <v>4253</v>
      </c>
      <c r="D1076" t="s">
        <v>3400</v>
      </c>
      <c r="E1076" t="s">
        <v>3395</v>
      </c>
      <c r="F1076" t="s">
        <v>3396</v>
      </c>
      <c r="G1076" t="s">
        <v>172</v>
      </c>
      <c r="H1076" t="s">
        <v>4254</v>
      </c>
      <c r="I1076" t="s">
        <v>4255</v>
      </c>
      <c r="J1076" t="s">
        <v>2604</v>
      </c>
      <c r="K1076" t="s">
        <v>55</v>
      </c>
      <c r="L1076" t="s">
        <v>2605</v>
      </c>
      <c r="M1076" t="s">
        <v>57</v>
      </c>
      <c r="N1076" t="str">
        <f>"050450"</f>
        <v>050450</v>
      </c>
      <c r="O1076" t="s">
        <v>2601</v>
      </c>
      <c r="P1076" t="s">
        <v>68</v>
      </c>
      <c r="Q1076">
        <v>9</v>
      </c>
      <c r="R1076">
        <v>49</v>
      </c>
      <c r="S1076" t="s">
        <v>217</v>
      </c>
    </row>
    <row r="1077" spans="1:19" x14ac:dyDescent="0.35">
      <c r="A1077">
        <v>5371</v>
      </c>
      <c r="B1077" t="str">
        <f>"005371"</f>
        <v>005371</v>
      </c>
      <c r="C1077" t="s">
        <v>4256</v>
      </c>
      <c r="D1077" t="s">
        <v>3394</v>
      </c>
      <c r="E1077" t="s">
        <v>3395</v>
      </c>
      <c r="F1077" t="s">
        <v>3396</v>
      </c>
      <c r="G1077" t="s">
        <v>71</v>
      </c>
      <c r="H1077" t="s">
        <v>4257</v>
      </c>
      <c r="I1077" t="s">
        <v>4258</v>
      </c>
      <c r="J1077" t="s">
        <v>447</v>
      </c>
      <c r="K1077" t="s">
        <v>55</v>
      </c>
      <c r="L1077" t="s">
        <v>448</v>
      </c>
      <c r="M1077" t="s">
        <v>57</v>
      </c>
      <c r="N1077" t="str">
        <f>"044487"</f>
        <v>044487</v>
      </c>
      <c r="O1077" t="s">
        <v>444</v>
      </c>
      <c r="P1077" t="s">
        <v>68</v>
      </c>
      <c r="Q1077">
        <v>48.5</v>
      </c>
      <c r="R1077">
        <v>17</v>
      </c>
      <c r="S1077" t="s">
        <v>77</v>
      </c>
    </row>
    <row r="1078" spans="1:19" x14ac:dyDescent="0.35">
      <c r="A1078">
        <v>5397</v>
      </c>
      <c r="B1078" t="str">
        <f>"005397"</f>
        <v>005397</v>
      </c>
      <c r="C1078" t="s">
        <v>4259</v>
      </c>
      <c r="D1078" t="s">
        <v>3394</v>
      </c>
      <c r="E1078" t="s">
        <v>3395</v>
      </c>
      <c r="F1078" t="s">
        <v>3396</v>
      </c>
      <c r="G1078" t="s">
        <v>271</v>
      </c>
      <c r="H1078" t="s">
        <v>4260</v>
      </c>
      <c r="I1078" t="s">
        <v>4261</v>
      </c>
      <c r="J1078" t="s">
        <v>3293</v>
      </c>
      <c r="K1078" t="s">
        <v>55</v>
      </c>
      <c r="L1078" t="s">
        <v>3294</v>
      </c>
      <c r="M1078" t="s">
        <v>57</v>
      </c>
      <c r="N1078" t="str">
        <f>"044438"</f>
        <v>044438</v>
      </c>
      <c r="O1078" t="s">
        <v>3290</v>
      </c>
      <c r="P1078" t="s">
        <v>68</v>
      </c>
      <c r="Q1078">
        <v>38.700000000000003</v>
      </c>
      <c r="R1078">
        <v>17.099999999999994</v>
      </c>
      <c r="S1078" t="s">
        <v>156</v>
      </c>
    </row>
    <row r="1079" spans="1:19" x14ac:dyDescent="0.35">
      <c r="A1079">
        <v>5405</v>
      </c>
      <c r="B1079" t="str">
        <f>"005405"</f>
        <v>005405</v>
      </c>
      <c r="C1079" t="s">
        <v>4262</v>
      </c>
      <c r="D1079" t="s">
        <v>3543</v>
      </c>
      <c r="E1079" t="s">
        <v>3395</v>
      </c>
      <c r="F1079" t="s">
        <v>3396</v>
      </c>
      <c r="G1079" t="s">
        <v>244</v>
      </c>
      <c r="H1079" t="s">
        <v>4263</v>
      </c>
      <c r="I1079" t="s">
        <v>4264</v>
      </c>
      <c r="J1079" t="s">
        <v>1179</v>
      </c>
      <c r="K1079" t="s">
        <v>55</v>
      </c>
      <c r="L1079" t="s">
        <v>1180</v>
      </c>
      <c r="M1079" t="s">
        <v>57</v>
      </c>
      <c r="N1079" t="str">
        <f>"044404"</f>
        <v>044404</v>
      </c>
      <c r="O1079" t="s">
        <v>1176</v>
      </c>
      <c r="P1079" t="s">
        <v>68</v>
      </c>
      <c r="Q1079">
        <v>100</v>
      </c>
      <c r="R1079">
        <v>43.6</v>
      </c>
      <c r="S1079" t="s">
        <v>217</v>
      </c>
    </row>
    <row r="1080" spans="1:19" x14ac:dyDescent="0.35">
      <c r="A1080">
        <v>5439</v>
      </c>
      <c r="B1080" t="str">
        <f>"005439"</f>
        <v>005439</v>
      </c>
      <c r="C1080" t="s">
        <v>4265</v>
      </c>
      <c r="D1080" t="s">
        <v>3394</v>
      </c>
      <c r="E1080" t="s">
        <v>3395</v>
      </c>
      <c r="F1080" t="s">
        <v>3396</v>
      </c>
      <c r="G1080" t="s">
        <v>79</v>
      </c>
      <c r="H1080" t="s">
        <v>4266</v>
      </c>
      <c r="I1080" t="s">
        <v>4267</v>
      </c>
      <c r="J1080" t="s">
        <v>82</v>
      </c>
      <c r="K1080" t="s">
        <v>55</v>
      </c>
      <c r="L1080" t="s">
        <v>83</v>
      </c>
      <c r="M1080" t="s">
        <v>57</v>
      </c>
      <c r="N1080" t="str">
        <f>"045096"</f>
        <v>045096</v>
      </c>
      <c r="O1080" t="s">
        <v>78</v>
      </c>
      <c r="P1080" t="s">
        <v>68</v>
      </c>
      <c r="Q1080">
        <v>68.3</v>
      </c>
      <c r="R1080">
        <v>32.099999999999994</v>
      </c>
      <c r="S1080" t="s">
        <v>69</v>
      </c>
    </row>
    <row r="1081" spans="1:19" x14ac:dyDescent="0.35">
      <c r="A1081">
        <v>5447</v>
      </c>
      <c r="B1081" t="str">
        <f>"005447"</f>
        <v>005447</v>
      </c>
      <c r="C1081" t="s">
        <v>4268</v>
      </c>
      <c r="D1081" t="s">
        <v>3400</v>
      </c>
      <c r="E1081" t="s">
        <v>3395</v>
      </c>
      <c r="F1081" t="s">
        <v>3396</v>
      </c>
      <c r="G1081" t="s">
        <v>351</v>
      </c>
      <c r="H1081" t="s">
        <v>4269</v>
      </c>
      <c r="I1081" t="s">
        <v>4270</v>
      </c>
      <c r="J1081" t="s">
        <v>1839</v>
      </c>
      <c r="K1081" t="s">
        <v>55</v>
      </c>
      <c r="L1081" t="s">
        <v>1840</v>
      </c>
      <c r="M1081" t="s">
        <v>57</v>
      </c>
      <c r="N1081" t="str">
        <f>"045021"</f>
        <v>045021</v>
      </c>
      <c r="O1081" t="s">
        <v>1836</v>
      </c>
      <c r="P1081" t="s">
        <v>68</v>
      </c>
      <c r="Q1081">
        <v>99.3</v>
      </c>
      <c r="R1081">
        <v>3.7000000000000028</v>
      </c>
      <c r="S1081" t="s">
        <v>130</v>
      </c>
    </row>
    <row r="1082" spans="1:19" x14ac:dyDescent="0.35">
      <c r="A1082">
        <v>5462</v>
      </c>
      <c r="B1082" t="str">
        <f>"005462"</f>
        <v>005462</v>
      </c>
      <c r="C1082" t="s">
        <v>4271</v>
      </c>
      <c r="D1082" t="s">
        <v>3394</v>
      </c>
      <c r="E1082" t="s">
        <v>3395</v>
      </c>
      <c r="F1082" t="s">
        <v>3396</v>
      </c>
      <c r="G1082" t="s">
        <v>244</v>
      </c>
      <c r="H1082" t="s">
        <v>4272</v>
      </c>
      <c r="I1082" t="s">
        <v>4273</v>
      </c>
      <c r="J1082" t="s">
        <v>92</v>
      </c>
      <c r="K1082" t="s">
        <v>55</v>
      </c>
      <c r="L1082" t="s">
        <v>2423</v>
      </c>
      <c r="M1082" t="s">
        <v>57</v>
      </c>
      <c r="N1082" t="str">
        <f>"046102"</f>
        <v>046102</v>
      </c>
      <c r="O1082" t="s">
        <v>2420</v>
      </c>
      <c r="P1082" t="s">
        <v>68</v>
      </c>
      <c r="Q1082">
        <v>75.2</v>
      </c>
      <c r="R1082">
        <v>81</v>
      </c>
      <c r="S1082" t="s">
        <v>217</v>
      </c>
    </row>
    <row r="1083" spans="1:19" x14ac:dyDescent="0.35">
      <c r="A1083">
        <v>5496</v>
      </c>
      <c r="B1083" t="str">
        <f>"005496"</f>
        <v>005496</v>
      </c>
      <c r="C1083" t="s">
        <v>4256</v>
      </c>
      <c r="D1083" t="s">
        <v>3394</v>
      </c>
      <c r="E1083" t="s">
        <v>3395</v>
      </c>
      <c r="F1083" t="s">
        <v>3396</v>
      </c>
      <c r="G1083" t="s">
        <v>663</v>
      </c>
      <c r="H1083" t="s">
        <v>4274</v>
      </c>
      <c r="I1083" t="s">
        <v>4275</v>
      </c>
      <c r="J1083" t="s">
        <v>2030</v>
      </c>
      <c r="K1083" t="s">
        <v>55</v>
      </c>
      <c r="L1083" t="s">
        <v>2031</v>
      </c>
      <c r="M1083" t="s">
        <v>57</v>
      </c>
      <c r="N1083" t="str">
        <f>"049437"</f>
        <v>049437</v>
      </c>
      <c r="O1083" t="s">
        <v>2027</v>
      </c>
      <c r="P1083" t="s">
        <v>68</v>
      </c>
      <c r="Q1083">
        <v>28.8</v>
      </c>
      <c r="R1083">
        <v>12</v>
      </c>
      <c r="S1083" t="s">
        <v>77</v>
      </c>
    </row>
    <row r="1084" spans="1:19" x14ac:dyDescent="0.35">
      <c r="A1084">
        <v>5504</v>
      </c>
      <c r="B1084" t="str">
        <f>"005504"</f>
        <v>005504</v>
      </c>
      <c r="C1084" t="s">
        <v>4276</v>
      </c>
      <c r="D1084" t="s">
        <v>3394</v>
      </c>
      <c r="E1084" t="s">
        <v>3395</v>
      </c>
      <c r="F1084" t="s">
        <v>3396</v>
      </c>
      <c r="G1084" t="s">
        <v>295</v>
      </c>
      <c r="H1084" t="s">
        <v>4277</v>
      </c>
      <c r="I1084" t="s">
        <v>4278</v>
      </c>
      <c r="J1084" t="s">
        <v>1012</v>
      </c>
      <c r="K1084" t="s">
        <v>55</v>
      </c>
      <c r="L1084" t="s">
        <v>1013</v>
      </c>
      <c r="M1084" t="s">
        <v>57</v>
      </c>
      <c r="N1084" t="str">
        <f>"044164"</f>
        <v>044164</v>
      </c>
      <c r="O1084" t="s">
        <v>1009</v>
      </c>
      <c r="P1084" t="s">
        <v>68</v>
      </c>
      <c r="Q1084">
        <v>45.2</v>
      </c>
      <c r="R1084">
        <v>33.299999999999997</v>
      </c>
      <c r="S1084" t="s">
        <v>77</v>
      </c>
    </row>
    <row r="1085" spans="1:19" x14ac:dyDescent="0.35">
      <c r="A1085">
        <v>5561</v>
      </c>
      <c r="B1085" t="str">
        <f>"005561"</f>
        <v>005561</v>
      </c>
      <c r="C1085" t="s">
        <v>4279</v>
      </c>
      <c r="D1085" t="s">
        <v>3394</v>
      </c>
      <c r="E1085" t="s">
        <v>3395</v>
      </c>
      <c r="F1085" t="s">
        <v>3396</v>
      </c>
      <c r="G1085" t="s">
        <v>63</v>
      </c>
      <c r="H1085" t="s">
        <v>4280</v>
      </c>
      <c r="I1085" t="s">
        <v>4281</v>
      </c>
      <c r="J1085" t="s">
        <v>2080</v>
      </c>
      <c r="K1085" t="s">
        <v>55</v>
      </c>
      <c r="L1085" t="s">
        <v>2081</v>
      </c>
      <c r="M1085" t="s">
        <v>57</v>
      </c>
      <c r="N1085" t="str">
        <f>"043562"</f>
        <v>043562</v>
      </c>
      <c r="O1085" t="s">
        <v>2077</v>
      </c>
      <c r="P1085" t="s">
        <v>68</v>
      </c>
      <c r="Q1085">
        <v>80.7</v>
      </c>
      <c r="R1085">
        <v>93.5</v>
      </c>
      <c r="S1085" t="s">
        <v>69</v>
      </c>
    </row>
    <row r="1086" spans="1:19" x14ac:dyDescent="0.35">
      <c r="A1086">
        <v>5637</v>
      </c>
      <c r="B1086" t="str">
        <f>"005637"</f>
        <v>005637</v>
      </c>
      <c r="C1086" t="s">
        <v>4282</v>
      </c>
      <c r="D1086" t="s">
        <v>3394</v>
      </c>
      <c r="E1086" t="s">
        <v>3395</v>
      </c>
      <c r="F1086" t="s">
        <v>3396</v>
      </c>
      <c r="G1086" t="s">
        <v>63</v>
      </c>
      <c r="H1086" t="s">
        <v>4283</v>
      </c>
      <c r="I1086" t="s">
        <v>4284</v>
      </c>
      <c r="J1086" t="s">
        <v>285</v>
      </c>
      <c r="K1086" t="s">
        <v>55</v>
      </c>
      <c r="L1086" t="s">
        <v>3525</v>
      </c>
      <c r="M1086" t="s">
        <v>57</v>
      </c>
      <c r="N1086" t="str">
        <f>"043786"</f>
        <v>043786</v>
      </c>
      <c r="O1086" t="s">
        <v>1340</v>
      </c>
      <c r="P1086" t="s">
        <v>68</v>
      </c>
      <c r="Q1086">
        <v>100</v>
      </c>
      <c r="R1086">
        <v>100</v>
      </c>
      <c r="S1086" t="s">
        <v>69</v>
      </c>
    </row>
    <row r="1087" spans="1:19" x14ac:dyDescent="0.35">
      <c r="A1087">
        <v>5660</v>
      </c>
      <c r="B1087" t="str">
        <f>"005660"</f>
        <v>005660</v>
      </c>
      <c r="C1087" t="s">
        <v>4285</v>
      </c>
      <c r="D1087" t="s">
        <v>3400</v>
      </c>
      <c r="E1087" t="s">
        <v>3395</v>
      </c>
      <c r="F1087" t="s">
        <v>3396</v>
      </c>
      <c r="G1087" t="s">
        <v>1193</v>
      </c>
      <c r="H1087" t="s">
        <v>4286</v>
      </c>
      <c r="I1087" t="s">
        <v>4287</v>
      </c>
      <c r="J1087" t="s">
        <v>1196</v>
      </c>
      <c r="K1087" t="s">
        <v>55</v>
      </c>
      <c r="L1087" t="s">
        <v>1197</v>
      </c>
      <c r="M1087" t="s">
        <v>57</v>
      </c>
      <c r="N1087" t="str">
        <f>"044222"</f>
        <v>044222</v>
      </c>
      <c r="O1087" t="s">
        <v>1827</v>
      </c>
      <c r="P1087" t="s">
        <v>68</v>
      </c>
      <c r="Q1087">
        <v>100</v>
      </c>
      <c r="R1087">
        <v>64.400000000000006</v>
      </c>
      <c r="S1087" t="s">
        <v>156</v>
      </c>
    </row>
    <row r="1088" spans="1:19" x14ac:dyDescent="0.35">
      <c r="A1088">
        <v>5678</v>
      </c>
      <c r="B1088" t="str">
        <f>"005678"</f>
        <v>005678</v>
      </c>
      <c r="C1088" t="s">
        <v>4288</v>
      </c>
      <c r="D1088" t="s">
        <v>3394</v>
      </c>
      <c r="E1088" t="s">
        <v>3395</v>
      </c>
      <c r="F1088" t="s">
        <v>3396</v>
      </c>
      <c r="G1088" t="s">
        <v>642</v>
      </c>
      <c r="H1088" t="s">
        <v>4289</v>
      </c>
      <c r="I1088" t="s">
        <v>4290</v>
      </c>
      <c r="J1088" t="s">
        <v>1469</v>
      </c>
      <c r="K1088" t="s">
        <v>55</v>
      </c>
      <c r="L1088" t="s">
        <v>1470</v>
      </c>
      <c r="M1088" t="s">
        <v>57</v>
      </c>
      <c r="N1088" t="str">
        <f>"045153"</f>
        <v>045153</v>
      </c>
      <c r="O1088" t="s">
        <v>2754</v>
      </c>
      <c r="P1088" t="s">
        <v>68</v>
      </c>
      <c r="Q1088" t="s">
        <v>68</v>
      </c>
      <c r="R1088" t="s">
        <v>68</v>
      </c>
      <c r="S1088" t="s">
        <v>180</v>
      </c>
    </row>
    <row r="1089" spans="1:19" x14ac:dyDescent="0.35">
      <c r="A1089">
        <v>5686</v>
      </c>
      <c r="B1089" t="str">
        <f>"005686"</f>
        <v>005686</v>
      </c>
      <c r="C1089" t="s">
        <v>4291</v>
      </c>
      <c r="D1089" t="s">
        <v>3400</v>
      </c>
      <c r="E1089" t="s">
        <v>3395</v>
      </c>
      <c r="F1089" t="s">
        <v>3396</v>
      </c>
      <c r="G1089" t="s">
        <v>821</v>
      </c>
      <c r="H1089" t="s">
        <v>4292</v>
      </c>
      <c r="I1089" t="s">
        <v>4293</v>
      </c>
      <c r="J1089" t="s">
        <v>1427</v>
      </c>
      <c r="K1089" t="s">
        <v>55</v>
      </c>
      <c r="L1089" t="s">
        <v>1428</v>
      </c>
      <c r="M1089" t="s">
        <v>57</v>
      </c>
      <c r="N1089" t="str">
        <f>"043984"</f>
        <v>043984</v>
      </c>
      <c r="O1089" t="s">
        <v>1424</v>
      </c>
      <c r="P1089" t="s">
        <v>68</v>
      </c>
      <c r="Q1089">
        <v>42</v>
      </c>
      <c r="R1089">
        <v>30.799999999999997</v>
      </c>
      <c r="S1089" t="s">
        <v>156</v>
      </c>
    </row>
    <row r="1090" spans="1:19" x14ac:dyDescent="0.35">
      <c r="A1090">
        <v>5710</v>
      </c>
      <c r="B1090" t="str">
        <f>"005710"</f>
        <v>005710</v>
      </c>
      <c r="C1090" t="s">
        <v>4294</v>
      </c>
      <c r="D1090" t="s">
        <v>3400</v>
      </c>
      <c r="E1090" t="s">
        <v>3395</v>
      </c>
      <c r="F1090" t="s">
        <v>3396</v>
      </c>
      <c r="G1090" t="s">
        <v>406</v>
      </c>
      <c r="H1090" t="s">
        <v>4295</v>
      </c>
      <c r="I1090" t="s">
        <v>4296</v>
      </c>
      <c r="J1090" t="s">
        <v>465</v>
      </c>
      <c r="K1090" t="s">
        <v>55</v>
      </c>
      <c r="L1090" t="s">
        <v>466</v>
      </c>
      <c r="M1090" t="s">
        <v>57</v>
      </c>
      <c r="N1090" t="str">
        <f>"044974"</f>
        <v>044974</v>
      </c>
      <c r="O1090" t="s">
        <v>462</v>
      </c>
      <c r="P1090" t="s">
        <v>68</v>
      </c>
      <c r="Q1090">
        <v>22.7</v>
      </c>
      <c r="R1090">
        <v>8.5</v>
      </c>
      <c r="S1090" t="s">
        <v>77</v>
      </c>
    </row>
    <row r="1091" spans="1:19" x14ac:dyDescent="0.35">
      <c r="A1091">
        <v>5728</v>
      </c>
      <c r="B1091" t="str">
        <f>"005728"</f>
        <v>005728</v>
      </c>
      <c r="C1091" t="s">
        <v>4297</v>
      </c>
      <c r="D1091" t="s">
        <v>3394</v>
      </c>
      <c r="E1091" t="s">
        <v>3395</v>
      </c>
      <c r="F1091" t="s">
        <v>3396</v>
      </c>
      <c r="G1091" t="s">
        <v>212</v>
      </c>
      <c r="H1091" t="s">
        <v>951</v>
      </c>
      <c r="I1091" t="s">
        <v>952</v>
      </c>
      <c r="J1091" t="s">
        <v>953</v>
      </c>
      <c r="K1091" t="s">
        <v>55</v>
      </c>
      <c r="L1091" t="s">
        <v>954</v>
      </c>
      <c r="M1091" t="s">
        <v>57</v>
      </c>
      <c r="N1091" t="str">
        <f>"044693"</f>
        <v>044693</v>
      </c>
      <c r="O1091" t="s">
        <v>950</v>
      </c>
      <c r="P1091" t="s">
        <v>68</v>
      </c>
      <c r="Q1091">
        <v>49.9</v>
      </c>
      <c r="R1091">
        <v>33.599999999999994</v>
      </c>
      <c r="S1091" t="s">
        <v>217</v>
      </c>
    </row>
    <row r="1092" spans="1:19" x14ac:dyDescent="0.35">
      <c r="A1092">
        <v>5736</v>
      </c>
      <c r="B1092" t="str">
        <f>"005736"</f>
        <v>005736</v>
      </c>
      <c r="C1092" t="s">
        <v>4298</v>
      </c>
      <c r="D1092" t="s">
        <v>3394</v>
      </c>
      <c r="E1092" t="s">
        <v>3395</v>
      </c>
      <c r="F1092" t="s">
        <v>3396</v>
      </c>
      <c r="G1092" t="s">
        <v>318</v>
      </c>
      <c r="H1092" t="s">
        <v>751</v>
      </c>
      <c r="I1092" t="s">
        <v>752</v>
      </c>
      <c r="J1092" t="s">
        <v>321</v>
      </c>
      <c r="K1092" t="s">
        <v>55</v>
      </c>
      <c r="L1092" t="s">
        <v>322</v>
      </c>
      <c r="M1092" t="s">
        <v>57</v>
      </c>
      <c r="N1092" t="str">
        <f>"049544"</f>
        <v>049544</v>
      </c>
      <c r="O1092" t="s">
        <v>750</v>
      </c>
      <c r="P1092" t="s">
        <v>68</v>
      </c>
      <c r="Q1092">
        <v>40.200000000000003</v>
      </c>
      <c r="R1092">
        <v>6.4000000000000057</v>
      </c>
      <c r="S1092" t="s">
        <v>130</v>
      </c>
    </row>
    <row r="1093" spans="1:19" x14ac:dyDescent="0.35">
      <c r="A1093">
        <v>5751</v>
      </c>
      <c r="B1093" t="str">
        <f>"005751"</f>
        <v>005751</v>
      </c>
      <c r="C1093" t="s">
        <v>4299</v>
      </c>
      <c r="D1093" t="s">
        <v>3398</v>
      </c>
      <c r="E1093" t="s">
        <v>3395</v>
      </c>
      <c r="F1093" t="s">
        <v>3396</v>
      </c>
      <c r="G1093" t="s">
        <v>63</v>
      </c>
      <c r="H1093" t="s">
        <v>2328</v>
      </c>
      <c r="I1093" t="s">
        <v>2329</v>
      </c>
      <c r="J1093" t="s">
        <v>1049</v>
      </c>
      <c r="K1093" t="s">
        <v>55</v>
      </c>
      <c r="L1093" t="s">
        <v>2330</v>
      </c>
      <c r="M1093" t="s">
        <v>57</v>
      </c>
      <c r="N1093" t="str">
        <f>"045286"</f>
        <v>045286</v>
      </c>
      <c r="O1093" t="s">
        <v>2327</v>
      </c>
      <c r="P1093" t="s">
        <v>68</v>
      </c>
      <c r="Q1093">
        <v>4</v>
      </c>
      <c r="R1093">
        <v>9.5999999999999943</v>
      </c>
      <c r="S1093" t="s">
        <v>69</v>
      </c>
    </row>
    <row r="1094" spans="1:19" x14ac:dyDescent="0.35">
      <c r="A1094">
        <v>5769</v>
      </c>
      <c r="B1094" t="str">
        <f>"005769"</f>
        <v>005769</v>
      </c>
      <c r="C1094" t="s">
        <v>4300</v>
      </c>
      <c r="D1094" t="s">
        <v>3400</v>
      </c>
      <c r="E1094" t="s">
        <v>3395</v>
      </c>
      <c r="F1094" t="s">
        <v>3396</v>
      </c>
      <c r="G1094" t="s">
        <v>63</v>
      </c>
      <c r="H1094" t="s">
        <v>4301</v>
      </c>
      <c r="I1094" t="s">
        <v>4302</v>
      </c>
      <c r="J1094" t="s">
        <v>1049</v>
      </c>
      <c r="K1094" t="s">
        <v>55</v>
      </c>
      <c r="L1094" t="s">
        <v>2330</v>
      </c>
      <c r="M1094" t="s">
        <v>57</v>
      </c>
      <c r="N1094" t="str">
        <f>"045286"</f>
        <v>045286</v>
      </c>
      <c r="O1094" t="s">
        <v>2327</v>
      </c>
      <c r="P1094" t="s">
        <v>68</v>
      </c>
      <c r="Q1094">
        <v>0</v>
      </c>
      <c r="R1094">
        <v>10.299999999999997</v>
      </c>
      <c r="S1094" t="s">
        <v>69</v>
      </c>
    </row>
    <row r="1095" spans="1:19" x14ac:dyDescent="0.35">
      <c r="A1095">
        <v>5777</v>
      </c>
      <c r="B1095" t="str">
        <f>"005777"</f>
        <v>005777</v>
      </c>
      <c r="C1095" t="s">
        <v>4303</v>
      </c>
      <c r="D1095" t="s">
        <v>3398</v>
      </c>
      <c r="E1095" t="s">
        <v>3395</v>
      </c>
      <c r="F1095" t="s">
        <v>3396</v>
      </c>
      <c r="G1095" t="s">
        <v>169</v>
      </c>
      <c r="H1095" t="s">
        <v>2957</v>
      </c>
      <c r="I1095" t="s">
        <v>2958</v>
      </c>
      <c r="J1095" t="s">
        <v>2959</v>
      </c>
      <c r="K1095" t="s">
        <v>55</v>
      </c>
      <c r="L1095" t="s">
        <v>2960</v>
      </c>
      <c r="M1095" t="s">
        <v>57</v>
      </c>
      <c r="N1095" t="str">
        <f>"050237"</f>
        <v>050237</v>
      </c>
      <c r="O1095" t="s">
        <v>2956</v>
      </c>
      <c r="P1095" t="s">
        <v>68</v>
      </c>
      <c r="Q1095">
        <v>35</v>
      </c>
      <c r="R1095">
        <v>7.7999999999999972</v>
      </c>
      <c r="S1095" t="s">
        <v>77</v>
      </c>
    </row>
    <row r="1096" spans="1:19" x14ac:dyDescent="0.35">
      <c r="A1096">
        <v>5785</v>
      </c>
      <c r="B1096" t="str">
        <f>"005785"</f>
        <v>005785</v>
      </c>
      <c r="C1096" t="s">
        <v>4304</v>
      </c>
      <c r="D1096" t="s">
        <v>3400</v>
      </c>
      <c r="E1096" t="s">
        <v>3395</v>
      </c>
      <c r="F1096" t="s">
        <v>3396</v>
      </c>
      <c r="G1096" t="s">
        <v>264</v>
      </c>
      <c r="H1096" t="s">
        <v>4305</v>
      </c>
      <c r="I1096" t="s">
        <v>4306</v>
      </c>
      <c r="J1096" t="s">
        <v>3386</v>
      </c>
      <c r="K1096" t="s">
        <v>55</v>
      </c>
      <c r="L1096" t="s">
        <v>3387</v>
      </c>
      <c r="M1096" t="s">
        <v>57</v>
      </c>
      <c r="N1096" t="str">
        <f>"050070"</f>
        <v>050070</v>
      </c>
      <c r="O1096" t="s">
        <v>3383</v>
      </c>
      <c r="P1096" t="s">
        <v>68</v>
      </c>
      <c r="Q1096">
        <v>19.3</v>
      </c>
      <c r="R1096">
        <v>45.6</v>
      </c>
      <c r="S1096" t="s">
        <v>77</v>
      </c>
    </row>
    <row r="1097" spans="1:19" x14ac:dyDescent="0.35">
      <c r="A1097">
        <v>5801</v>
      </c>
      <c r="B1097" t="str">
        <f>"005801"</f>
        <v>005801</v>
      </c>
      <c r="C1097" t="s">
        <v>4307</v>
      </c>
      <c r="D1097" t="s">
        <v>3394</v>
      </c>
      <c r="E1097" t="s">
        <v>3395</v>
      </c>
      <c r="F1097" t="s">
        <v>3396</v>
      </c>
      <c r="G1097" t="s">
        <v>169</v>
      </c>
      <c r="H1097" t="s">
        <v>4308</v>
      </c>
      <c r="I1097" t="s">
        <v>4309</v>
      </c>
      <c r="J1097" t="s">
        <v>172</v>
      </c>
      <c r="K1097" t="s">
        <v>55</v>
      </c>
      <c r="L1097" t="s">
        <v>173</v>
      </c>
      <c r="M1097" t="s">
        <v>57</v>
      </c>
      <c r="N1097" t="str">
        <f>"050138"</f>
        <v>050138</v>
      </c>
      <c r="O1097" t="s">
        <v>3065</v>
      </c>
      <c r="P1097" t="s">
        <v>68</v>
      </c>
      <c r="Q1097">
        <v>34.1</v>
      </c>
      <c r="R1097">
        <v>8</v>
      </c>
      <c r="S1097" t="s">
        <v>77</v>
      </c>
    </row>
    <row r="1098" spans="1:19" x14ac:dyDescent="0.35">
      <c r="A1098">
        <v>5819</v>
      </c>
      <c r="B1098" t="str">
        <f>"005819"</f>
        <v>005819</v>
      </c>
      <c r="C1098" t="s">
        <v>4310</v>
      </c>
      <c r="D1098" t="s">
        <v>3398</v>
      </c>
      <c r="E1098" t="s">
        <v>3395</v>
      </c>
      <c r="F1098" t="s">
        <v>3396</v>
      </c>
      <c r="G1098" t="s">
        <v>169</v>
      </c>
      <c r="H1098" t="s">
        <v>3066</v>
      </c>
      <c r="I1098" t="s">
        <v>3067</v>
      </c>
      <c r="J1098" t="s">
        <v>172</v>
      </c>
      <c r="K1098" t="s">
        <v>55</v>
      </c>
      <c r="L1098" t="s">
        <v>173</v>
      </c>
      <c r="M1098" t="s">
        <v>57</v>
      </c>
      <c r="N1098" t="str">
        <f>"050138"</f>
        <v>050138</v>
      </c>
      <c r="O1098" t="s">
        <v>3065</v>
      </c>
      <c r="P1098" t="s">
        <v>68</v>
      </c>
      <c r="Q1098">
        <v>24.7</v>
      </c>
      <c r="R1098">
        <v>7.5</v>
      </c>
      <c r="S1098" t="s">
        <v>77</v>
      </c>
    </row>
    <row r="1099" spans="1:19" x14ac:dyDescent="0.35">
      <c r="A1099">
        <v>5827</v>
      </c>
      <c r="B1099" t="str">
        <f>"005827"</f>
        <v>005827</v>
      </c>
      <c r="C1099" t="s">
        <v>4311</v>
      </c>
      <c r="D1099" t="s">
        <v>3400</v>
      </c>
      <c r="E1099" t="s">
        <v>3395</v>
      </c>
      <c r="F1099" t="s">
        <v>3396</v>
      </c>
      <c r="G1099" t="s">
        <v>600</v>
      </c>
      <c r="H1099" t="s">
        <v>4312</v>
      </c>
      <c r="I1099" t="s">
        <v>4313</v>
      </c>
      <c r="J1099" t="s">
        <v>1348</v>
      </c>
      <c r="K1099" t="s">
        <v>55</v>
      </c>
      <c r="L1099" t="s">
        <v>3732</v>
      </c>
      <c r="M1099" t="s">
        <v>57</v>
      </c>
      <c r="N1099" t="str">
        <f>"043802"</f>
        <v>043802</v>
      </c>
      <c r="O1099" t="s">
        <v>3171</v>
      </c>
      <c r="P1099" t="s">
        <v>68</v>
      </c>
      <c r="Q1099">
        <v>100</v>
      </c>
      <c r="R1099">
        <v>91.6</v>
      </c>
      <c r="S1099" t="s">
        <v>60</v>
      </c>
    </row>
    <row r="1100" spans="1:19" x14ac:dyDescent="0.35">
      <c r="A1100">
        <v>5835</v>
      </c>
      <c r="B1100" t="str">
        <f>"005835"</f>
        <v>005835</v>
      </c>
      <c r="C1100" t="s">
        <v>4311</v>
      </c>
      <c r="D1100" t="s">
        <v>3400</v>
      </c>
      <c r="E1100" t="s">
        <v>3395</v>
      </c>
      <c r="F1100" t="s">
        <v>3396</v>
      </c>
      <c r="G1100" t="s">
        <v>169</v>
      </c>
      <c r="H1100" t="s">
        <v>4314</v>
      </c>
      <c r="I1100" t="s">
        <v>4315</v>
      </c>
      <c r="J1100" t="s">
        <v>172</v>
      </c>
      <c r="K1100" t="s">
        <v>55</v>
      </c>
      <c r="L1100" t="s">
        <v>173</v>
      </c>
      <c r="M1100" t="s">
        <v>57</v>
      </c>
      <c r="N1100" t="str">
        <f>"050138"</f>
        <v>050138</v>
      </c>
      <c r="O1100" t="s">
        <v>3065</v>
      </c>
      <c r="P1100" t="s">
        <v>68</v>
      </c>
      <c r="Q1100">
        <v>33.700000000000003</v>
      </c>
      <c r="R1100">
        <v>5.7000000000000028</v>
      </c>
      <c r="S1100" t="s">
        <v>77</v>
      </c>
    </row>
    <row r="1101" spans="1:19" x14ac:dyDescent="0.35">
      <c r="A1101">
        <v>5850</v>
      </c>
      <c r="B1101" t="str">
        <f>"005850"</f>
        <v>005850</v>
      </c>
      <c r="C1101" t="s">
        <v>4316</v>
      </c>
      <c r="D1101" t="s">
        <v>3398</v>
      </c>
      <c r="E1101" t="s">
        <v>3395</v>
      </c>
      <c r="F1101" t="s">
        <v>3396</v>
      </c>
      <c r="G1101" t="s">
        <v>383</v>
      </c>
      <c r="H1101" t="s">
        <v>4317</v>
      </c>
      <c r="I1101" t="s">
        <v>4318</v>
      </c>
      <c r="J1101" t="s">
        <v>1215</v>
      </c>
      <c r="K1101" t="s">
        <v>55</v>
      </c>
      <c r="L1101" t="s">
        <v>4319</v>
      </c>
      <c r="M1101" t="s">
        <v>57</v>
      </c>
      <c r="N1101" t="str">
        <f>"045161"</f>
        <v>045161</v>
      </c>
      <c r="O1101" t="s">
        <v>1212</v>
      </c>
      <c r="P1101" t="s">
        <v>68</v>
      </c>
      <c r="Q1101">
        <v>99.8</v>
      </c>
      <c r="R1101">
        <v>88.3</v>
      </c>
      <c r="S1101" t="s">
        <v>77</v>
      </c>
    </row>
    <row r="1102" spans="1:19" x14ac:dyDescent="0.35">
      <c r="A1102">
        <v>5868</v>
      </c>
      <c r="B1102" t="str">
        <f>"005868"</f>
        <v>005868</v>
      </c>
      <c r="C1102" t="s">
        <v>4320</v>
      </c>
      <c r="D1102" t="s">
        <v>3394</v>
      </c>
      <c r="E1102" t="s">
        <v>3395</v>
      </c>
      <c r="F1102" t="s">
        <v>3396</v>
      </c>
      <c r="G1102" t="s">
        <v>600</v>
      </c>
      <c r="H1102" t="s">
        <v>4321</v>
      </c>
      <c r="I1102" t="s">
        <v>4322</v>
      </c>
      <c r="J1102" t="s">
        <v>2536</v>
      </c>
      <c r="K1102" t="s">
        <v>55</v>
      </c>
      <c r="L1102" t="s">
        <v>2537</v>
      </c>
      <c r="M1102" t="s">
        <v>57</v>
      </c>
      <c r="N1102" t="str">
        <f>"046961"</f>
        <v>046961</v>
      </c>
      <c r="O1102" t="s">
        <v>2533</v>
      </c>
      <c r="P1102" t="s">
        <v>68</v>
      </c>
      <c r="Q1102">
        <v>34.1</v>
      </c>
      <c r="R1102">
        <v>40.6</v>
      </c>
      <c r="S1102" t="s">
        <v>60</v>
      </c>
    </row>
    <row r="1103" spans="1:19" x14ac:dyDescent="0.35">
      <c r="A1103">
        <v>5876</v>
      </c>
      <c r="B1103" t="str">
        <f>"005876"</f>
        <v>005876</v>
      </c>
      <c r="C1103" t="s">
        <v>4323</v>
      </c>
      <c r="D1103" t="s">
        <v>3398</v>
      </c>
      <c r="E1103" t="s">
        <v>3395</v>
      </c>
      <c r="F1103" t="s">
        <v>3396</v>
      </c>
      <c r="G1103" t="s">
        <v>511</v>
      </c>
      <c r="H1103" t="s">
        <v>4324</v>
      </c>
      <c r="I1103" t="s">
        <v>4325</v>
      </c>
      <c r="J1103" t="s">
        <v>1293</v>
      </c>
      <c r="K1103" t="s">
        <v>55</v>
      </c>
      <c r="L1103" t="s">
        <v>1294</v>
      </c>
      <c r="M1103" t="s">
        <v>57</v>
      </c>
      <c r="N1103" t="str">
        <f>"047183"</f>
        <v>047183</v>
      </c>
      <c r="O1103" t="s">
        <v>1290</v>
      </c>
      <c r="P1103" t="s">
        <v>68</v>
      </c>
      <c r="Q1103">
        <v>14.4</v>
      </c>
      <c r="R1103">
        <v>8.5999999999999943</v>
      </c>
      <c r="S1103" t="s">
        <v>69</v>
      </c>
    </row>
    <row r="1104" spans="1:19" x14ac:dyDescent="0.35">
      <c r="A1104">
        <v>5884</v>
      </c>
      <c r="B1104" t="str">
        <f>"005884"</f>
        <v>005884</v>
      </c>
      <c r="C1104" t="s">
        <v>4326</v>
      </c>
      <c r="D1104" t="s">
        <v>3400</v>
      </c>
      <c r="E1104" t="s">
        <v>3395</v>
      </c>
      <c r="F1104" t="s">
        <v>3396</v>
      </c>
      <c r="G1104" t="s">
        <v>511</v>
      </c>
      <c r="H1104" t="s">
        <v>4327</v>
      </c>
      <c r="I1104" t="s">
        <v>4328</v>
      </c>
      <c r="J1104" t="s">
        <v>1293</v>
      </c>
      <c r="K1104" t="s">
        <v>55</v>
      </c>
      <c r="L1104" t="s">
        <v>1294</v>
      </c>
      <c r="M1104" t="s">
        <v>57</v>
      </c>
      <c r="N1104" t="str">
        <f>"047183"</f>
        <v>047183</v>
      </c>
      <c r="O1104" t="s">
        <v>1290</v>
      </c>
      <c r="P1104" t="s">
        <v>68</v>
      </c>
      <c r="Q1104">
        <v>18.3</v>
      </c>
      <c r="R1104">
        <v>9.9000000000000057</v>
      </c>
      <c r="S1104" t="s">
        <v>69</v>
      </c>
    </row>
    <row r="1105" spans="1:19" x14ac:dyDescent="0.35">
      <c r="A1105">
        <v>5892</v>
      </c>
      <c r="B1105" t="str">
        <f>"005892"</f>
        <v>005892</v>
      </c>
      <c r="C1105" t="s">
        <v>4329</v>
      </c>
      <c r="D1105" t="s">
        <v>3394</v>
      </c>
      <c r="E1105" t="s">
        <v>3395</v>
      </c>
      <c r="F1105" t="s">
        <v>3396</v>
      </c>
      <c r="G1105" t="s">
        <v>63</v>
      </c>
      <c r="H1105" t="s">
        <v>4330</v>
      </c>
      <c r="I1105" t="s">
        <v>4331</v>
      </c>
      <c r="J1105" t="s">
        <v>285</v>
      </c>
      <c r="K1105" t="s">
        <v>55</v>
      </c>
      <c r="L1105" t="s">
        <v>3798</v>
      </c>
      <c r="M1105" t="s">
        <v>57</v>
      </c>
      <c r="N1105" t="str">
        <f>"043786"</f>
        <v>043786</v>
      </c>
      <c r="O1105" t="s">
        <v>1340</v>
      </c>
      <c r="P1105" t="s">
        <v>68</v>
      </c>
      <c r="Q1105">
        <v>100</v>
      </c>
      <c r="R1105">
        <v>61.3</v>
      </c>
      <c r="S1105" t="s">
        <v>69</v>
      </c>
    </row>
    <row r="1106" spans="1:19" x14ac:dyDescent="0.35">
      <c r="A1106">
        <v>5900</v>
      </c>
      <c r="B1106" t="str">
        <f>"005900"</f>
        <v>005900</v>
      </c>
      <c r="C1106" t="s">
        <v>4332</v>
      </c>
      <c r="D1106" t="s">
        <v>3394</v>
      </c>
      <c r="E1106" t="s">
        <v>3395</v>
      </c>
      <c r="F1106" t="s">
        <v>3396</v>
      </c>
      <c r="G1106" t="s">
        <v>63</v>
      </c>
      <c r="H1106" t="s">
        <v>4333</v>
      </c>
      <c r="I1106" t="s">
        <v>4334</v>
      </c>
      <c r="J1106" t="s">
        <v>285</v>
      </c>
      <c r="K1106" t="s">
        <v>55</v>
      </c>
      <c r="L1106" t="s">
        <v>4335</v>
      </c>
      <c r="M1106" t="s">
        <v>57</v>
      </c>
      <c r="N1106" t="str">
        <f>"043786"</f>
        <v>043786</v>
      </c>
      <c r="O1106" t="s">
        <v>1340</v>
      </c>
      <c r="P1106" t="s">
        <v>68</v>
      </c>
      <c r="Q1106">
        <v>100</v>
      </c>
      <c r="R1106">
        <v>100</v>
      </c>
      <c r="S1106" t="s">
        <v>69</v>
      </c>
    </row>
    <row r="1107" spans="1:19" x14ac:dyDescent="0.35">
      <c r="A1107">
        <v>5926</v>
      </c>
      <c r="B1107" t="str">
        <f>"005926"</f>
        <v>005926</v>
      </c>
      <c r="C1107" t="s">
        <v>4336</v>
      </c>
      <c r="D1107" t="s">
        <v>3394</v>
      </c>
      <c r="E1107" t="s">
        <v>3395</v>
      </c>
      <c r="F1107" t="s">
        <v>3396</v>
      </c>
      <c r="G1107" t="s">
        <v>117</v>
      </c>
      <c r="H1107" t="s">
        <v>4337</v>
      </c>
      <c r="I1107" t="s">
        <v>4338</v>
      </c>
      <c r="J1107" t="s">
        <v>1409</v>
      </c>
      <c r="K1107" t="s">
        <v>55</v>
      </c>
      <c r="L1107" t="s">
        <v>4339</v>
      </c>
      <c r="M1107" t="s">
        <v>57</v>
      </c>
      <c r="N1107" t="str">
        <f>"049932"</f>
        <v>049932</v>
      </c>
      <c r="O1107" t="s">
        <v>1406</v>
      </c>
      <c r="P1107" t="s">
        <v>68</v>
      </c>
      <c r="Q1107">
        <v>50.7</v>
      </c>
      <c r="R1107">
        <v>27.200000000000003</v>
      </c>
      <c r="S1107" t="s">
        <v>77</v>
      </c>
    </row>
    <row r="1108" spans="1:19" x14ac:dyDescent="0.35">
      <c r="A1108">
        <v>5942</v>
      </c>
      <c r="B1108" t="str">
        <f>"005942"</f>
        <v>005942</v>
      </c>
      <c r="C1108" t="s">
        <v>4340</v>
      </c>
      <c r="D1108" t="s">
        <v>3394</v>
      </c>
      <c r="E1108" t="s">
        <v>3395</v>
      </c>
      <c r="F1108" t="s">
        <v>3396</v>
      </c>
      <c r="G1108" t="s">
        <v>63</v>
      </c>
      <c r="H1108" t="s">
        <v>4341</v>
      </c>
      <c r="I1108" t="s">
        <v>4342</v>
      </c>
      <c r="J1108" t="s">
        <v>285</v>
      </c>
      <c r="K1108" t="s">
        <v>55</v>
      </c>
      <c r="L1108" t="s">
        <v>1711</v>
      </c>
      <c r="M1108" t="s">
        <v>57</v>
      </c>
      <c r="N1108" t="str">
        <f>"043786"</f>
        <v>043786</v>
      </c>
      <c r="O1108" t="s">
        <v>1340</v>
      </c>
      <c r="P1108" t="s">
        <v>68</v>
      </c>
      <c r="Q1108">
        <v>100</v>
      </c>
      <c r="R1108">
        <v>100</v>
      </c>
      <c r="S1108" t="s">
        <v>69</v>
      </c>
    </row>
    <row r="1109" spans="1:19" x14ac:dyDescent="0.35">
      <c r="A1109">
        <v>5967</v>
      </c>
      <c r="B1109" t="str">
        <f>"005967"</f>
        <v>005967</v>
      </c>
      <c r="C1109" t="s">
        <v>4343</v>
      </c>
      <c r="D1109" t="s">
        <v>3394</v>
      </c>
      <c r="E1109" t="s">
        <v>3395</v>
      </c>
      <c r="F1109" t="s">
        <v>3396</v>
      </c>
      <c r="G1109" t="s">
        <v>212</v>
      </c>
      <c r="H1109" t="s">
        <v>4344</v>
      </c>
      <c r="I1109" t="s">
        <v>4345</v>
      </c>
      <c r="J1109" t="s">
        <v>215</v>
      </c>
      <c r="K1109" t="s">
        <v>55</v>
      </c>
      <c r="L1109" t="s">
        <v>4346</v>
      </c>
      <c r="M1109" t="s">
        <v>57</v>
      </c>
      <c r="N1109" t="str">
        <f>"047373"</f>
        <v>047373</v>
      </c>
      <c r="O1109" t="s">
        <v>1509</v>
      </c>
      <c r="P1109" t="s">
        <v>68</v>
      </c>
      <c r="Q1109">
        <v>24</v>
      </c>
      <c r="R1109">
        <v>17.400000000000006</v>
      </c>
      <c r="S1109" t="s">
        <v>217</v>
      </c>
    </row>
    <row r="1110" spans="1:19" x14ac:dyDescent="0.35">
      <c r="A1110">
        <v>6007</v>
      </c>
      <c r="B1110" t="str">
        <f>"006007"</f>
        <v>006007</v>
      </c>
      <c r="C1110" t="s">
        <v>4347</v>
      </c>
      <c r="D1110" t="s">
        <v>3394</v>
      </c>
      <c r="E1110" t="s">
        <v>3395</v>
      </c>
      <c r="F1110" t="s">
        <v>3396</v>
      </c>
      <c r="G1110" t="s">
        <v>200</v>
      </c>
      <c r="H1110" t="s">
        <v>4348</v>
      </c>
      <c r="I1110" t="s">
        <v>4349</v>
      </c>
      <c r="J1110" t="s">
        <v>304</v>
      </c>
      <c r="K1110" t="s">
        <v>55</v>
      </c>
      <c r="L1110" t="s">
        <v>4350</v>
      </c>
      <c r="M1110" t="s">
        <v>57</v>
      </c>
      <c r="N1110" t="str">
        <f>"044909"</f>
        <v>044909</v>
      </c>
      <c r="O1110" t="s">
        <v>3318</v>
      </c>
      <c r="P1110" t="s">
        <v>68</v>
      </c>
      <c r="Q1110">
        <v>100</v>
      </c>
      <c r="R1110">
        <v>84.1</v>
      </c>
      <c r="S1110" t="s">
        <v>156</v>
      </c>
    </row>
    <row r="1111" spans="1:19" x14ac:dyDescent="0.35">
      <c r="A1111">
        <v>6015</v>
      </c>
      <c r="B1111" t="str">
        <f>"006015"</f>
        <v>006015</v>
      </c>
      <c r="C1111" t="s">
        <v>4351</v>
      </c>
      <c r="D1111" t="s">
        <v>3394</v>
      </c>
      <c r="E1111" t="s">
        <v>3395</v>
      </c>
      <c r="F1111" t="s">
        <v>3396</v>
      </c>
      <c r="G1111" t="s">
        <v>212</v>
      </c>
      <c r="H1111" t="s">
        <v>4352</v>
      </c>
      <c r="I1111" t="s">
        <v>4353</v>
      </c>
      <c r="J1111" t="s">
        <v>215</v>
      </c>
      <c r="K1111" t="s">
        <v>55</v>
      </c>
      <c r="L1111" t="s">
        <v>2795</v>
      </c>
      <c r="M1111" t="s">
        <v>57</v>
      </c>
      <c r="N1111" t="str">
        <f>"043752"</f>
        <v>043752</v>
      </c>
      <c r="O1111" t="s">
        <v>440</v>
      </c>
      <c r="P1111" t="s">
        <v>68</v>
      </c>
      <c r="Q1111">
        <v>99.7</v>
      </c>
      <c r="R1111">
        <v>89.5</v>
      </c>
      <c r="S1111" t="s">
        <v>217</v>
      </c>
    </row>
    <row r="1112" spans="1:19" x14ac:dyDescent="0.35">
      <c r="A1112">
        <v>6049</v>
      </c>
      <c r="B1112" t="str">
        <f>"006049"</f>
        <v>006049</v>
      </c>
      <c r="C1112" t="s">
        <v>4354</v>
      </c>
      <c r="D1112" t="s">
        <v>3394</v>
      </c>
      <c r="E1112" t="s">
        <v>3395</v>
      </c>
      <c r="F1112" t="s">
        <v>3396</v>
      </c>
      <c r="G1112" t="s">
        <v>600</v>
      </c>
      <c r="H1112" t="s">
        <v>4355</v>
      </c>
      <c r="I1112" t="s">
        <v>4356</v>
      </c>
      <c r="J1112" t="s">
        <v>2690</v>
      </c>
      <c r="K1112" t="s">
        <v>55</v>
      </c>
      <c r="L1112" t="s">
        <v>2691</v>
      </c>
      <c r="M1112" t="s">
        <v>57</v>
      </c>
      <c r="N1112" t="str">
        <f>"045047"</f>
        <v>045047</v>
      </c>
      <c r="O1112" t="s">
        <v>2687</v>
      </c>
      <c r="P1112" t="s">
        <v>68</v>
      </c>
      <c r="Q1112">
        <v>49.9</v>
      </c>
      <c r="R1112">
        <v>54.8</v>
      </c>
      <c r="S1112" t="s">
        <v>60</v>
      </c>
    </row>
    <row r="1113" spans="1:19" x14ac:dyDescent="0.35">
      <c r="A1113">
        <v>6056</v>
      </c>
      <c r="B1113" t="str">
        <f>"006056"</f>
        <v>006056</v>
      </c>
      <c r="C1113" t="s">
        <v>4357</v>
      </c>
      <c r="D1113" t="s">
        <v>3394</v>
      </c>
      <c r="E1113" t="s">
        <v>3395</v>
      </c>
      <c r="F1113" t="s">
        <v>3396</v>
      </c>
      <c r="G1113" t="s">
        <v>200</v>
      </c>
      <c r="H1113" t="s">
        <v>4358</v>
      </c>
      <c r="I1113" t="s">
        <v>4359</v>
      </c>
      <c r="J1113" t="s">
        <v>304</v>
      </c>
      <c r="K1113" t="s">
        <v>55</v>
      </c>
      <c r="L1113" t="s">
        <v>4360</v>
      </c>
      <c r="M1113" t="s">
        <v>57</v>
      </c>
      <c r="N1113" t="str">
        <f>"044909"</f>
        <v>044909</v>
      </c>
      <c r="O1113" t="s">
        <v>3318</v>
      </c>
      <c r="P1113" t="s">
        <v>68</v>
      </c>
      <c r="Q1113">
        <v>89.5</v>
      </c>
      <c r="R1113">
        <v>87.3</v>
      </c>
      <c r="S1113" t="s">
        <v>156</v>
      </c>
    </row>
    <row r="1114" spans="1:19" x14ac:dyDescent="0.35">
      <c r="A1114">
        <v>6072</v>
      </c>
      <c r="B1114" t="str">
        <f>"006072"</f>
        <v>006072</v>
      </c>
      <c r="C1114" t="s">
        <v>4361</v>
      </c>
      <c r="D1114" t="s">
        <v>3400</v>
      </c>
      <c r="E1114" t="s">
        <v>3395</v>
      </c>
      <c r="F1114" t="s">
        <v>3396</v>
      </c>
      <c r="G1114" t="s">
        <v>344</v>
      </c>
      <c r="H1114" t="s">
        <v>4362</v>
      </c>
      <c r="I1114" t="s">
        <v>4363</v>
      </c>
      <c r="J1114" t="s">
        <v>2488</v>
      </c>
      <c r="K1114" t="s">
        <v>55</v>
      </c>
      <c r="L1114" t="s">
        <v>2489</v>
      </c>
      <c r="M1114" t="s">
        <v>57</v>
      </c>
      <c r="N1114" t="str">
        <f>"047092"</f>
        <v>047092</v>
      </c>
      <c r="O1114" t="s">
        <v>2485</v>
      </c>
      <c r="P1114" t="s">
        <v>68</v>
      </c>
      <c r="Q1114">
        <v>33.5</v>
      </c>
      <c r="R1114">
        <v>13.799999999999997</v>
      </c>
      <c r="S1114" t="s">
        <v>156</v>
      </c>
    </row>
    <row r="1115" spans="1:19" x14ac:dyDescent="0.35">
      <c r="A1115">
        <v>6080</v>
      </c>
      <c r="B1115" t="str">
        <f>"006080"</f>
        <v>006080</v>
      </c>
      <c r="C1115" t="s">
        <v>4364</v>
      </c>
      <c r="D1115" t="s">
        <v>3394</v>
      </c>
      <c r="E1115" t="s">
        <v>3395</v>
      </c>
      <c r="F1115" t="s">
        <v>3396</v>
      </c>
      <c r="G1115" t="s">
        <v>110</v>
      </c>
      <c r="H1115" t="s">
        <v>4365</v>
      </c>
      <c r="I1115" t="s">
        <v>4366</v>
      </c>
      <c r="J1115" t="s">
        <v>671</v>
      </c>
      <c r="K1115" t="s">
        <v>55</v>
      </c>
      <c r="L1115" t="s">
        <v>672</v>
      </c>
      <c r="M1115" t="s">
        <v>57</v>
      </c>
      <c r="N1115" t="str">
        <f>"044453"</f>
        <v>044453</v>
      </c>
      <c r="O1115" t="s">
        <v>668</v>
      </c>
      <c r="P1115" t="s">
        <v>68</v>
      </c>
      <c r="Q1115">
        <v>61.1</v>
      </c>
      <c r="R1115">
        <v>14.900000000000006</v>
      </c>
      <c r="S1115" t="s">
        <v>60</v>
      </c>
    </row>
    <row r="1116" spans="1:19" x14ac:dyDescent="0.35">
      <c r="A1116">
        <v>6098</v>
      </c>
      <c r="B1116" t="str">
        <f>"006098"</f>
        <v>006098</v>
      </c>
      <c r="C1116" t="s">
        <v>4367</v>
      </c>
      <c r="D1116" t="s">
        <v>3398</v>
      </c>
      <c r="E1116" t="s">
        <v>3395</v>
      </c>
      <c r="F1116" t="s">
        <v>3396</v>
      </c>
      <c r="G1116" t="s">
        <v>1335</v>
      </c>
      <c r="H1116" t="s">
        <v>4368</v>
      </c>
      <c r="I1116" t="s">
        <v>4369</v>
      </c>
      <c r="J1116" t="s">
        <v>1338</v>
      </c>
      <c r="K1116" t="s">
        <v>55</v>
      </c>
      <c r="L1116" t="s">
        <v>1339</v>
      </c>
      <c r="M1116" t="s">
        <v>57</v>
      </c>
      <c r="N1116" t="str">
        <f>"045294"</f>
        <v>045294</v>
      </c>
      <c r="O1116" t="s">
        <v>3352</v>
      </c>
      <c r="P1116" t="s">
        <v>68</v>
      </c>
      <c r="Q1116">
        <v>39.1</v>
      </c>
      <c r="R1116">
        <v>4.7000000000000028</v>
      </c>
      <c r="S1116" t="s">
        <v>130</v>
      </c>
    </row>
    <row r="1117" spans="1:19" x14ac:dyDescent="0.35">
      <c r="A1117">
        <v>6189</v>
      </c>
      <c r="B1117" t="str">
        <f>"006189"</f>
        <v>006189</v>
      </c>
      <c r="C1117" t="s">
        <v>4217</v>
      </c>
      <c r="D1117" t="s">
        <v>3394</v>
      </c>
      <c r="E1117" t="s">
        <v>3395</v>
      </c>
      <c r="F1117" t="s">
        <v>3396</v>
      </c>
      <c r="G1117" t="s">
        <v>63</v>
      </c>
      <c r="H1117" t="s">
        <v>4370</v>
      </c>
      <c r="I1117" t="s">
        <v>4371</v>
      </c>
      <c r="J1117" t="s">
        <v>2775</v>
      </c>
      <c r="K1117" t="s">
        <v>55</v>
      </c>
      <c r="L1117" t="s">
        <v>2776</v>
      </c>
      <c r="M1117" t="s">
        <v>57</v>
      </c>
      <c r="N1117" t="str">
        <f>"044529"</f>
        <v>044529</v>
      </c>
      <c r="O1117" t="s">
        <v>2772</v>
      </c>
      <c r="P1117" t="s">
        <v>68</v>
      </c>
      <c r="Q1117">
        <v>45.2</v>
      </c>
      <c r="R1117">
        <v>20.599999999999994</v>
      </c>
      <c r="S1117" t="s">
        <v>69</v>
      </c>
    </row>
    <row r="1118" spans="1:19" x14ac:dyDescent="0.35">
      <c r="A1118">
        <v>6213</v>
      </c>
      <c r="B1118" t="str">
        <f>"006213"</f>
        <v>006213</v>
      </c>
      <c r="C1118" t="s">
        <v>4372</v>
      </c>
      <c r="D1118" t="s">
        <v>3394</v>
      </c>
      <c r="E1118" t="s">
        <v>3395</v>
      </c>
      <c r="F1118" t="s">
        <v>3396</v>
      </c>
      <c r="G1118" t="s">
        <v>712</v>
      </c>
      <c r="H1118" t="s">
        <v>4373</v>
      </c>
      <c r="I1118" t="s">
        <v>4374</v>
      </c>
      <c r="J1118" t="s">
        <v>3806</v>
      </c>
      <c r="K1118" t="s">
        <v>55</v>
      </c>
      <c r="L1118" t="s">
        <v>3807</v>
      </c>
      <c r="M1118" t="s">
        <v>57</v>
      </c>
      <c r="N1118" t="str">
        <f>"047688"</f>
        <v>047688</v>
      </c>
      <c r="O1118" t="s">
        <v>2208</v>
      </c>
      <c r="P1118" t="s">
        <v>68</v>
      </c>
      <c r="Q1118">
        <v>22.3</v>
      </c>
      <c r="R1118">
        <v>0</v>
      </c>
      <c r="S1118" t="s">
        <v>77</v>
      </c>
    </row>
    <row r="1119" spans="1:19" x14ac:dyDescent="0.35">
      <c r="A1119">
        <v>6239</v>
      </c>
      <c r="B1119" t="str">
        <f>"006239"</f>
        <v>006239</v>
      </c>
      <c r="C1119" t="s">
        <v>4375</v>
      </c>
      <c r="D1119" t="s">
        <v>3394</v>
      </c>
      <c r="E1119" t="s">
        <v>3395</v>
      </c>
      <c r="F1119" t="s">
        <v>3396</v>
      </c>
      <c r="G1119" t="s">
        <v>212</v>
      </c>
      <c r="H1119" t="s">
        <v>4376</v>
      </c>
      <c r="I1119" t="s">
        <v>4377</v>
      </c>
      <c r="J1119" t="s">
        <v>215</v>
      </c>
      <c r="K1119" t="s">
        <v>55</v>
      </c>
      <c r="L1119" t="s">
        <v>3974</v>
      </c>
      <c r="M1119" t="s">
        <v>57</v>
      </c>
      <c r="N1119" t="str">
        <f>"043752"</f>
        <v>043752</v>
      </c>
      <c r="O1119" t="s">
        <v>440</v>
      </c>
      <c r="P1119" t="s">
        <v>68</v>
      </c>
      <c r="Q1119">
        <v>100</v>
      </c>
      <c r="R1119">
        <v>74</v>
      </c>
      <c r="S1119" t="s">
        <v>217</v>
      </c>
    </row>
    <row r="1120" spans="1:19" x14ac:dyDescent="0.35">
      <c r="A1120">
        <v>6296</v>
      </c>
      <c r="B1120" t="str">
        <f>"006296"</f>
        <v>006296</v>
      </c>
      <c r="C1120" t="s">
        <v>4378</v>
      </c>
      <c r="D1120" t="s">
        <v>3398</v>
      </c>
      <c r="E1120" t="s">
        <v>3395</v>
      </c>
      <c r="F1120" t="s">
        <v>3396</v>
      </c>
      <c r="G1120" t="s">
        <v>318</v>
      </c>
      <c r="H1120" t="s">
        <v>4379</v>
      </c>
      <c r="I1120" t="s">
        <v>4380</v>
      </c>
      <c r="J1120" t="s">
        <v>321</v>
      </c>
      <c r="K1120" t="s">
        <v>55</v>
      </c>
      <c r="L1120" t="s">
        <v>322</v>
      </c>
      <c r="M1120" t="s">
        <v>57</v>
      </c>
      <c r="N1120" t="str">
        <f>"043745"</f>
        <v>043745</v>
      </c>
      <c r="O1120" t="s">
        <v>2515</v>
      </c>
      <c r="P1120" t="s">
        <v>68</v>
      </c>
      <c r="Q1120">
        <v>100</v>
      </c>
      <c r="R1120">
        <v>23.5</v>
      </c>
      <c r="S1120" t="s">
        <v>130</v>
      </c>
    </row>
    <row r="1121" spans="1:19" x14ac:dyDescent="0.35">
      <c r="A1121">
        <v>6312</v>
      </c>
      <c r="B1121" t="str">
        <f>"006312"</f>
        <v>006312</v>
      </c>
      <c r="C1121" t="s">
        <v>4381</v>
      </c>
      <c r="D1121" t="s">
        <v>3398</v>
      </c>
      <c r="E1121" t="s">
        <v>3395</v>
      </c>
      <c r="F1121" t="s">
        <v>3396</v>
      </c>
      <c r="G1121" t="s">
        <v>187</v>
      </c>
      <c r="H1121" t="s">
        <v>4382</v>
      </c>
      <c r="I1121" t="s">
        <v>4383</v>
      </c>
      <c r="J1121" t="s">
        <v>190</v>
      </c>
      <c r="K1121" t="s">
        <v>55</v>
      </c>
      <c r="L1121" t="s">
        <v>191</v>
      </c>
      <c r="M1121" t="s">
        <v>57</v>
      </c>
      <c r="N1121" t="str">
        <f>"050534"</f>
        <v>050534</v>
      </c>
      <c r="O1121" t="s">
        <v>186</v>
      </c>
      <c r="P1121" t="s">
        <v>68</v>
      </c>
      <c r="Q1121">
        <v>23.8</v>
      </c>
      <c r="R1121">
        <v>5.4000000000000057</v>
      </c>
      <c r="S1121" t="s">
        <v>77</v>
      </c>
    </row>
    <row r="1122" spans="1:19" x14ac:dyDescent="0.35">
      <c r="A1122">
        <v>6320</v>
      </c>
      <c r="B1122" t="str">
        <f>"006320"</f>
        <v>006320</v>
      </c>
      <c r="C1122" t="s">
        <v>4384</v>
      </c>
      <c r="D1122" t="s">
        <v>3398</v>
      </c>
      <c r="E1122" t="s">
        <v>3395</v>
      </c>
      <c r="F1122" t="s">
        <v>3396</v>
      </c>
      <c r="G1122" t="s">
        <v>1567</v>
      </c>
      <c r="H1122" t="s">
        <v>4385</v>
      </c>
      <c r="I1122" t="s">
        <v>4386</v>
      </c>
      <c r="J1122" t="s">
        <v>1570</v>
      </c>
      <c r="K1122" t="s">
        <v>55</v>
      </c>
      <c r="L1122" t="s">
        <v>1571</v>
      </c>
      <c r="M1122" t="s">
        <v>57</v>
      </c>
      <c r="N1122" t="str">
        <f>"043760"</f>
        <v>043760</v>
      </c>
      <c r="O1122" t="s">
        <v>2197</v>
      </c>
      <c r="P1122" t="s">
        <v>68</v>
      </c>
      <c r="Q1122">
        <v>100</v>
      </c>
      <c r="R1122">
        <v>10.900000000000006</v>
      </c>
      <c r="S1122" t="s">
        <v>60</v>
      </c>
    </row>
    <row r="1123" spans="1:19" x14ac:dyDescent="0.35">
      <c r="A1123">
        <v>6338</v>
      </c>
      <c r="B1123" t="str">
        <f>"006338"</f>
        <v>006338</v>
      </c>
      <c r="C1123" t="s">
        <v>4387</v>
      </c>
      <c r="D1123" t="s">
        <v>3400</v>
      </c>
      <c r="E1123" t="s">
        <v>3395</v>
      </c>
      <c r="F1123" t="s">
        <v>3396</v>
      </c>
      <c r="G1123" t="s">
        <v>1567</v>
      </c>
      <c r="H1123" t="s">
        <v>4388</v>
      </c>
      <c r="I1123" t="s">
        <v>4389</v>
      </c>
      <c r="J1123" t="s">
        <v>1570</v>
      </c>
      <c r="K1123" t="s">
        <v>55</v>
      </c>
      <c r="L1123" t="s">
        <v>1571</v>
      </c>
      <c r="M1123" t="s">
        <v>57</v>
      </c>
      <c r="N1123" t="str">
        <f>"043760"</f>
        <v>043760</v>
      </c>
      <c r="O1123" t="s">
        <v>2197</v>
      </c>
      <c r="P1123" t="s">
        <v>68</v>
      </c>
      <c r="Q1123">
        <v>100</v>
      </c>
      <c r="R1123">
        <v>8.5</v>
      </c>
      <c r="S1123" t="s">
        <v>60</v>
      </c>
    </row>
    <row r="1124" spans="1:19" x14ac:dyDescent="0.35">
      <c r="A1124">
        <v>6353</v>
      </c>
      <c r="B1124" t="str">
        <f>"006353"</f>
        <v>006353</v>
      </c>
      <c r="C1124" t="s">
        <v>4390</v>
      </c>
      <c r="D1124" t="s">
        <v>3394</v>
      </c>
      <c r="E1124" t="s">
        <v>3395</v>
      </c>
      <c r="F1124" t="s">
        <v>3396</v>
      </c>
      <c r="G1124" t="s">
        <v>63</v>
      </c>
      <c r="H1124" t="s">
        <v>4391</v>
      </c>
      <c r="I1124" t="s">
        <v>4392</v>
      </c>
      <c r="J1124" t="s">
        <v>285</v>
      </c>
      <c r="K1124" t="s">
        <v>55</v>
      </c>
      <c r="L1124" t="s">
        <v>3561</v>
      </c>
      <c r="M1124" t="s">
        <v>57</v>
      </c>
      <c r="N1124" t="str">
        <f>"043786"</f>
        <v>043786</v>
      </c>
      <c r="O1124" t="s">
        <v>1340</v>
      </c>
      <c r="P1124" t="s">
        <v>68</v>
      </c>
      <c r="Q1124">
        <v>100</v>
      </c>
      <c r="R1124">
        <v>69.3</v>
      </c>
      <c r="S1124" t="s">
        <v>69</v>
      </c>
    </row>
    <row r="1125" spans="1:19" x14ac:dyDescent="0.35">
      <c r="A1125">
        <v>6379</v>
      </c>
      <c r="B1125" t="str">
        <f>"006379"</f>
        <v>006379</v>
      </c>
      <c r="C1125" t="s">
        <v>4393</v>
      </c>
      <c r="D1125" t="s">
        <v>3394</v>
      </c>
      <c r="E1125" t="s">
        <v>3395</v>
      </c>
      <c r="F1125" t="s">
        <v>3396</v>
      </c>
      <c r="G1125" t="s">
        <v>117</v>
      </c>
      <c r="H1125" t="s">
        <v>4394</v>
      </c>
      <c r="I1125" t="s">
        <v>4395</v>
      </c>
      <c r="J1125" t="s">
        <v>1409</v>
      </c>
      <c r="K1125" t="s">
        <v>55</v>
      </c>
      <c r="L1125" t="s">
        <v>3640</v>
      </c>
      <c r="M1125" t="s">
        <v>57</v>
      </c>
      <c r="N1125" t="str">
        <f>"043711"</f>
        <v>043711</v>
      </c>
      <c r="O1125" t="s">
        <v>3000</v>
      </c>
      <c r="P1125" t="s">
        <v>68</v>
      </c>
      <c r="Q1125">
        <v>100</v>
      </c>
      <c r="R1125">
        <v>67.3</v>
      </c>
      <c r="S1125" t="s">
        <v>77</v>
      </c>
    </row>
    <row r="1126" spans="1:19" x14ac:dyDescent="0.35">
      <c r="A1126">
        <v>6387</v>
      </c>
      <c r="B1126" t="str">
        <f>"006387"</f>
        <v>006387</v>
      </c>
      <c r="C1126" t="s">
        <v>4396</v>
      </c>
      <c r="D1126" t="s">
        <v>3394</v>
      </c>
      <c r="E1126" t="s">
        <v>3395</v>
      </c>
      <c r="F1126" t="s">
        <v>3396</v>
      </c>
      <c r="G1126" t="s">
        <v>600</v>
      </c>
      <c r="H1126" t="s">
        <v>4397</v>
      </c>
      <c r="I1126" t="s">
        <v>4398</v>
      </c>
      <c r="J1126" t="s">
        <v>1348</v>
      </c>
      <c r="K1126" t="s">
        <v>55</v>
      </c>
      <c r="L1126" t="s">
        <v>2733</v>
      </c>
      <c r="M1126" t="s">
        <v>57</v>
      </c>
      <c r="N1126" t="str">
        <f>"043802"</f>
        <v>043802</v>
      </c>
      <c r="O1126" t="s">
        <v>3171</v>
      </c>
      <c r="P1126" t="s">
        <v>68</v>
      </c>
      <c r="Q1126">
        <v>100</v>
      </c>
      <c r="R1126">
        <v>88.3</v>
      </c>
      <c r="S1126" t="s">
        <v>60</v>
      </c>
    </row>
    <row r="1127" spans="1:19" x14ac:dyDescent="0.35">
      <c r="A1127">
        <v>6429</v>
      </c>
      <c r="B1127" t="str">
        <f>"006429"</f>
        <v>006429</v>
      </c>
      <c r="C1127" t="s">
        <v>4399</v>
      </c>
      <c r="D1127" t="s">
        <v>3394</v>
      </c>
      <c r="E1127" t="s">
        <v>3395</v>
      </c>
      <c r="F1127" t="s">
        <v>3396</v>
      </c>
      <c r="G1127" t="s">
        <v>63</v>
      </c>
      <c r="H1127" t="s">
        <v>4400</v>
      </c>
      <c r="I1127" t="s">
        <v>4401</v>
      </c>
      <c r="J1127" t="s">
        <v>285</v>
      </c>
      <c r="K1127" t="s">
        <v>55</v>
      </c>
      <c r="L1127" t="s">
        <v>3458</v>
      </c>
      <c r="M1127" t="s">
        <v>57</v>
      </c>
      <c r="N1127" t="str">
        <f>"043786"</f>
        <v>043786</v>
      </c>
      <c r="O1127" t="s">
        <v>1340</v>
      </c>
      <c r="P1127" t="s">
        <v>68</v>
      </c>
      <c r="Q1127">
        <v>100</v>
      </c>
      <c r="R1127">
        <v>85.5</v>
      </c>
      <c r="S1127" t="s">
        <v>69</v>
      </c>
    </row>
    <row r="1128" spans="1:19" x14ac:dyDescent="0.35">
      <c r="A1128">
        <v>6494</v>
      </c>
      <c r="B1128" t="str">
        <f>"006494"</f>
        <v>006494</v>
      </c>
      <c r="C1128" t="s">
        <v>4402</v>
      </c>
      <c r="D1128" t="s">
        <v>3398</v>
      </c>
      <c r="E1128" t="s">
        <v>3395</v>
      </c>
      <c r="F1128" t="s">
        <v>3396</v>
      </c>
      <c r="G1128" t="s">
        <v>200</v>
      </c>
      <c r="H1128" t="s">
        <v>4403</v>
      </c>
      <c r="I1128" t="s">
        <v>4404</v>
      </c>
      <c r="J1128" t="s">
        <v>2685</v>
      </c>
      <c r="K1128" t="s">
        <v>55</v>
      </c>
      <c r="L1128" t="s">
        <v>2686</v>
      </c>
      <c r="M1128" t="s">
        <v>57</v>
      </c>
      <c r="N1128" t="str">
        <f>"044602"</f>
        <v>044602</v>
      </c>
      <c r="O1128" t="s">
        <v>2682</v>
      </c>
      <c r="P1128" t="s">
        <v>68</v>
      </c>
      <c r="Q1128">
        <v>41.1</v>
      </c>
      <c r="R1128">
        <v>22.299999999999997</v>
      </c>
      <c r="S1128" t="s">
        <v>156</v>
      </c>
    </row>
    <row r="1129" spans="1:19" x14ac:dyDescent="0.35">
      <c r="A1129">
        <v>6502</v>
      </c>
      <c r="B1129" t="str">
        <f>"006502"</f>
        <v>006502</v>
      </c>
      <c r="C1129" t="s">
        <v>4402</v>
      </c>
      <c r="D1129" t="s">
        <v>3398</v>
      </c>
      <c r="E1129" t="s">
        <v>3395</v>
      </c>
      <c r="F1129" t="s">
        <v>3396</v>
      </c>
      <c r="G1129" t="s">
        <v>219</v>
      </c>
      <c r="H1129" t="s">
        <v>220</v>
      </c>
      <c r="I1129" t="s">
        <v>221</v>
      </c>
      <c r="J1129" t="s">
        <v>222</v>
      </c>
      <c r="K1129" t="s">
        <v>55</v>
      </c>
      <c r="L1129" t="s">
        <v>223</v>
      </c>
      <c r="M1129" t="s">
        <v>57</v>
      </c>
      <c r="N1129" t="str">
        <f>"049601"</f>
        <v>049601</v>
      </c>
      <c r="O1129" t="s">
        <v>218</v>
      </c>
      <c r="P1129" t="s">
        <v>68</v>
      </c>
      <c r="Q1129">
        <v>65</v>
      </c>
      <c r="R1129">
        <v>7</v>
      </c>
      <c r="S1129" t="s">
        <v>130</v>
      </c>
    </row>
    <row r="1130" spans="1:19" x14ac:dyDescent="0.35">
      <c r="A1130">
        <v>6510</v>
      </c>
      <c r="B1130" t="str">
        <f>"006510"</f>
        <v>006510</v>
      </c>
      <c r="C1130" t="s">
        <v>4405</v>
      </c>
      <c r="D1130" t="s">
        <v>3400</v>
      </c>
      <c r="E1130" t="s">
        <v>3395</v>
      </c>
      <c r="F1130" t="s">
        <v>3396</v>
      </c>
      <c r="G1130" t="s">
        <v>71</v>
      </c>
      <c r="H1130" t="s">
        <v>4406</v>
      </c>
      <c r="I1130" t="s">
        <v>4407</v>
      </c>
      <c r="J1130" t="s">
        <v>4408</v>
      </c>
      <c r="K1130" t="s">
        <v>55</v>
      </c>
      <c r="L1130" t="s">
        <v>4409</v>
      </c>
      <c r="M1130" t="s">
        <v>57</v>
      </c>
      <c r="N1130" t="str">
        <f>"043778"</f>
        <v>043778</v>
      </c>
      <c r="O1130" t="s">
        <v>70</v>
      </c>
      <c r="P1130" t="s">
        <v>68</v>
      </c>
      <c r="Q1130">
        <v>99.5</v>
      </c>
      <c r="R1130">
        <v>7.5999999999999943</v>
      </c>
      <c r="S1130" t="s">
        <v>77</v>
      </c>
    </row>
    <row r="1131" spans="1:19" x14ac:dyDescent="0.35">
      <c r="A1131">
        <v>6528</v>
      </c>
      <c r="B1131" t="str">
        <f>"006528"</f>
        <v>006528</v>
      </c>
      <c r="C1131" t="s">
        <v>4410</v>
      </c>
      <c r="D1131" t="s">
        <v>3398</v>
      </c>
      <c r="E1131" t="s">
        <v>3395</v>
      </c>
      <c r="F1131" t="s">
        <v>3396</v>
      </c>
      <c r="G1131" t="s">
        <v>71</v>
      </c>
      <c r="H1131" t="s">
        <v>4411</v>
      </c>
      <c r="I1131" t="s">
        <v>4412</v>
      </c>
      <c r="J1131" t="s">
        <v>4408</v>
      </c>
      <c r="K1131" t="s">
        <v>55</v>
      </c>
      <c r="L1131" t="s">
        <v>4409</v>
      </c>
      <c r="M1131" t="s">
        <v>57</v>
      </c>
      <c r="N1131" t="str">
        <f>"043778"</f>
        <v>043778</v>
      </c>
      <c r="O1131" t="s">
        <v>70</v>
      </c>
      <c r="P1131" t="s">
        <v>68</v>
      </c>
      <c r="Q1131">
        <v>100</v>
      </c>
      <c r="R1131">
        <v>6.7999999999999972</v>
      </c>
      <c r="S1131" t="s">
        <v>77</v>
      </c>
    </row>
    <row r="1132" spans="1:19" x14ac:dyDescent="0.35">
      <c r="A1132">
        <v>6551</v>
      </c>
      <c r="B1132" t="str">
        <f>"006551"</f>
        <v>006551</v>
      </c>
      <c r="C1132" t="s">
        <v>4413</v>
      </c>
      <c r="D1132" t="s">
        <v>3398</v>
      </c>
      <c r="E1132" t="s">
        <v>3395</v>
      </c>
      <c r="F1132" t="s">
        <v>3396</v>
      </c>
      <c r="G1132" t="s">
        <v>663</v>
      </c>
      <c r="H1132" t="s">
        <v>4414</v>
      </c>
      <c r="I1132" t="s">
        <v>4415</v>
      </c>
      <c r="J1132" t="s">
        <v>932</v>
      </c>
      <c r="K1132" t="s">
        <v>55</v>
      </c>
      <c r="L1132" t="s">
        <v>933</v>
      </c>
      <c r="M1132" t="s">
        <v>57</v>
      </c>
      <c r="N1132" t="str">
        <f>"049411"</f>
        <v>049411</v>
      </c>
      <c r="O1132" t="s">
        <v>929</v>
      </c>
      <c r="P1132" t="s">
        <v>68</v>
      </c>
      <c r="Q1132">
        <v>22.5</v>
      </c>
      <c r="R1132">
        <v>5.4000000000000057</v>
      </c>
      <c r="S1132" t="s">
        <v>77</v>
      </c>
    </row>
    <row r="1133" spans="1:19" x14ac:dyDescent="0.35">
      <c r="A1133">
        <v>6577</v>
      </c>
      <c r="B1133" t="str">
        <f>"006577"</f>
        <v>006577</v>
      </c>
      <c r="C1133" t="s">
        <v>4416</v>
      </c>
      <c r="D1133" t="s">
        <v>3394</v>
      </c>
      <c r="E1133" t="s">
        <v>3395</v>
      </c>
      <c r="F1133" t="s">
        <v>3396</v>
      </c>
      <c r="G1133" t="s">
        <v>172</v>
      </c>
      <c r="H1133" t="s">
        <v>4417</v>
      </c>
      <c r="I1133" t="s">
        <v>4418</v>
      </c>
      <c r="J1133" t="s">
        <v>1873</v>
      </c>
      <c r="K1133" t="s">
        <v>55</v>
      </c>
      <c r="L1133" t="s">
        <v>1874</v>
      </c>
      <c r="M1133" t="s">
        <v>57</v>
      </c>
      <c r="N1133" t="str">
        <f>"050427"</f>
        <v>050427</v>
      </c>
      <c r="O1133" t="s">
        <v>1870</v>
      </c>
      <c r="P1133" t="s">
        <v>68</v>
      </c>
      <c r="Q1133">
        <v>9.4</v>
      </c>
      <c r="R1133">
        <v>15.900000000000006</v>
      </c>
      <c r="S1133" t="s">
        <v>217</v>
      </c>
    </row>
    <row r="1134" spans="1:19" x14ac:dyDescent="0.35">
      <c r="A1134">
        <v>6585</v>
      </c>
      <c r="B1134" t="str">
        <f>"006585"</f>
        <v>006585</v>
      </c>
      <c r="C1134" t="s">
        <v>4419</v>
      </c>
      <c r="D1134" t="s">
        <v>3394</v>
      </c>
      <c r="E1134" t="s">
        <v>3395</v>
      </c>
      <c r="F1134" t="s">
        <v>3396</v>
      </c>
      <c r="G1134" t="s">
        <v>92</v>
      </c>
      <c r="H1134" t="s">
        <v>4420</v>
      </c>
      <c r="I1134" t="s">
        <v>4421</v>
      </c>
      <c r="J1134" t="s">
        <v>420</v>
      </c>
      <c r="K1134" t="s">
        <v>55</v>
      </c>
      <c r="L1134" t="s">
        <v>421</v>
      </c>
      <c r="M1134" t="s">
        <v>57</v>
      </c>
      <c r="N1134" t="str">
        <f>"046847"</f>
        <v>046847</v>
      </c>
      <c r="O1134" t="s">
        <v>417</v>
      </c>
      <c r="P1134" t="s">
        <v>68</v>
      </c>
      <c r="Q1134">
        <v>38.700000000000003</v>
      </c>
      <c r="R1134">
        <v>4.9000000000000057</v>
      </c>
      <c r="S1134" t="s">
        <v>60</v>
      </c>
    </row>
    <row r="1135" spans="1:19" x14ac:dyDescent="0.35">
      <c r="A1135">
        <v>6593</v>
      </c>
      <c r="B1135" t="str">
        <f>"006593"</f>
        <v>006593</v>
      </c>
      <c r="C1135" t="s">
        <v>4422</v>
      </c>
      <c r="D1135" t="s">
        <v>3398</v>
      </c>
      <c r="E1135" t="s">
        <v>3395</v>
      </c>
      <c r="F1135" t="s">
        <v>3396</v>
      </c>
      <c r="G1135" t="s">
        <v>172</v>
      </c>
      <c r="H1135" t="s">
        <v>4423</v>
      </c>
      <c r="I1135" t="s">
        <v>4424</v>
      </c>
      <c r="J1135" t="s">
        <v>1873</v>
      </c>
      <c r="K1135" t="s">
        <v>55</v>
      </c>
      <c r="L1135" t="s">
        <v>1874</v>
      </c>
      <c r="M1135" t="s">
        <v>57</v>
      </c>
      <c r="N1135" t="str">
        <f>"050427"</f>
        <v>050427</v>
      </c>
      <c r="O1135" t="s">
        <v>1870</v>
      </c>
      <c r="P1135" t="s">
        <v>68</v>
      </c>
      <c r="Q1135">
        <v>7.6</v>
      </c>
      <c r="R1135">
        <v>11.400000000000006</v>
      </c>
      <c r="S1135" t="s">
        <v>217</v>
      </c>
    </row>
    <row r="1136" spans="1:19" x14ac:dyDescent="0.35">
      <c r="A1136">
        <v>6601</v>
      </c>
      <c r="B1136" t="str">
        <f>"006601"</f>
        <v>006601</v>
      </c>
      <c r="C1136" t="s">
        <v>4425</v>
      </c>
      <c r="D1136" t="s">
        <v>3394</v>
      </c>
      <c r="E1136" t="s">
        <v>3395</v>
      </c>
      <c r="F1136" t="s">
        <v>3396</v>
      </c>
      <c r="G1136" t="s">
        <v>117</v>
      </c>
      <c r="H1136" t="s">
        <v>4426</v>
      </c>
      <c r="I1136" t="s">
        <v>4427</v>
      </c>
      <c r="J1136" t="s">
        <v>3199</v>
      </c>
      <c r="K1136" t="s">
        <v>55</v>
      </c>
      <c r="L1136" t="s">
        <v>3200</v>
      </c>
      <c r="M1136" t="s">
        <v>57</v>
      </c>
      <c r="N1136" t="str">
        <f>"044503"</f>
        <v>044503</v>
      </c>
      <c r="O1136" t="s">
        <v>3196</v>
      </c>
      <c r="P1136" t="s">
        <v>68</v>
      </c>
      <c r="Q1136">
        <v>30.4</v>
      </c>
      <c r="R1136">
        <v>16</v>
      </c>
      <c r="S1136" t="s">
        <v>77</v>
      </c>
    </row>
    <row r="1137" spans="1:19" x14ac:dyDescent="0.35">
      <c r="A1137">
        <v>6619</v>
      </c>
      <c r="B1137" t="str">
        <f>"006619"</f>
        <v>006619</v>
      </c>
      <c r="C1137" t="s">
        <v>4428</v>
      </c>
      <c r="D1137" t="s">
        <v>3398</v>
      </c>
      <c r="E1137" t="s">
        <v>3395</v>
      </c>
      <c r="F1137" t="s">
        <v>3396</v>
      </c>
      <c r="G1137" t="s">
        <v>143</v>
      </c>
      <c r="H1137" t="s">
        <v>1031</v>
      </c>
      <c r="I1137" t="s">
        <v>1032</v>
      </c>
      <c r="J1137" t="s">
        <v>143</v>
      </c>
      <c r="K1137" t="s">
        <v>55</v>
      </c>
      <c r="L1137" t="s">
        <v>1033</v>
      </c>
      <c r="M1137" t="s">
        <v>57</v>
      </c>
      <c r="N1137" t="str">
        <f>"048132"</f>
        <v>048132</v>
      </c>
      <c r="O1137" t="s">
        <v>1030</v>
      </c>
      <c r="P1137" t="s">
        <v>68</v>
      </c>
      <c r="Q1137">
        <v>100</v>
      </c>
      <c r="R1137">
        <v>65.5</v>
      </c>
      <c r="S1137" t="s">
        <v>69</v>
      </c>
    </row>
    <row r="1138" spans="1:19" x14ac:dyDescent="0.35">
      <c r="A1138">
        <v>6627</v>
      </c>
      <c r="B1138" t="str">
        <f>"006627"</f>
        <v>006627</v>
      </c>
      <c r="C1138" t="s">
        <v>4429</v>
      </c>
      <c r="D1138" t="s">
        <v>3394</v>
      </c>
      <c r="E1138" t="s">
        <v>3395</v>
      </c>
      <c r="F1138" t="s">
        <v>3396</v>
      </c>
      <c r="G1138" t="s">
        <v>110</v>
      </c>
      <c r="H1138" t="s">
        <v>4430</v>
      </c>
      <c r="I1138" t="s">
        <v>4431</v>
      </c>
      <c r="J1138" t="s">
        <v>671</v>
      </c>
      <c r="K1138" t="s">
        <v>55</v>
      </c>
      <c r="L1138" t="s">
        <v>672</v>
      </c>
      <c r="M1138" t="s">
        <v>57</v>
      </c>
      <c r="N1138" t="str">
        <f>"044453"</f>
        <v>044453</v>
      </c>
      <c r="O1138" t="s">
        <v>668</v>
      </c>
      <c r="P1138" t="s">
        <v>68</v>
      </c>
      <c r="Q1138">
        <v>68.2</v>
      </c>
      <c r="R1138">
        <v>22.900000000000006</v>
      </c>
      <c r="S1138" t="s">
        <v>60</v>
      </c>
    </row>
    <row r="1139" spans="1:19" x14ac:dyDescent="0.35">
      <c r="A1139">
        <v>6635</v>
      </c>
      <c r="B1139" t="str">
        <f>"006635"</f>
        <v>006635</v>
      </c>
      <c r="C1139" t="s">
        <v>4432</v>
      </c>
      <c r="D1139" t="s">
        <v>3398</v>
      </c>
      <c r="E1139" t="s">
        <v>3395</v>
      </c>
      <c r="F1139" t="s">
        <v>3396</v>
      </c>
      <c r="G1139" t="s">
        <v>1041</v>
      </c>
      <c r="H1139" t="s">
        <v>4433</v>
      </c>
      <c r="I1139" t="s">
        <v>4434</v>
      </c>
      <c r="J1139" t="s">
        <v>2025</v>
      </c>
      <c r="K1139" t="s">
        <v>55</v>
      </c>
      <c r="L1139" t="s">
        <v>2026</v>
      </c>
      <c r="M1139" t="s">
        <v>57</v>
      </c>
      <c r="N1139" t="str">
        <f>"046326"</f>
        <v>046326</v>
      </c>
      <c r="O1139" t="s">
        <v>2022</v>
      </c>
      <c r="P1139" t="s">
        <v>68</v>
      </c>
      <c r="Q1139">
        <v>43.3</v>
      </c>
      <c r="R1139">
        <v>6.2000000000000028</v>
      </c>
      <c r="S1139" t="s">
        <v>217</v>
      </c>
    </row>
    <row r="1140" spans="1:19" x14ac:dyDescent="0.35">
      <c r="A1140">
        <v>6643</v>
      </c>
      <c r="B1140" t="str">
        <f>"006643"</f>
        <v>006643</v>
      </c>
      <c r="C1140" t="s">
        <v>4435</v>
      </c>
      <c r="D1140" t="s">
        <v>3394</v>
      </c>
      <c r="E1140" t="s">
        <v>3395</v>
      </c>
      <c r="F1140" t="s">
        <v>3396</v>
      </c>
      <c r="G1140" t="s">
        <v>543</v>
      </c>
      <c r="H1140" t="s">
        <v>4436</v>
      </c>
      <c r="I1140" t="s">
        <v>4437</v>
      </c>
      <c r="J1140" t="s">
        <v>687</v>
      </c>
      <c r="K1140" t="s">
        <v>55</v>
      </c>
      <c r="L1140" t="s">
        <v>3787</v>
      </c>
      <c r="M1140" t="s">
        <v>57</v>
      </c>
      <c r="N1140" t="str">
        <f>"043844"</f>
        <v>043844</v>
      </c>
      <c r="O1140" t="s">
        <v>985</v>
      </c>
      <c r="P1140" t="s">
        <v>68</v>
      </c>
      <c r="Q1140">
        <v>96.7</v>
      </c>
      <c r="R1140">
        <v>54.4</v>
      </c>
      <c r="S1140" t="s">
        <v>180</v>
      </c>
    </row>
    <row r="1141" spans="1:19" x14ac:dyDescent="0.35">
      <c r="A1141">
        <v>6650</v>
      </c>
      <c r="B1141" t="str">
        <f>"006650"</f>
        <v>006650</v>
      </c>
      <c r="C1141" t="s">
        <v>4438</v>
      </c>
      <c r="D1141" t="s">
        <v>3394</v>
      </c>
      <c r="E1141" t="s">
        <v>3395</v>
      </c>
      <c r="F1141" t="s">
        <v>3396</v>
      </c>
      <c r="G1141" t="s">
        <v>244</v>
      </c>
      <c r="H1141" t="s">
        <v>4439</v>
      </c>
      <c r="I1141" t="s">
        <v>4440</v>
      </c>
      <c r="J1141" t="s">
        <v>212</v>
      </c>
      <c r="K1141" t="s">
        <v>55</v>
      </c>
      <c r="L1141" t="s">
        <v>2312</v>
      </c>
      <c r="M1141" t="s">
        <v>57</v>
      </c>
      <c r="N1141" t="str">
        <f>"044107"</f>
        <v>044107</v>
      </c>
      <c r="O1141" t="s">
        <v>971</v>
      </c>
      <c r="P1141" t="s">
        <v>68</v>
      </c>
      <c r="Q1141">
        <v>100</v>
      </c>
      <c r="R1141">
        <v>27.900000000000006</v>
      </c>
      <c r="S1141" t="s">
        <v>217</v>
      </c>
    </row>
    <row r="1142" spans="1:19" x14ac:dyDescent="0.35">
      <c r="A1142">
        <v>6692</v>
      </c>
      <c r="B1142" t="str">
        <f>"006692"</f>
        <v>006692</v>
      </c>
      <c r="C1142" t="s">
        <v>4441</v>
      </c>
      <c r="D1142" t="s">
        <v>3394</v>
      </c>
      <c r="E1142" t="s">
        <v>3395</v>
      </c>
      <c r="F1142" t="s">
        <v>3396</v>
      </c>
      <c r="G1142" t="s">
        <v>600</v>
      </c>
      <c r="H1142" t="s">
        <v>4442</v>
      </c>
      <c r="I1142" t="s">
        <v>4443</v>
      </c>
      <c r="J1142" t="s">
        <v>1348</v>
      </c>
      <c r="K1142" t="s">
        <v>55</v>
      </c>
      <c r="L1142" t="s">
        <v>4444</v>
      </c>
      <c r="M1142" t="s">
        <v>57</v>
      </c>
      <c r="N1142" t="str">
        <f>"043802"</f>
        <v>043802</v>
      </c>
      <c r="O1142" t="s">
        <v>3171</v>
      </c>
      <c r="P1142" t="s">
        <v>68</v>
      </c>
      <c r="Q1142">
        <v>100</v>
      </c>
      <c r="R1142">
        <v>23.400000000000006</v>
      </c>
      <c r="S1142" t="s">
        <v>60</v>
      </c>
    </row>
    <row r="1143" spans="1:19" x14ac:dyDescent="0.35">
      <c r="A1143">
        <v>6700</v>
      </c>
      <c r="B1143" t="str">
        <f>"006700"</f>
        <v>006700</v>
      </c>
      <c r="C1143" t="s">
        <v>4445</v>
      </c>
      <c r="D1143" t="s">
        <v>3394</v>
      </c>
      <c r="E1143" t="s">
        <v>3395</v>
      </c>
      <c r="F1143" t="s">
        <v>3396</v>
      </c>
      <c r="G1143" t="s">
        <v>117</v>
      </c>
      <c r="H1143" t="s">
        <v>4446</v>
      </c>
      <c r="I1143" t="s">
        <v>4447</v>
      </c>
      <c r="J1143" t="s">
        <v>1806</v>
      </c>
      <c r="K1143" t="s">
        <v>55</v>
      </c>
      <c r="L1143" t="s">
        <v>1807</v>
      </c>
      <c r="M1143" t="s">
        <v>57</v>
      </c>
      <c r="N1143" t="str">
        <f>"049908"</f>
        <v>049908</v>
      </c>
      <c r="O1143" t="s">
        <v>1419</v>
      </c>
      <c r="P1143" t="s">
        <v>68</v>
      </c>
      <c r="Q1143">
        <v>21.9</v>
      </c>
      <c r="R1143">
        <v>9.2999999999999972</v>
      </c>
      <c r="S1143" t="s">
        <v>77</v>
      </c>
    </row>
    <row r="1144" spans="1:19" x14ac:dyDescent="0.35">
      <c r="A1144">
        <v>6734</v>
      </c>
      <c r="B1144" t="str">
        <f>"006734"</f>
        <v>006734</v>
      </c>
      <c r="C1144" t="s">
        <v>4448</v>
      </c>
      <c r="D1144" t="s">
        <v>3398</v>
      </c>
      <c r="E1144" t="s">
        <v>3395</v>
      </c>
      <c r="F1144" t="s">
        <v>3396</v>
      </c>
      <c r="G1144" t="s">
        <v>250</v>
      </c>
      <c r="H1144" t="s">
        <v>1583</v>
      </c>
      <c r="I1144" t="s">
        <v>1584</v>
      </c>
      <c r="J1144" t="s">
        <v>1585</v>
      </c>
      <c r="K1144" t="s">
        <v>55</v>
      </c>
      <c r="L1144" t="s">
        <v>1586</v>
      </c>
      <c r="M1144" t="s">
        <v>57</v>
      </c>
      <c r="N1144" t="str">
        <f>"046391"</f>
        <v>046391</v>
      </c>
      <c r="O1144" t="s">
        <v>1582</v>
      </c>
      <c r="P1144" t="s">
        <v>68</v>
      </c>
      <c r="Q1144">
        <v>17.7</v>
      </c>
      <c r="R1144">
        <v>4.2000000000000028</v>
      </c>
      <c r="S1144" t="s">
        <v>60</v>
      </c>
    </row>
    <row r="1145" spans="1:19" x14ac:dyDescent="0.35">
      <c r="A1145">
        <v>6742</v>
      </c>
      <c r="B1145" t="str">
        <f>"006742"</f>
        <v>006742</v>
      </c>
      <c r="C1145" t="s">
        <v>4449</v>
      </c>
      <c r="D1145" t="s">
        <v>3394</v>
      </c>
      <c r="E1145" t="s">
        <v>3395</v>
      </c>
      <c r="F1145" t="s">
        <v>3396</v>
      </c>
      <c r="G1145" t="s">
        <v>1041</v>
      </c>
      <c r="H1145" t="s">
        <v>4450</v>
      </c>
      <c r="I1145" t="s">
        <v>4451</v>
      </c>
      <c r="J1145" t="s">
        <v>215</v>
      </c>
      <c r="K1145" t="s">
        <v>55</v>
      </c>
      <c r="L1145" t="s">
        <v>1044</v>
      </c>
      <c r="M1145" t="s">
        <v>57</v>
      </c>
      <c r="N1145" t="str">
        <f>"046359"</f>
        <v>046359</v>
      </c>
      <c r="O1145" t="s">
        <v>1040</v>
      </c>
      <c r="P1145" t="s">
        <v>68</v>
      </c>
      <c r="Q1145">
        <v>24.9</v>
      </c>
      <c r="R1145">
        <v>21.099999999999994</v>
      </c>
      <c r="S1145" t="s">
        <v>217</v>
      </c>
    </row>
    <row r="1146" spans="1:19" x14ac:dyDescent="0.35">
      <c r="A1146">
        <v>6759</v>
      </c>
      <c r="B1146" t="str">
        <f>"006759"</f>
        <v>006759</v>
      </c>
      <c r="C1146" t="s">
        <v>4452</v>
      </c>
      <c r="D1146" t="s">
        <v>3398</v>
      </c>
      <c r="E1146" t="s">
        <v>3395</v>
      </c>
      <c r="F1146" t="s">
        <v>3396</v>
      </c>
      <c r="G1146" t="s">
        <v>406</v>
      </c>
      <c r="H1146" t="s">
        <v>2165</v>
      </c>
      <c r="I1146" t="s">
        <v>2166</v>
      </c>
      <c r="J1146" t="s">
        <v>2167</v>
      </c>
      <c r="K1146" t="s">
        <v>55</v>
      </c>
      <c r="L1146" t="s">
        <v>2168</v>
      </c>
      <c r="M1146" t="s">
        <v>57</v>
      </c>
      <c r="N1146" t="str">
        <f>"048488"</f>
        <v>048488</v>
      </c>
      <c r="O1146" t="s">
        <v>2164</v>
      </c>
      <c r="P1146" t="s">
        <v>68</v>
      </c>
      <c r="Q1146">
        <v>27</v>
      </c>
      <c r="R1146">
        <v>8.5999999999999943</v>
      </c>
      <c r="S1146" t="s">
        <v>77</v>
      </c>
    </row>
    <row r="1147" spans="1:19" x14ac:dyDescent="0.35">
      <c r="A1147">
        <v>6775</v>
      </c>
      <c r="B1147" t="str">
        <f>"006775"</f>
        <v>006775</v>
      </c>
      <c r="C1147" t="s">
        <v>4453</v>
      </c>
      <c r="D1147" t="s">
        <v>3394</v>
      </c>
      <c r="E1147" t="s">
        <v>3395</v>
      </c>
      <c r="F1147" t="s">
        <v>3396</v>
      </c>
      <c r="G1147" t="s">
        <v>212</v>
      </c>
      <c r="H1147" t="s">
        <v>4454</v>
      </c>
      <c r="I1147" t="s">
        <v>4455</v>
      </c>
      <c r="J1147" t="s">
        <v>4456</v>
      </c>
      <c r="K1147" t="s">
        <v>55</v>
      </c>
      <c r="L1147" t="s">
        <v>614</v>
      </c>
      <c r="M1147" t="s">
        <v>57</v>
      </c>
      <c r="N1147" t="str">
        <f>"044511"</f>
        <v>044511</v>
      </c>
      <c r="O1147" t="s">
        <v>1163</v>
      </c>
      <c r="P1147" t="s">
        <v>68</v>
      </c>
      <c r="Q1147">
        <v>100</v>
      </c>
      <c r="R1147">
        <v>92.5</v>
      </c>
      <c r="S1147" t="s">
        <v>217</v>
      </c>
    </row>
    <row r="1148" spans="1:19" x14ac:dyDescent="0.35">
      <c r="A1148">
        <v>6783</v>
      </c>
      <c r="B1148" t="str">
        <f>"006783"</f>
        <v>006783</v>
      </c>
      <c r="C1148" t="s">
        <v>4457</v>
      </c>
      <c r="D1148" t="s">
        <v>3400</v>
      </c>
      <c r="E1148" t="s">
        <v>3395</v>
      </c>
      <c r="F1148" t="s">
        <v>3396</v>
      </c>
      <c r="G1148" t="s">
        <v>400</v>
      </c>
      <c r="H1148" t="s">
        <v>4458</v>
      </c>
      <c r="I1148" t="s">
        <v>4459</v>
      </c>
      <c r="J1148" t="s">
        <v>403</v>
      </c>
      <c r="K1148" t="s">
        <v>55</v>
      </c>
      <c r="L1148" t="s">
        <v>404</v>
      </c>
      <c r="M1148" t="s">
        <v>57</v>
      </c>
      <c r="N1148" t="str">
        <f>"045302"</f>
        <v>045302</v>
      </c>
      <c r="O1148" t="s">
        <v>399</v>
      </c>
      <c r="P1148" t="s">
        <v>68</v>
      </c>
      <c r="Q1148">
        <v>43.6</v>
      </c>
      <c r="R1148">
        <v>14.599999999999994</v>
      </c>
      <c r="S1148" t="s">
        <v>156</v>
      </c>
    </row>
    <row r="1149" spans="1:19" x14ac:dyDescent="0.35">
      <c r="A1149">
        <v>6791</v>
      </c>
      <c r="B1149" t="str">
        <f>"006791"</f>
        <v>006791</v>
      </c>
      <c r="C1149" t="s">
        <v>4460</v>
      </c>
      <c r="D1149" t="s">
        <v>3398</v>
      </c>
      <c r="E1149" t="s">
        <v>3395</v>
      </c>
      <c r="F1149" t="s">
        <v>3396</v>
      </c>
      <c r="G1149" t="s">
        <v>400</v>
      </c>
      <c r="H1149" t="s">
        <v>4461</v>
      </c>
      <c r="I1149" t="s">
        <v>4462</v>
      </c>
      <c r="J1149" t="s">
        <v>403</v>
      </c>
      <c r="K1149" t="s">
        <v>55</v>
      </c>
      <c r="L1149" t="s">
        <v>404</v>
      </c>
      <c r="M1149" t="s">
        <v>57</v>
      </c>
      <c r="N1149" t="str">
        <f>"045302"</f>
        <v>045302</v>
      </c>
      <c r="O1149" t="s">
        <v>399</v>
      </c>
      <c r="P1149" t="s">
        <v>68</v>
      </c>
      <c r="Q1149">
        <v>35.299999999999997</v>
      </c>
      <c r="R1149">
        <v>16.700000000000003</v>
      </c>
      <c r="S1149" t="s">
        <v>156</v>
      </c>
    </row>
    <row r="1150" spans="1:19" x14ac:dyDescent="0.35">
      <c r="A1150">
        <v>6809</v>
      </c>
      <c r="B1150" t="str">
        <f>"006809"</f>
        <v>006809</v>
      </c>
      <c r="C1150" t="s">
        <v>4463</v>
      </c>
      <c r="D1150" t="s">
        <v>3394</v>
      </c>
      <c r="E1150" t="s">
        <v>3395</v>
      </c>
      <c r="F1150" t="s">
        <v>3396</v>
      </c>
      <c r="G1150" t="s">
        <v>351</v>
      </c>
      <c r="H1150" t="s">
        <v>4464</v>
      </c>
      <c r="I1150" t="s">
        <v>4465</v>
      </c>
      <c r="J1150" t="s">
        <v>1839</v>
      </c>
      <c r="K1150" t="s">
        <v>55</v>
      </c>
      <c r="L1150" t="s">
        <v>1840</v>
      </c>
      <c r="M1150" t="s">
        <v>57</v>
      </c>
      <c r="N1150" t="str">
        <f>"045021"</f>
        <v>045021</v>
      </c>
      <c r="O1150" t="s">
        <v>1836</v>
      </c>
      <c r="P1150" t="s">
        <v>68</v>
      </c>
      <c r="Q1150">
        <v>99.3</v>
      </c>
      <c r="R1150">
        <v>3.0999999999999943</v>
      </c>
      <c r="S1150" t="s">
        <v>130</v>
      </c>
    </row>
    <row r="1151" spans="1:19" x14ac:dyDescent="0.35">
      <c r="A1151">
        <v>6841</v>
      </c>
      <c r="B1151" t="str">
        <f>"006841"</f>
        <v>006841</v>
      </c>
      <c r="C1151" t="s">
        <v>4466</v>
      </c>
      <c r="D1151" t="s">
        <v>3398</v>
      </c>
      <c r="E1151" t="s">
        <v>3395</v>
      </c>
      <c r="F1151" t="s">
        <v>3396</v>
      </c>
      <c r="G1151" t="s">
        <v>543</v>
      </c>
      <c r="H1151" t="s">
        <v>4467</v>
      </c>
      <c r="I1151" t="s">
        <v>4468</v>
      </c>
      <c r="J1151" t="s">
        <v>687</v>
      </c>
      <c r="K1151" t="s">
        <v>55</v>
      </c>
      <c r="L1151" t="s">
        <v>1990</v>
      </c>
      <c r="M1151" t="s">
        <v>57</v>
      </c>
      <c r="N1151" t="str">
        <f>"043844"</f>
        <v>043844</v>
      </c>
      <c r="O1151" t="s">
        <v>985</v>
      </c>
      <c r="P1151" t="s">
        <v>68</v>
      </c>
      <c r="Q1151">
        <v>94.8</v>
      </c>
      <c r="R1151">
        <v>91.1</v>
      </c>
      <c r="S1151" t="s">
        <v>180</v>
      </c>
    </row>
    <row r="1152" spans="1:19" x14ac:dyDescent="0.35">
      <c r="A1152">
        <v>6841</v>
      </c>
      <c r="B1152" t="str">
        <f>"006841"</f>
        <v>006841</v>
      </c>
      <c r="C1152" t="s">
        <v>4466</v>
      </c>
      <c r="D1152" t="s">
        <v>3929</v>
      </c>
      <c r="E1152" t="s">
        <v>3395</v>
      </c>
      <c r="F1152" t="s">
        <v>3396</v>
      </c>
      <c r="G1152" t="s">
        <v>543</v>
      </c>
      <c r="H1152" t="s">
        <v>4467</v>
      </c>
      <c r="I1152" t="s">
        <v>4468</v>
      </c>
      <c r="J1152" t="s">
        <v>687</v>
      </c>
      <c r="K1152" t="s">
        <v>55</v>
      </c>
      <c r="L1152" t="s">
        <v>1990</v>
      </c>
      <c r="M1152" t="s">
        <v>57</v>
      </c>
      <c r="N1152" t="str">
        <f>"043844"</f>
        <v>043844</v>
      </c>
      <c r="O1152" t="s">
        <v>985</v>
      </c>
      <c r="P1152" t="s">
        <v>68</v>
      </c>
      <c r="Q1152">
        <v>94.8</v>
      </c>
      <c r="R1152">
        <v>91.1</v>
      </c>
      <c r="S1152" t="s">
        <v>180</v>
      </c>
    </row>
    <row r="1153" spans="1:19" x14ac:dyDescent="0.35">
      <c r="A1153">
        <v>6858</v>
      </c>
      <c r="B1153" t="str">
        <f>"006858"</f>
        <v>006858</v>
      </c>
      <c r="C1153" t="s">
        <v>4469</v>
      </c>
      <c r="D1153" t="s">
        <v>3398</v>
      </c>
      <c r="E1153" t="s">
        <v>3395</v>
      </c>
      <c r="F1153" t="s">
        <v>3396</v>
      </c>
      <c r="G1153" t="s">
        <v>423</v>
      </c>
      <c r="H1153" t="s">
        <v>2117</v>
      </c>
      <c r="I1153" t="s">
        <v>2118</v>
      </c>
      <c r="J1153" t="s">
        <v>2119</v>
      </c>
      <c r="K1153" t="s">
        <v>55</v>
      </c>
      <c r="L1153" t="s">
        <v>2120</v>
      </c>
      <c r="M1153" t="s">
        <v>57</v>
      </c>
      <c r="N1153" t="str">
        <f>"045310"</f>
        <v>045310</v>
      </c>
      <c r="O1153" t="s">
        <v>2116</v>
      </c>
      <c r="P1153" t="s">
        <v>68</v>
      </c>
      <c r="Q1153">
        <v>13.3</v>
      </c>
      <c r="R1153">
        <v>4.5999999999999943</v>
      </c>
      <c r="S1153" t="s">
        <v>156</v>
      </c>
    </row>
    <row r="1154" spans="1:19" x14ac:dyDescent="0.35">
      <c r="A1154">
        <v>6874</v>
      </c>
      <c r="B1154" t="str">
        <f>"006874"</f>
        <v>006874</v>
      </c>
      <c r="C1154" t="s">
        <v>4470</v>
      </c>
      <c r="D1154" t="s">
        <v>3394</v>
      </c>
      <c r="E1154" t="s">
        <v>3395</v>
      </c>
      <c r="F1154" t="s">
        <v>3396</v>
      </c>
      <c r="G1154" t="s">
        <v>600</v>
      </c>
      <c r="H1154" t="s">
        <v>4471</v>
      </c>
      <c r="I1154" t="s">
        <v>4472</v>
      </c>
      <c r="J1154" t="s">
        <v>1348</v>
      </c>
      <c r="K1154" t="s">
        <v>55</v>
      </c>
      <c r="L1154" t="s">
        <v>4473</v>
      </c>
      <c r="M1154" t="s">
        <v>57</v>
      </c>
      <c r="N1154" t="str">
        <f>"043802"</f>
        <v>043802</v>
      </c>
      <c r="O1154" t="s">
        <v>3171</v>
      </c>
      <c r="P1154" t="s">
        <v>68</v>
      </c>
      <c r="Q1154">
        <v>100</v>
      </c>
      <c r="R1154">
        <v>60.8</v>
      </c>
      <c r="S1154" t="s">
        <v>60</v>
      </c>
    </row>
    <row r="1155" spans="1:19" x14ac:dyDescent="0.35">
      <c r="A1155">
        <v>6882</v>
      </c>
      <c r="B1155" t="str">
        <f>"006882"</f>
        <v>006882</v>
      </c>
      <c r="C1155" t="s">
        <v>4470</v>
      </c>
      <c r="D1155" t="s">
        <v>3394</v>
      </c>
      <c r="E1155" t="s">
        <v>3395</v>
      </c>
      <c r="F1155" t="s">
        <v>3396</v>
      </c>
      <c r="G1155" t="s">
        <v>212</v>
      </c>
      <c r="H1155" t="s">
        <v>4474</v>
      </c>
      <c r="I1155" t="s">
        <v>4475</v>
      </c>
      <c r="J1155" t="s">
        <v>215</v>
      </c>
      <c r="K1155" t="s">
        <v>55</v>
      </c>
      <c r="L1155" t="s">
        <v>4476</v>
      </c>
      <c r="M1155" t="s">
        <v>57</v>
      </c>
      <c r="N1155" t="str">
        <f>"047365"</f>
        <v>047365</v>
      </c>
      <c r="O1155" t="s">
        <v>611</v>
      </c>
      <c r="P1155" t="s">
        <v>68</v>
      </c>
      <c r="Q1155">
        <v>50.3</v>
      </c>
      <c r="R1155">
        <v>45</v>
      </c>
      <c r="S1155" t="s">
        <v>217</v>
      </c>
    </row>
    <row r="1156" spans="1:19" x14ac:dyDescent="0.35">
      <c r="A1156">
        <v>6890</v>
      </c>
      <c r="B1156" t="str">
        <f>"006890"</f>
        <v>006890</v>
      </c>
      <c r="C1156" t="s">
        <v>4477</v>
      </c>
      <c r="D1156" t="s">
        <v>3398</v>
      </c>
      <c r="E1156" t="s">
        <v>3395</v>
      </c>
      <c r="F1156" t="s">
        <v>3396</v>
      </c>
      <c r="G1156" t="s">
        <v>212</v>
      </c>
      <c r="H1156" t="s">
        <v>4478</v>
      </c>
      <c r="I1156" t="s">
        <v>4479</v>
      </c>
      <c r="J1156" t="s">
        <v>215</v>
      </c>
      <c r="K1156" t="s">
        <v>55</v>
      </c>
      <c r="L1156" t="s">
        <v>4476</v>
      </c>
      <c r="M1156" t="s">
        <v>57</v>
      </c>
      <c r="N1156" t="str">
        <f>"047365"</f>
        <v>047365</v>
      </c>
      <c r="O1156" t="s">
        <v>611</v>
      </c>
      <c r="P1156" t="s">
        <v>68</v>
      </c>
      <c r="Q1156">
        <v>51.9</v>
      </c>
      <c r="R1156">
        <v>54.5</v>
      </c>
      <c r="S1156" t="s">
        <v>217</v>
      </c>
    </row>
    <row r="1157" spans="1:19" x14ac:dyDescent="0.35">
      <c r="A1157">
        <v>6908</v>
      </c>
      <c r="B1157" t="str">
        <f>"006908"</f>
        <v>006908</v>
      </c>
      <c r="C1157" t="s">
        <v>4480</v>
      </c>
      <c r="D1157" t="s">
        <v>3400</v>
      </c>
      <c r="E1157" t="s">
        <v>3395</v>
      </c>
      <c r="F1157" t="s">
        <v>3396</v>
      </c>
      <c r="G1157" t="s">
        <v>212</v>
      </c>
      <c r="H1157" t="s">
        <v>4481</v>
      </c>
      <c r="I1157" t="s">
        <v>4482</v>
      </c>
      <c r="J1157" t="s">
        <v>215</v>
      </c>
      <c r="K1157" t="s">
        <v>55</v>
      </c>
      <c r="L1157" t="s">
        <v>4476</v>
      </c>
      <c r="M1157" t="s">
        <v>57</v>
      </c>
      <c r="N1157" t="str">
        <f>"047365"</f>
        <v>047365</v>
      </c>
      <c r="O1157" t="s">
        <v>611</v>
      </c>
      <c r="P1157" t="s">
        <v>68</v>
      </c>
      <c r="Q1157">
        <v>58.1</v>
      </c>
      <c r="R1157">
        <v>55.8</v>
      </c>
      <c r="S1157" t="s">
        <v>217</v>
      </c>
    </row>
    <row r="1158" spans="1:19" x14ac:dyDescent="0.35">
      <c r="A1158">
        <v>6916</v>
      </c>
      <c r="B1158" t="str">
        <f>"006916"</f>
        <v>006916</v>
      </c>
      <c r="C1158" t="s">
        <v>4483</v>
      </c>
      <c r="D1158" t="s">
        <v>3394</v>
      </c>
      <c r="E1158" t="s">
        <v>3395</v>
      </c>
      <c r="F1158" t="s">
        <v>3396</v>
      </c>
      <c r="G1158" t="s">
        <v>362</v>
      </c>
      <c r="H1158" t="s">
        <v>1973</v>
      </c>
      <c r="I1158" t="s">
        <v>1974</v>
      </c>
      <c r="J1158" t="s">
        <v>1975</v>
      </c>
      <c r="K1158" t="s">
        <v>55</v>
      </c>
      <c r="L1158" t="s">
        <v>1976</v>
      </c>
      <c r="M1158" t="s">
        <v>57</v>
      </c>
      <c r="N1158" t="str">
        <f>"064964"</f>
        <v>064964</v>
      </c>
      <c r="O1158" t="s">
        <v>1972</v>
      </c>
      <c r="P1158" t="s">
        <v>68</v>
      </c>
      <c r="Q1158" t="s">
        <v>68</v>
      </c>
      <c r="R1158" t="s">
        <v>68</v>
      </c>
      <c r="S1158" t="s">
        <v>180</v>
      </c>
    </row>
    <row r="1159" spans="1:19" x14ac:dyDescent="0.35">
      <c r="A1159">
        <v>6932</v>
      </c>
      <c r="B1159" t="str">
        <f>"006932"</f>
        <v>006932</v>
      </c>
      <c r="C1159" t="s">
        <v>4484</v>
      </c>
      <c r="D1159" t="s">
        <v>3394</v>
      </c>
      <c r="E1159" t="s">
        <v>3395</v>
      </c>
      <c r="F1159" t="s">
        <v>3396</v>
      </c>
      <c r="G1159" t="s">
        <v>212</v>
      </c>
      <c r="H1159" t="s">
        <v>4485</v>
      </c>
      <c r="I1159" t="s">
        <v>4486</v>
      </c>
      <c r="J1159" t="s">
        <v>215</v>
      </c>
      <c r="K1159" t="s">
        <v>55</v>
      </c>
      <c r="L1159" t="s">
        <v>4487</v>
      </c>
      <c r="M1159" t="s">
        <v>57</v>
      </c>
      <c r="N1159" t="str">
        <f>"043752"</f>
        <v>043752</v>
      </c>
      <c r="O1159" t="s">
        <v>440</v>
      </c>
      <c r="P1159" t="s">
        <v>68</v>
      </c>
      <c r="Q1159">
        <v>99.8</v>
      </c>
      <c r="R1159">
        <v>96.5</v>
      </c>
      <c r="S1159" t="s">
        <v>217</v>
      </c>
    </row>
    <row r="1160" spans="1:19" x14ac:dyDescent="0.35">
      <c r="A1160">
        <v>6940</v>
      </c>
      <c r="B1160" t="str">
        <f>"006940"</f>
        <v>006940</v>
      </c>
      <c r="C1160" t="s">
        <v>4488</v>
      </c>
      <c r="D1160" t="s">
        <v>3398</v>
      </c>
      <c r="E1160" t="s">
        <v>3395</v>
      </c>
      <c r="F1160" t="s">
        <v>3396</v>
      </c>
      <c r="G1160" t="s">
        <v>63</v>
      </c>
      <c r="H1160" t="s">
        <v>4489</v>
      </c>
      <c r="I1160" t="s">
        <v>4490</v>
      </c>
      <c r="J1160" t="s">
        <v>285</v>
      </c>
      <c r="K1160" t="s">
        <v>55</v>
      </c>
      <c r="L1160" t="s">
        <v>4491</v>
      </c>
      <c r="M1160" t="s">
        <v>57</v>
      </c>
      <c r="N1160" t="str">
        <f>"043786"</f>
        <v>043786</v>
      </c>
      <c r="O1160" t="s">
        <v>1340</v>
      </c>
      <c r="P1160" t="s">
        <v>68</v>
      </c>
      <c r="Q1160">
        <v>100</v>
      </c>
      <c r="R1160">
        <v>100</v>
      </c>
      <c r="S1160" t="s">
        <v>69</v>
      </c>
    </row>
    <row r="1161" spans="1:19" x14ac:dyDescent="0.35">
      <c r="A1161">
        <v>6957</v>
      </c>
      <c r="B1161" t="str">
        <f>"006957"</f>
        <v>006957</v>
      </c>
      <c r="C1161" t="s">
        <v>4492</v>
      </c>
      <c r="D1161" t="s">
        <v>3394</v>
      </c>
      <c r="E1161" t="s">
        <v>3395</v>
      </c>
      <c r="F1161" t="s">
        <v>3396</v>
      </c>
      <c r="G1161" t="s">
        <v>1702</v>
      </c>
      <c r="H1161" t="s">
        <v>2716</v>
      </c>
      <c r="I1161" t="s">
        <v>2717</v>
      </c>
      <c r="J1161" t="s">
        <v>2718</v>
      </c>
      <c r="K1161" t="s">
        <v>55</v>
      </c>
      <c r="L1161" t="s">
        <v>2719</v>
      </c>
      <c r="M1161" t="s">
        <v>57</v>
      </c>
      <c r="N1161" t="str">
        <f>"045260"</f>
        <v>045260</v>
      </c>
      <c r="O1161" t="s">
        <v>2715</v>
      </c>
      <c r="P1161" t="s">
        <v>68</v>
      </c>
      <c r="Q1161">
        <v>40.1</v>
      </c>
      <c r="R1161">
        <v>7.9000000000000057</v>
      </c>
      <c r="S1161" t="s">
        <v>156</v>
      </c>
    </row>
    <row r="1162" spans="1:19" x14ac:dyDescent="0.35">
      <c r="A1162">
        <v>6965</v>
      </c>
      <c r="B1162" t="str">
        <f>"006965"</f>
        <v>006965</v>
      </c>
      <c r="C1162" t="s">
        <v>4493</v>
      </c>
      <c r="D1162" t="s">
        <v>3398</v>
      </c>
      <c r="E1162" t="s">
        <v>3395</v>
      </c>
      <c r="F1162" t="s">
        <v>3396</v>
      </c>
      <c r="G1162" t="s">
        <v>331</v>
      </c>
      <c r="H1162" t="s">
        <v>4494</v>
      </c>
      <c r="I1162" t="s">
        <v>4495</v>
      </c>
      <c r="J1162" t="s">
        <v>334</v>
      </c>
      <c r="K1162" t="s">
        <v>55</v>
      </c>
      <c r="L1162" t="s">
        <v>335</v>
      </c>
      <c r="M1162" t="s">
        <v>57</v>
      </c>
      <c r="N1162" t="str">
        <f>"046516"</f>
        <v>046516</v>
      </c>
      <c r="O1162" t="s">
        <v>566</v>
      </c>
      <c r="P1162" t="s">
        <v>68</v>
      </c>
      <c r="Q1162">
        <v>15.4</v>
      </c>
      <c r="R1162">
        <v>3.2999999999999972</v>
      </c>
      <c r="S1162" t="s">
        <v>156</v>
      </c>
    </row>
    <row r="1163" spans="1:19" x14ac:dyDescent="0.35">
      <c r="A1163">
        <v>6999</v>
      </c>
      <c r="B1163" t="str">
        <f>"006999"</f>
        <v>006999</v>
      </c>
      <c r="C1163" t="s">
        <v>4496</v>
      </c>
      <c r="D1163" t="s">
        <v>3394</v>
      </c>
      <c r="E1163" t="s">
        <v>3395</v>
      </c>
      <c r="F1163" t="s">
        <v>3396</v>
      </c>
      <c r="G1163" t="s">
        <v>600</v>
      </c>
      <c r="H1163" t="s">
        <v>4497</v>
      </c>
      <c r="I1163" t="s">
        <v>4498</v>
      </c>
      <c r="J1163" t="s">
        <v>1500</v>
      </c>
      <c r="K1163" t="s">
        <v>55</v>
      </c>
      <c r="L1163" t="s">
        <v>1501</v>
      </c>
      <c r="M1163" t="s">
        <v>57</v>
      </c>
      <c r="N1163" t="str">
        <f>"045138"</f>
        <v>045138</v>
      </c>
      <c r="O1163" t="s">
        <v>1497</v>
      </c>
      <c r="P1163" t="s">
        <v>68</v>
      </c>
      <c r="Q1163">
        <v>30</v>
      </c>
      <c r="R1163">
        <v>33.900000000000006</v>
      </c>
      <c r="S1163" t="s">
        <v>60</v>
      </c>
    </row>
    <row r="1164" spans="1:19" x14ac:dyDescent="0.35">
      <c r="A1164">
        <v>7005</v>
      </c>
      <c r="B1164" t="str">
        <f>"007005"</f>
        <v>007005</v>
      </c>
      <c r="C1164" t="s">
        <v>4499</v>
      </c>
      <c r="D1164" t="s">
        <v>3394</v>
      </c>
      <c r="E1164" t="s">
        <v>3395</v>
      </c>
      <c r="F1164" t="s">
        <v>3396</v>
      </c>
      <c r="G1164" t="s">
        <v>901</v>
      </c>
      <c r="H1164" t="s">
        <v>4500</v>
      </c>
      <c r="I1164" t="s">
        <v>4501</v>
      </c>
      <c r="J1164" t="s">
        <v>904</v>
      </c>
      <c r="K1164" t="s">
        <v>55</v>
      </c>
      <c r="L1164" t="s">
        <v>905</v>
      </c>
      <c r="M1164" t="s">
        <v>57</v>
      </c>
      <c r="N1164" t="str">
        <f>"044420"</f>
        <v>044420</v>
      </c>
      <c r="O1164" t="s">
        <v>2345</v>
      </c>
      <c r="P1164" t="s">
        <v>68</v>
      </c>
      <c r="Q1164">
        <v>42</v>
      </c>
      <c r="R1164">
        <v>6.0999999999999943</v>
      </c>
      <c r="S1164" t="s">
        <v>60</v>
      </c>
    </row>
    <row r="1165" spans="1:19" x14ac:dyDescent="0.35">
      <c r="A1165">
        <v>7021</v>
      </c>
      <c r="B1165" t="str">
        <f>"007021"</f>
        <v>007021</v>
      </c>
      <c r="C1165" t="s">
        <v>4502</v>
      </c>
      <c r="D1165" t="s">
        <v>3398</v>
      </c>
      <c r="E1165" t="s">
        <v>3395</v>
      </c>
      <c r="F1165" t="s">
        <v>3396</v>
      </c>
      <c r="G1165" t="s">
        <v>143</v>
      </c>
      <c r="H1165" t="s">
        <v>4503</v>
      </c>
      <c r="I1165" t="s">
        <v>4504</v>
      </c>
      <c r="J1165" t="s">
        <v>475</v>
      </c>
      <c r="K1165" t="s">
        <v>55</v>
      </c>
      <c r="L1165" t="s">
        <v>476</v>
      </c>
      <c r="M1165" t="s">
        <v>57</v>
      </c>
      <c r="N1165" t="str">
        <f>"048140"</f>
        <v>048140</v>
      </c>
      <c r="O1165" t="s">
        <v>472</v>
      </c>
      <c r="P1165" t="s">
        <v>68</v>
      </c>
      <c r="Q1165">
        <v>15.7</v>
      </c>
      <c r="R1165">
        <v>7.2999999999999972</v>
      </c>
      <c r="S1165" t="s">
        <v>69</v>
      </c>
    </row>
    <row r="1166" spans="1:19" x14ac:dyDescent="0.35">
      <c r="A1166">
        <v>7039</v>
      </c>
      <c r="B1166" t="str">
        <f>"007039"</f>
        <v>007039</v>
      </c>
      <c r="C1166" t="s">
        <v>4505</v>
      </c>
      <c r="D1166" t="s">
        <v>3400</v>
      </c>
      <c r="E1166" t="s">
        <v>3395</v>
      </c>
      <c r="F1166" t="s">
        <v>3396</v>
      </c>
      <c r="G1166" t="s">
        <v>143</v>
      </c>
      <c r="H1166" t="s">
        <v>4506</v>
      </c>
      <c r="I1166" t="s">
        <v>4507</v>
      </c>
      <c r="J1166" t="s">
        <v>475</v>
      </c>
      <c r="K1166" t="s">
        <v>55</v>
      </c>
      <c r="L1166" t="s">
        <v>476</v>
      </c>
      <c r="M1166" t="s">
        <v>57</v>
      </c>
      <c r="N1166" t="str">
        <f>"048140"</f>
        <v>048140</v>
      </c>
      <c r="O1166" t="s">
        <v>472</v>
      </c>
      <c r="P1166" t="s">
        <v>68</v>
      </c>
      <c r="Q1166">
        <v>22.8</v>
      </c>
      <c r="R1166">
        <v>13.099999999999994</v>
      </c>
      <c r="S1166" t="s">
        <v>69</v>
      </c>
    </row>
    <row r="1167" spans="1:19" x14ac:dyDescent="0.35">
      <c r="A1167">
        <v>7054</v>
      </c>
      <c r="B1167" t="str">
        <f>"007054"</f>
        <v>007054</v>
      </c>
      <c r="C1167" t="s">
        <v>4508</v>
      </c>
      <c r="D1167" t="s">
        <v>3398</v>
      </c>
      <c r="E1167" t="s">
        <v>3395</v>
      </c>
      <c r="F1167" t="s">
        <v>3396</v>
      </c>
      <c r="G1167" t="s">
        <v>1296</v>
      </c>
      <c r="H1167" t="s">
        <v>4509</v>
      </c>
      <c r="I1167" t="s">
        <v>4510</v>
      </c>
      <c r="J1167" t="s">
        <v>1299</v>
      </c>
      <c r="K1167" t="s">
        <v>55</v>
      </c>
      <c r="L1167" t="s">
        <v>1300</v>
      </c>
      <c r="M1167" t="s">
        <v>57</v>
      </c>
      <c r="N1167" t="str">
        <f>"044891"</f>
        <v>044891</v>
      </c>
      <c r="O1167" t="s">
        <v>3295</v>
      </c>
      <c r="P1167" t="s">
        <v>68</v>
      </c>
      <c r="Q1167">
        <v>36.5</v>
      </c>
      <c r="R1167">
        <v>12.400000000000006</v>
      </c>
      <c r="S1167" t="s">
        <v>156</v>
      </c>
    </row>
    <row r="1168" spans="1:19" x14ac:dyDescent="0.35">
      <c r="A1168">
        <v>7062</v>
      </c>
      <c r="B1168" t="str">
        <f>"007062"</f>
        <v>007062</v>
      </c>
      <c r="C1168" t="s">
        <v>4511</v>
      </c>
      <c r="D1168" t="s">
        <v>3398</v>
      </c>
      <c r="E1168" t="s">
        <v>3395</v>
      </c>
      <c r="F1168" t="s">
        <v>3396</v>
      </c>
      <c r="G1168" t="s">
        <v>536</v>
      </c>
      <c r="H1168" t="s">
        <v>3312</v>
      </c>
      <c r="I1168" t="s">
        <v>3313</v>
      </c>
      <c r="J1168" t="s">
        <v>536</v>
      </c>
      <c r="K1168" t="s">
        <v>55</v>
      </c>
      <c r="L1168" t="s">
        <v>2227</v>
      </c>
      <c r="M1168" t="s">
        <v>57</v>
      </c>
      <c r="N1168" t="str">
        <f>"045328"</f>
        <v>045328</v>
      </c>
      <c r="O1168" t="s">
        <v>3311</v>
      </c>
      <c r="P1168" t="s">
        <v>68</v>
      </c>
      <c r="Q1168">
        <v>18.399999999999999</v>
      </c>
      <c r="R1168">
        <v>5</v>
      </c>
      <c r="S1168" t="s">
        <v>77</v>
      </c>
    </row>
    <row r="1169" spans="1:19" x14ac:dyDescent="0.35">
      <c r="A1169">
        <v>7070</v>
      </c>
      <c r="B1169" t="str">
        <f>"007070"</f>
        <v>007070</v>
      </c>
      <c r="C1169" t="s">
        <v>4512</v>
      </c>
      <c r="D1169" t="s">
        <v>3394</v>
      </c>
      <c r="E1169" t="s">
        <v>3395</v>
      </c>
      <c r="F1169" t="s">
        <v>3396</v>
      </c>
      <c r="G1169" t="s">
        <v>63</v>
      </c>
      <c r="H1169" t="s">
        <v>4513</v>
      </c>
      <c r="I1169" t="s">
        <v>4514</v>
      </c>
      <c r="J1169" t="s">
        <v>2080</v>
      </c>
      <c r="K1169" t="s">
        <v>55</v>
      </c>
      <c r="L1169" t="s">
        <v>2081</v>
      </c>
      <c r="M1169" t="s">
        <v>57</v>
      </c>
      <c r="N1169" t="str">
        <f>"043562"</f>
        <v>043562</v>
      </c>
      <c r="O1169" t="s">
        <v>2077</v>
      </c>
      <c r="P1169" t="s">
        <v>68</v>
      </c>
      <c r="Q1169">
        <v>72.8</v>
      </c>
      <c r="R1169">
        <v>94.2</v>
      </c>
      <c r="S1169" t="s">
        <v>69</v>
      </c>
    </row>
    <row r="1170" spans="1:19" x14ac:dyDescent="0.35">
      <c r="A1170">
        <v>7088</v>
      </c>
      <c r="B1170" t="str">
        <f>"007088"</f>
        <v>007088</v>
      </c>
      <c r="C1170" t="s">
        <v>4515</v>
      </c>
      <c r="D1170" t="s">
        <v>3506</v>
      </c>
      <c r="E1170" t="s">
        <v>3395</v>
      </c>
      <c r="F1170" t="s">
        <v>3396</v>
      </c>
      <c r="G1170" t="s">
        <v>132</v>
      </c>
      <c r="H1170" t="s">
        <v>4516</v>
      </c>
      <c r="I1170" t="s">
        <v>4517</v>
      </c>
      <c r="J1170" t="s">
        <v>132</v>
      </c>
      <c r="K1170" t="s">
        <v>55</v>
      </c>
      <c r="L1170" t="s">
        <v>184</v>
      </c>
      <c r="M1170" t="s">
        <v>57</v>
      </c>
      <c r="N1170" t="str">
        <f>"043513"</f>
        <v>043513</v>
      </c>
      <c r="O1170" t="s">
        <v>1141</v>
      </c>
      <c r="P1170" t="s">
        <v>68</v>
      </c>
      <c r="Q1170">
        <v>100</v>
      </c>
      <c r="R1170">
        <v>43.6</v>
      </c>
      <c r="S1170" t="s">
        <v>69</v>
      </c>
    </row>
    <row r="1171" spans="1:19" x14ac:dyDescent="0.35">
      <c r="A1171">
        <v>7096</v>
      </c>
      <c r="B1171" t="str">
        <f>"007096"</f>
        <v>007096</v>
      </c>
      <c r="C1171" t="s">
        <v>4518</v>
      </c>
      <c r="D1171" t="s">
        <v>3394</v>
      </c>
      <c r="E1171" t="s">
        <v>3395</v>
      </c>
      <c r="F1171" t="s">
        <v>3396</v>
      </c>
      <c r="G1171" t="s">
        <v>150</v>
      </c>
      <c r="H1171" t="s">
        <v>1683</v>
      </c>
      <c r="I1171" t="s">
        <v>1684</v>
      </c>
      <c r="J1171" t="s">
        <v>1685</v>
      </c>
      <c r="K1171" t="s">
        <v>55</v>
      </c>
      <c r="L1171" t="s">
        <v>1686</v>
      </c>
      <c r="M1171" t="s">
        <v>57</v>
      </c>
      <c r="N1171" t="str">
        <f>"049312"</f>
        <v>049312</v>
      </c>
      <c r="O1171" t="s">
        <v>1682</v>
      </c>
      <c r="P1171" t="s">
        <v>68</v>
      </c>
      <c r="Q1171">
        <v>30.8</v>
      </c>
      <c r="R1171">
        <v>14.200000000000003</v>
      </c>
      <c r="S1171" t="s">
        <v>156</v>
      </c>
    </row>
    <row r="1172" spans="1:19" x14ac:dyDescent="0.35">
      <c r="A1172">
        <v>7104</v>
      </c>
      <c r="B1172" t="str">
        <f>"007104"</f>
        <v>007104</v>
      </c>
      <c r="C1172" t="s">
        <v>4519</v>
      </c>
      <c r="D1172" t="s">
        <v>3398</v>
      </c>
      <c r="E1172" t="s">
        <v>3395</v>
      </c>
      <c r="F1172" t="s">
        <v>3396</v>
      </c>
      <c r="G1172" t="s">
        <v>150</v>
      </c>
      <c r="H1172" t="s">
        <v>1683</v>
      </c>
      <c r="I1172" t="s">
        <v>1684</v>
      </c>
      <c r="J1172" t="s">
        <v>1685</v>
      </c>
      <c r="K1172" t="s">
        <v>55</v>
      </c>
      <c r="L1172" t="s">
        <v>1686</v>
      </c>
      <c r="M1172" t="s">
        <v>57</v>
      </c>
      <c r="N1172" t="str">
        <f>"049312"</f>
        <v>049312</v>
      </c>
      <c r="O1172" t="s">
        <v>1682</v>
      </c>
      <c r="P1172" t="s">
        <v>68</v>
      </c>
      <c r="Q1172">
        <v>17.5</v>
      </c>
      <c r="R1172">
        <v>7.9000000000000057</v>
      </c>
      <c r="S1172" t="s">
        <v>156</v>
      </c>
    </row>
    <row r="1173" spans="1:19" x14ac:dyDescent="0.35">
      <c r="A1173">
        <v>7120</v>
      </c>
      <c r="B1173" t="str">
        <f>"007120"</f>
        <v>007120</v>
      </c>
      <c r="C1173" t="s">
        <v>4520</v>
      </c>
      <c r="D1173" t="s">
        <v>3394</v>
      </c>
      <c r="E1173" t="s">
        <v>3395</v>
      </c>
      <c r="F1173" t="s">
        <v>3396</v>
      </c>
      <c r="G1173" t="s">
        <v>600</v>
      </c>
      <c r="H1173" t="s">
        <v>4521</v>
      </c>
      <c r="I1173" t="s">
        <v>4522</v>
      </c>
      <c r="J1173" t="s">
        <v>1348</v>
      </c>
      <c r="K1173" t="s">
        <v>55</v>
      </c>
      <c r="L1173" t="s">
        <v>3736</v>
      </c>
      <c r="M1173" t="s">
        <v>57</v>
      </c>
      <c r="N1173" t="str">
        <f>"043802"</f>
        <v>043802</v>
      </c>
      <c r="O1173" t="s">
        <v>3171</v>
      </c>
      <c r="P1173" t="s">
        <v>68</v>
      </c>
      <c r="Q1173">
        <v>100</v>
      </c>
      <c r="R1173">
        <v>67.8</v>
      </c>
      <c r="S1173" t="s">
        <v>60</v>
      </c>
    </row>
    <row r="1174" spans="1:19" x14ac:dyDescent="0.35">
      <c r="A1174">
        <v>7161</v>
      </c>
      <c r="B1174" t="str">
        <f>"007161"</f>
        <v>007161</v>
      </c>
      <c r="C1174" t="s">
        <v>4523</v>
      </c>
      <c r="D1174" t="s">
        <v>3394</v>
      </c>
      <c r="E1174" t="s">
        <v>3395</v>
      </c>
      <c r="F1174" t="s">
        <v>3396</v>
      </c>
      <c r="G1174" t="s">
        <v>325</v>
      </c>
      <c r="H1174" t="s">
        <v>4524</v>
      </c>
      <c r="I1174" t="s">
        <v>4525</v>
      </c>
      <c r="J1174" t="s">
        <v>2819</v>
      </c>
      <c r="K1174" t="s">
        <v>55</v>
      </c>
      <c r="L1174" t="s">
        <v>2820</v>
      </c>
      <c r="M1174" t="s">
        <v>57</v>
      </c>
      <c r="N1174" t="str">
        <f>"044925"</f>
        <v>044925</v>
      </c>
      <c r="O1174" t="s">
        <v>2816</v>
      </c>
      <c r="P1174" t="s">
        <v>68</v>
      </c>
      <c r="Q1174">
        <v>8.4</v>
      </c>
      <c r="R1174">
        <v>24.400000000000006</v>
      </c>
      <c r="S1174" t="s">
        <v>180</v>
      </c>
    </row>
    <row r="1175" spans="1:19" x14ac:dyDescent="0.35">
      <c r="A1175">
        <v>7195</v>
      </c>
      <c r="B1175" t="str">
        <f>"007195"</f>
        <v>007195</v>
      </c>
      <c r="C1175" t="s">
        <v>4526</v>
      </c>
      <c r="D1175" t="s">
        <v>3400</v>
      </c>
      <c r="E1175" t="s">
        <v>3395</v>
      </c>
      <c r="F1175" t="s">
        <v>3396</v>
      </c>
      <c r="G1175" t="s">
        <v>187</v>
      </c>
      <c r="H1175" t="s">
        <v>4527</v>
      </c>
      <c r="I1175" t="s">
        <v>4528</v>
      </c>
      <c r="J1175" t="s">
        <v>898</v>
      </c>
      <c r="K1175" t="s">
        <v>55</v>
      </c>
      <c r="L1175" t="s">
        <v>899</v>
      </c>
      <c r="M1175" t="s">
        <v>57</v>
      </c>
      <c r="N1175" t="str">
        <f>"050575"</f>
        <v>050575</v>
      </c>
      <c r="O1175" t="s">
        <v>895</v>
      </c>
      <c r="P1175" t="s">
        <v>68</v>
      </c>
      <c r="Q1175">
        <v>41</v>
      </c>
      <c r="R1175">
        <v>4.9000000000000057</v>
      </c>
      <c r="S1175" t="s">
        <v>77</v>
      </c>
    </row>
    <row r="1176" spans="1:19" x14ac:dyDescent="0.35">
      <c r="A1176">
        <v>7195</v>
      </c>
      <c r="B1176" t="str">
        <f>"007195"</f>
        <v>007195</v>
      </c>
      <c r="C1176" t="s">
        <v>4526</v>
      </c>
      <c r="D1176" t="s">
        <v>3929</v>
      </c>
      <c r="E1176" t="s">
        <v>3395</v>
      </c>
      <c r="F1176" t="s">
        <v>3396</v>
      </c>
      <c r="G1176" t="s">
        <v>187</v>
      </c>
      <c r="H1176" t="s">
        <v>4527</v>
      </c>
      <c r="I1176" t="s">
        <v>4528</v>
      </c>
      <c r="J1176" t="s">
        <v>898</v>
      </c>
      <c r="K1176" t="s">
        <v>55</v>
      </c>
      <c r="L1176" t="s">
        <v>899</v>
      </c>
      <c r="M1176" t="s">
        <v>57</v>
      </c>
      <c r="N1176" t="str">
        <f>"050575"</f>
        <v>050575</v>
      </c>
      <c r="O1176" t="s">
        <v>895</v>
      </c>
      <c r="P1176" t="s">
        <v>68</v>
      </c>
      <c r="Q1176">
        <v>41</v>
      </c>
      <c r="R1176">
        <v>4.9000000000000057</v>
      </c>
      <c r="S1176" t="s">
        <v>77</v>
      </c>
    </row>
    <row r="1177" spans="1:19" x14ac:dyDescent="0.35">
      <c r="A1177">
        <v>7203</v>
      </c>
      <c r="B1177" t="str">
        <f>"007203"</f>
        <v>007203</v>
      </c>
      <c r="C1177" t="s">
        <v>4529</v>
      </c>
      <c r="D1177" t="s">
        <v>3394</v>
      </c>
      <c r="E1177" t="s">
        <v>3395</v>
      </c>
      <c r="F1177" t="s">
        <v>3396</v>
      </c>
      <c r="G1177" t="s">
        <v>226</v>
      </c>
      <c r="H1177" t="s">
        <v>4530</v>
      </c>
      <c r="I1177" t="s">
        <v>4531</v>
      </c>
      <c r="J1177" t="s">
        <v>810</v>
      </c>
      <c r="K1177" t="s">
        <v>55</v>
      </c>
      <c r="L1177" t="s">
        <v>811</v>
      </c>
      <c r="M1177" t="s">
        <v>57</v>
      </c>
      <c r="N1177" t="str">
        <f>"043638"</f>
        <v>043638</v>
      </c>
      <c r="O1177" t="s">
        <v>2594</v>
      </c>
      <c r="P1177" t="s">
        <v>68</v>
      </c>
      <c r="Q1177">
        <v>31.2</v>
      </c>
      <c r="R1177">
        <v>25.400000000000006</v>
      </c>
      <c r="S1177" t="s">
        <v>156</v>
      </c>
    </row>
    <row r="1178" spans="1:19" x14ac:dyDescent="0.35">
      <c r="A1178">
        <v>7211</v>
      </c>
      <c r="B1178" t="str">
        <f>"007211"</f>
        <v>007211</v>
      </c>
      <c r="C1178" t="s">
        <v>4532</v>
      </c>
      <c r="D1178" t="s">
        <v>3398</v>
      </c>
      <c r="E1178" t="s">
        <v>3395</v>
      </c>
      <c r="F1178" t="s">
        <v>3396</v>
      </c>
      <c r="G1178" t="s">
        <v>132</v>
      </c>
      <c r="H1178" t="s">
        <v>4533</v>
      </c>
      <c r="I1178" t="s">
        <v>4534</v>
      </c>
      <c r="J1178" t="s">
        <v>241</v>
      </c>
      <c r="K1178" t="s">
        <v>55</v>
      </c>
      <c r="L1178" t="s">
        <v>242</v>
      </c>
      <c r="M1178" t="s">
        <v>57</v>
      </c>
      <c r="N1178" t="str">
        <f>"043810"</f>
        <v>043810</v>
      </c>
      <c r="O1178" t="s">
        <v>238</v>
      </c>
      <c r="P1178" t="s">
        <v>68</v>
      </c>
      <c r="Q1178">
        <v>59.6</v>
      </c>
      <c r="R1178">
        <v>9.5999999999999943</v>
      </c>
      <c r="S1178" t="s">
        <v>69</v>
      </c>
    </row>
    <row r="1179" spans="1:19" x14ac:dyDescent="0.35">
      <c r="A1179">
        <v>7245</v>
      </c>
      <c r="B1179" t="str">
        <f>"007245"</f>
        <v>007245</v>
      </c>
      <c r="C1179" t="s">
        <v>4535</v>
      </c>
      <c r="D1179" t="s">
        <v>3398</v>
      </c>
      <c r="E1179" t="s">
        <v>3395</v>
      </c>
      <c r="F1179" t="s">
        <v>3396</v>
      </c>
      <c r="G1179" t="s">
        <v>104</v>
      </c>
      <c r="H1179" t="s">
        <v>2371</v>
      </c>
      <c r="I1179" t="s">
        <v>2372</v>
      </c>
      <c r="J1179" t="s">
        <v>2373</v>
      </c>
      <c r="K1179" t="s">
        <v>55</v>
      </c>
      <c r="L1179" t="s">
        <v>2374</v>
      </c>
      <c r="M1179" t="s">
        <v>57</v>
      </c>
      <c r="N1179" t="str">
        <f>"047548"</f>
        <v>047548</v>
      </c>
      <c r="O1179" t="s">
        <v>2370</v>
      </c>
      <c r="P1179" t="s">
        <v>68</v>
      </c>
      <c r="Q1179">
        <v>55.7</v>
      </c>
      <c r="R1179">
        <v>0</v>
      </c>
      <c r="S1179" t="s">
        <v>77</v>
      </c>
    </row>
    <row r="1180" spans="1:19" x14ac:dyDescent="0.35">
      <c r="A1180">
        <v>7260</v>
      </c>
      <c r="B1180" t="str">
        <f>"007260"</f>
        <v>007260</v>
      </c>
      <c r="C1180" t="s">
        <v>4536</v>
      </c>
      <c r="D1180" t="s">
        <v>3394</v>
      </c>
      <c r="E1180" t="s">
        <v>3395</v>
      </c>
      <c r="F1180" t="s">
        <v>3396</v>
      </c>
      <c r="G1180" t="s">
        <v>150</v>
      </c>
      <c r="H1180" t="s">
        <v>2083</v>
      </c>
      <c r="I1180" t="s">
        <v>2084</v>
      </c>
      <c r="J1180" t="s">
        <v>2085</v>
      </c>
      <c r="K1180" t="s">
        <v>55</v>
      </c>
      <c r="L1180" t="s">
        <v>2086</v>
      </c>
      <c r="M1180" t="s">
        <v>57</v>
      </c>
      <c r="N1180" t="str">
        <f>"049320"</f>
        <v>049320</v>
      </c>
      <c r="O1180" t="s">
        <v>2082</v>
      </c>
      <c r="P1180" t="s">
        <v>68</v>
      </c>
      <c r="Q1180">
        <v>31.8</v>
      </c>
      <c r="R1180">
        <v>8.2000000000000028</v>
      </c>
      <c r="S1180" t="s">
        <v>156</v>
      </c>
    </row>
    <row r="1181" spans="1:19" x14ac:dyDescent="0.35">
      <c r="A1181">
        <v>7278</v>
      </c>
      <c r="B1181" t="str">
        <f>"007278"</f>
        <v>007278</v>
      </c>
      <c r="C1181" t="s">
        <v>4537</v>
      </c>
      <c r="D1181" t="s">
        <v>3398</v>
      </c>
      <c r="E1181" t="s">
        <v>3395</v>
      </c>
      <c r="F1181" t="s">
        <v>3396</v>
      </c>
      <c r="G1181" t="s">
        <v>150</v>
      </c>
      <c r="H1181" t="s">
        <v>2083</v>
      </c>
      <c r="I1181" t="s">
        <v>2084</v>
      </c>
      <c r="J1181" t="s">
        <v>2085</v>
      </c>
      <c r="K1181" t="s">
        <v>55</v>
      </c>
      <c r="L1181" t="s">
        <v>2086</v>
      </c>
      <c r="M1181" t="s">
        <v>57</v>
      </c>
      <c r="N1181" t="str">
        <f>"049320"</f>
        <v>049320</v>
      </c>
      <c r="O1181" t="s">
        <v>2082</v>
      </c>
      <c r="P1181" t="s">
        <v>68</v>
      </c>
      <c r="Q1181">
        <v>31.5</v>
      </c>
      <c r="R1181">
        <v>4.2999999999999972</v>
      </c>
      <c r="S1181" t="s">
        <v>156</v>
      </c>
    </row>
    <row r="1182" spans="1:19" x14ac:dyDescent="0.35">
      <c r="A1182">
        <v>7286</v>
      </c>
      <c r="B1182" t="str">
        <f>"007286"</f>
        <v>007286</v>
      </c>
      <c r="C1182" t="s">
        <v>4538</v>
      </c>
      <c r="D1182" t="s">
        <v>3398</v>
      </c>
      <c r="E1182" t="s">
        <v>3395</v>
      </c>
      <c r="F1182" t="s">
        <v>3396</v>
      </c>
      <c r="G1182" t="s">
        <v>264</v>
      </c>
      <c r="H1182" t="s">
        <v>4539</v>
      </c>
      <c r="I1182" t="s">
        <v>4540</v>
      </c>
      <c r="J1182" t="s">
        <v>267</v>
      </c>
      <c r="K1182" t="s">
        <v>55</v>
      </c>
      <c r="L1182" t="s">
        <v>1318</v>
      </c>
      <c r="M1182" t="s">
        <v>57</v>
      </c>
      <c r="N1182" t="str">
        <f>"049999"</f>
        <v>049999</v>
      </c>
      <c r="O1182" t="s">
        <v>1314</v>
      </c>
      <c r="P1182" t="s">
        <v>68</v>
      </c>
      <c r="Q1182">
        <v>48.7</v>
      </c>
      <c r="R1182">
        <v>14.299999999999997</v>
      </c>
      <c r="S1182" t="s">
        <v>77</v>
      </c>
    </row>
    <row r="1183" spans="1:19" x14ac:dyDescent="0.35">
      <c r="A1183">
        <v>7294</v>
      </c>
      <c r="B1183" t="str">
        <f>"007294"</f>
        <v>007294</v>
      </c>
      <c r="C1183" t="s">
        <v>4541</v>
      </c>
      <c r="D1183" t="s">
        <v>3394</v>
      </c>
      <c r="E1183" t="s">
        <v>3395</v>
      </c>
      <c r="F1183" t="s">
        <v>3396</v>
      </c>
      <c r="G1183" t="s">
        <v>325</v>
      </c>
      <c r="H1183" t="s">
        <v>4542</v>
      </c>
      <c r="I1183" t="s">
        <v>4543</v>
      </c>
      <c r="J1183" t="s">
        <v>2819</v>
      </c>
      <c r="K1183" t="s">
        <v>55</v>
      </c>
      <c r="L1183" t="s">
        <v>2820</v>
      </c>
      <c r="M1183" t="s">
        <v>57</v>
      </c>
      <c r="N1183" t="str">
        <f>"044925"</f>
        <v>044925</v>
      </c>
      <c r="O1183" t="s">
        <v>2816</v>
      </c>
      <c r="P1183" t="s">
        <v>68</v>
      </c>
      <c r="Q1183">
        <v>50.3</v>
      </c>
      <c r="R1183">
        <v>24</v>
      </c>
      <c r="S1183" t="s">
        <v>180</v>
      </c>
    </row>
    <row r="1184" spans="1:19" x14ac:dyDescent="0.35">
      <c r="A1184">
        <v>7302</v>
      </c>
      <c r="B1184" t="str">
        <f>"007302"</f>
        <v>007302</v>
      </c>
      <c r="C1184" t="s">
        <v>4544</v>
      </c>
      <c r="D1184" t="s">
        <v>3394</v>
      </c>
      <c r="E1184" t="s">
        <v>3395</v>
      </c>
      <c r="F1184" t="s">
        <v>3396</v>
      </c>
      <c r="G1184" t="s">
        <v>493</v>
      </c>
      <c r="H1184" t="s">
        <v>4545</v>
      </c>
      <c r="I1184" t="s">
        <v>4546</v>
      </c>
      <c r="J1184" t="s">
        <v>4547</v>
      </c>
      <c r="K1184" t="s">
        <v>55</v>
      </c>
      <c r="L1184" t="s">
        <v>4548</v>
      </c>
      <c r="M1184" t="s">
        <v>57</v>
      </c>
      <c r="N1184" t="str">
        <f>"045914"</f>
        <v>045914</v>
      </c>
      <c r="O1184" t="s">
        <v>2523</v>
      </c>
      <c r="P1184" t="s">
        <v>68</v>
      </c>
      <c r="Q1184">
        <v>100</v>
      </c>
      <c r="R1184">
        <v>3.7999999999999972</v>
      </c>
      <c r="S1184" t="s">
        <v>130</v>
      </c>
    </row>
    <row r="1185" spans="1:19" x14ac:dyDescent="0.35">
      <c r="A1185">
        <v>7310</v>
      </c>
      <c r="B1185" t="str">
        <f>"007310"</f>
        <v>007310</v>
      </c>
      <c r="C1185" t="s">
        <v>4549</v>
      </c>
      <c r="D1185" t="s">
        <v>3398</v>
      </c>
      <c r="E1185" t="s">
        <v>3395</v>
      </c>
      <c r="F1185" t="s">
        <v>3396</v>
      </c>
      <c r="G1185" t="s">
        <v>264</v>
      </c>
      <c r="H1185" t="s">
        <v>4550</v>
      </c>
      <c r="I1185" t="s">
        <v>4551</v>
      </c>
      <c r="J1185" t="s">
        <v>1576</v>
      </c>
      <c r="K1185" t="s">
        <v>55</v>
      </c>
      <c r="L1185" t="s">
        <v>1577</v>
      </c>
      <c r="M1185" t="s">
        <v>57</v>
      </c>
      <c r="N1185" t="str">
        <f>"049981"</f>
        <v>049981</v>
      </c>
      <c r="O1185" t="s">
        <v>1573</v>
      </c>
      <c r="P1185" t="s">
        <v>68</v>
      </c>
      <c r="Q1185">
        <v>14.2</v>
      </c>
      <c r="R1185">
        <v>29.400000000000006</v>
      </c>
      <c r="S1185" t="s">
        <v>77</v>
      </c>
    </row>
    <row r="1186" spans="1:19" x14ac:dyDescent="0.35">
      <c r="A1186">
        <v>7328</v>
      </c>
      <c r="B1186" t="str">
        <f>"007328"</f>
        <v>007328</v>
      </c>
      <c r="C1186" t="s">
        <v>4552</v>
      </c>
      <c r="D1186" t="s">
        <v>3400</v>
      </c>
      <c r="E1186" t="s">
        <v>3395</v>
      </c>
      <c r="F1186" t="s">
        <v>3396</v>
      </c>
      <c r="G1186" t="s">
        <v>264</v>
      </c>
      <c r="H1186" t="s">
        <v>4553</v>
      </c>
      <c r="I1186" t="s">
        <v>4554</v>
      </c>
      <c r="J1186" t="s">
        <v>1576</v>
      </c>
      <c r="K1186" t="s">
        <v>55</v>
      </c>
      <c r="L1186" t="s">
        <v>1577</v>
      </c>
      <c r="M1186" t="s">
        <v>57</v>
      </c>
      <c r="N1186" t="str">
        <f>"049981"</f>
        <v>049981</v>
      </c>
      <c r="O1186" t="s">
        <v>1573</v>
      </c>
      <c r="P1186" t="s">
        <v>68</v>
      </c>
      <c r="Q1186">
        <v>15.2</v>
      </c>
      <c r="R1186">
        <v>30.299999999999997</v>
      </c>
      <c r="S1186" t="s">
        <v>77</v>
      </c>
    </row>
    <row r="1187" spans="1:19" x14ac:dyDescent="0.35">
      <c r="A1187">
        <v>7336</v>
      </c>
      <c r="B1187" t="str">
        <f>"007336"</f>
        <v>007336</v>
      </c>
      <c r="C1187" t="s">
        <v>4555</v>
      </c>
      <c r="D1187" t="s">
        <v>3394</v>
      </c>
      <c r="E1187" t="s">
        <v>3395</v>
      </c>
      <c r="F1187" t="s">
        <v>3396</v>
      </c>
      <c r="G1187" t="s">
        <v>143</v>
      </c>
      <c r="H1187" t="s">
        <v>4556</v>
      </c>
      <c r="I1187" t="s">
        <v>4557</v>
      </c>
      <c r="J1187" t="s">
        <v>475</v>
      </c>
      <c r="K1187" t="s">
        <v>55</v>
      </c>
      <c r="L1187" t="s">
        <v>476</v>
      </c>
      <c r="M1187" t="s">
        <v>57</v>
      </c>
      <c r="N1187" t="str">
        <f>"048140"</f>
        <v>048140</v>
      </c>
      <c r="O1187" t="s">
        <v>472</v>
      </c>
      <c r="P1187" t="s">
        <v>68</v>
      </c>
      <c r="Q1187">
        <v>21.1</v>
      </c>
      <c r="R1187">
        <v>17.799999999999997</v>
      </c>
      <c r="S1187" t="s">
        <v>69</v>
      </c>
    </row>
    <row r="1188" spans="1:19" x14ac:dyDescent="0.35">
      <c r="A1188">
        <v>7344</v>
      </c>
      <c r="B1188" t="str">
        <f>"007344"</f>
        <v>007344</v>
      </c>
      <c r="C1188" t="s">
        <v>4558</v>
      </c>
      <c r="D1188" t="s">
        <v>3394</v>
      </c>
      <c r="E1188" t="s">
        <v>3395</v>
      </c>
      <c r="F1188" t="s">
        <v>3396</v>
      </c>
      <c r="G1188" t="s">
        <v>132</v>
      </c>
      <c r="H1188" t="s">
        <v>4559</v>
      </c>
      <c r="I1188" t="s">
        <v>4560</v>
      </c>
      <c r="J1188" t="s">
        <v>3180</v>
      </c>
      <c r="K1188" t="s">
        <v>55</v>
      </c>
      <c r="L1188" t="s">
        <v>3181</v>
      </c>
      <c r="M1188" t="s">
        <v>57</v>
      </c>
      <c r="N1188" t="str">
        <f>"044057"</f>
        <v>044057</v>
      </c>
      <c r="O1188" t="s">
        <v>3177</v>
      </c>
      <c r="P1188" t="s">
        <v>68</v>
      </c>
      <c r="Q1188">
        <v>43</v>
      </c>
      <c r="R1188">
        <v>3.0999999999999943</v>
      </c>
      <c r="S1188" t="s">
        <v>69</v>
      </c>
    </row>
    <row r="1189" spans="1:19" x14ac:dyDescent="0.35">
      <c r="A1189">
        <v>7401</v>
      </c>
      <c r="B1189" t="str">
        <f>"007401"</f>
        <v>007401</v>
      </c>
      <c r="C1189" t="s">
        <v>4561</v>
      </c>
      <c r="D1189" t="s">
        <v>3398</v>
      </c>
      <c r="E1189" t="s">
        <v>3395</v>
      </c>
      <c r="F1189" t="s">
        <v>3396</v>
      </c>
      <c r="G1189" t="s">
        <v>821</v>
      </c>
      <c r="H1189" t="s">
        <v>2976</v>
      </c>
      <c r="I1189" t="s">
        <v>2977</v>
      </c>
      <c r="J1189" t="s">
        <v>2978</v>
      </c>
      <c r="K1189" t="s">
        <v>55</v>
      </c>
      <c r="L1189" t="s">
        <v>2979</v>
      </c>
      <c r="M1189" t="s">
        <v>57</v>
      </c>
      <c r="N1189" t="str">
        <f>"047431"</f>
        <v>047431</v>
      </c>
      <c r="O1189" t="s">
        <v>2975</v>
      </c>
      <c r="P1189" t="s">
        <v>68</v>
      </c>
      <c r="Q1189">
        <v>33.799999999999997</v>
      </c>
      <c r="R1189">
        <v>10.099999999999994</v>
      </c>
      <c r="S1189" t="s">
        <v>156</v>
      </c>
    </row>
    <row r="1190" spans="1:19" x14ac:dyDescent="0.35">
      <c r="A1190">
        <v>7427</v>
      </c>
      <c r="B1190" t="str">
        <f>"007427"</f>
        <v>007427</v>
      </c>
      <c r="C1190" t="s">
        <v>4562</v>
      </c>
      <c r="D1190" t="s">
        <v>3398</v>
      </c>
      <c r="E1190" t="s">
        <v>3395</v>
      </c>
      <c r="F1190" t="s">
        <v>3396</v>
      </c>
      <c r="G1190" t="s">
        <v>1613</v>
      </c>
      <c r="H1190" t="s">
        <v>4563</v>
      </c>
      <c r="I1190" t="s">
        <v>4564</v>
      </c>
      <c r="J1190" t="s">
        <v>1613</v>
      </c>
      <c r="K1190" t="s">
        <v>55</v>
      </c>
      <c r="L1190" t="s">
        <v>1616</v>
      </c>
      <c r="M1190" t="s">
        <v>57</v>
      </c>
      <c r="N1190" t="str">
        <f>"043828"</f>
        <v>043828</v>
      </c>
      <c r="O1190" t="s">
        <v>3102</v>
      </c>
      <c r="P1190" t="s">
        <v>68</v>
      </c>
      <c r="Q1190">
        <v>100</v>
      </c>
      <c r="R1190">
        <v>13.400000000000006</v>
      </c>
      <c r="S1190" t="s">
        <v>130</v>
      </c>
    </row>
    <row r="1191" spans="1:19" x14ac:dyDescent="0.35">
      <c r="A1191">
        <v>7450</v>
      </c>
      <c r="B1191" t="str">
        <f>"007450"</f>
        <v>007450</v>
      </c>
      <c r="C1191" t="s">
        <v>4565</v>
      </c>
      <c r="D1191" t="s">
        <v>3400</v>
      </c>
      <c r="E1191" t="s">
        <v>3395</v>
      </c>
      <c r="F1191" t="s">
        <v>3396</v>
      </c>
      <c r="G1191" t="s">
        <v>1551</v>
      </c>
      <c r="H1191" t="s">
        <v>4566</v>
      </c>
      <c r="I1191" t="s">
        <v>4567</v>
      </c>
      <c r="J1191" t="s">
        <v>2129</v>
      </c>
      <c r="K1191" t="s">
        <v>55</v>
      </c>
      <c r="L1191" t="s">
        <v>2130</v>
      </c>
      <c r="M1191" t="s">
        <v>57</v>
      </c>
      <c r="N1191" t="str">
        <f>"045351"</f>
        <v>045351</v>
      </c>
      <c r="O1191" t="s">
        <v>2126</v>
      </c>
      <c r="P1191" t="s">
        <v>68</v>
      </c>
      <c r="Q1191">
        <v>100</v>
      </c>
      <c r="R1191">
        <v>2.0999999999999943</v>
      </c>
      <c r="S1191" t="s">
        <v>130</v>
      </c>
    </row>
    <row r="1192" spans="1:19" x14ac:dyDescent="0.35">
      <c r="A1192">
        <v>7492</v>
      </c>
      <c r="B1192" t="str">
        <f>"007492"</f>
        <v>007492</v>
      </c>
      <c r="C1192" t="s">
        <v>4568</v>
      </c>
      <c r="D1192" t="s">
        <v>3394</v>
      </c>
      <c r="E1192" t="s">
        <v>3395</v>
      </c>
      <c r="F1192" t="s">
        <v>3396</v>
      </c>
      <c r="G1192" t="s">
        <v>212</v>
      </c>
      <c r="H1192" t="s">
        <v>4569</v>
      </c>
      <c r="I1192" t="s">
        <v>4570</v>
      </c>
      <c r="J1192" t="s">
        <v>215</v>
      </c>
      <c r="K1192" t="s">
        <v>55</v>
      </c>
      <c r="L1192" t="s">
        <v>4199</v>
      </c>
      <c r="M1192" t="s">
        <v>57</v>
      </c>
      <c r="N1192" t="str">
        <f>"043752"</f>
        <v>043752</v>
      </c>
      <c r="O1192" t="s">
        <v>440</v>
      </c>
      <c r="P1192" t="s">
        <v>68</v>
      </c>
      <c r="Q1192">
        <v>99.8</v>
      </c>
      <c r="R1192">
        <v>69.7</v>
      </c>
      <c r="S1192" t="s">
        <v>217</v>
      </c>
    </row>
    <row r="1193" spans="1:19" x14ac:dyDescent="0.35">
      <c r="A1193">
        <v>7526</v>
      </c>
      <c r="B1193" t="str">
        <f>"007526"</f>
        <v>007526</v>
      </c>
      <c r="C1193" t="s">
        <v>4571</v>
      </c>
      <c r="D1193" t="s">
        <v>3394</v>
      </c>
      <c r="E1193" t="s">
        <v>3395</v>
      </c>
      <c r="F1193" t="s">
        <v>3396</v>
      </c>
      <c r="G1193" t="s">
        <v>325</v>
      </c>
      <c r="H1193" t="s">
        <v>1996</v>
      </c>
      <c r="I1193" t="s">
        <v>1997</v>
      </c>
      <c r="J1193" t="s">
        <v>1998</v>
      </c>
      <c r="K1193" t="s">
        <v>55</v>
      </c>
      <c r="L1193" t="s">
        <v>1999</v>
      </c>
      <c r="M1193" t="s">
        <v>57</v>
      </c>
      <c r="N1193" t="str">
        <f>"045336"</f>
        <v>045336</v>
      </c>
      <c r="O1193" t="s">
        <v>1995</v>
      </c>
      <c r="P1193" t="s">
        <v>68</v>
      </c>
      <c r="Q1193">
        <v>35.200000000000003</v>
      </c>
      <c r="R1193">
        <v>8.5999999999999943</v>
      </c>
      <c r="S1193" t="s">
        <v>180</v>
      </c>
    </row>
    <row r="1194" spans="1:19" x14ac:dyDescent="0.35">
      <c r="A1194">
        <v>7526</v>
      </c>
      <c r="B1194" t="str">
        <f>"007526"</f>
        <v>007526</v>
      </c>
      <c r="C1194" t="s">
        <v>4571</v>
      </c>
      <c r="D1194" t="s">
        <v>4572</v>
      </c>
      <c r="E1194" t="s">
        <v>3395</v>
      </c>
      <c r="F1194" t="s">
        <v>3396</v>
      </c>
      <c r="G1194" t="s">
        <v>325</v>
      </c>
      <c r="H1194" t="s">
        <v>1996</v>
      </c>
      <c r="I1194" t="s">
        <v>1997</v>
      </c>
      <c r="J1194" t="s">
        <v>1998</v>
      </c>
      <c r="K1194" t="s">
        <v>55</v>
      </c>
      <c r="L1194" t="s">
        <v>1999</v>
      </c>
      <c r="M1194" t="s">
        <v>57</v>
      </c>
      <c r="N1194" t="str">
        <f>"045336"</f>
        <v>045336</v>
      </c>
      <c r="O1194" t="s">
        <v>1995</v>
      </c>
      <c r="P1194" t="s">
        <v>68</v>
      </c>
      <c r="Q1194">
        <v>35.200000000000003</v>
      </c>
      <c r="R1194">
        <v>8.5999999999999943</v>
      </c>
      <c r="S1194" t="s">
        <v>180</v>
      </c>
    </row>
    <row r="1195" spans="1:19" x14ac:dyDescent="0.35">
      <c r="A1195">
        <v>7534</v>
      </c>
      <c r="B1195" t="str">
        <f>"007534"</f>
        <v>007534</v>
      </c>
      <c r="C1195" t="s">
        <v>4573</v>
      </c>
      <c r="D1195" t="s">
        <v>3398</v>
      </c>
      <c r="E1195" t="s">
        <v>3395</v>
      </c>
      <c r="F1195" t="s">
        <v>3396</v>
      </c>
      <c r="G1195" t="s">
        <v>325</v>
      </c>
      <c r="H1195" t="s">
        <v>1996</v>
      </c>
      <c r="I1195" t="s">
        <v>1997</v>
      </c>
      <c r="J1195" t="s">
        <v>1998</v>
      </c>
      <c r="K1195" t="s">
        <v>55</v>
      </c>
      <c r="L1195" t="s">
        <v>1999</v>
      </c>
      <c r="M1195" t="s">
        <v>57</v>
      </c>
      <c r="N1195" t="str">
        <f>"045336"</f>
        <v>045336</v>
      </c>
      <c r="O1195" t="s">
        <v>1995</v>
      </c>
      <c r="P1195" t="s">
        <v>68</v>
      </c>
      <c r="Q1195">
        <v>26.1</v>
      </c>
      <c r="R1195">
        <v>7.2000000000000028</v>
      </c>
      <c r="S1195" t="s">
        <v>180</v>
      </c>
    </row>
    <row r="1196" spans="1:19" x14ac:dyDescent="0.35">
      <c r="A1196">
        <v>7534</v>
      </c>
      <c r="B1196" t="str">
        <f>"007534"</f>
        <v>007534</v>
      </c>
      <c r="C1196" t="s">
        <v>4573</v>
      </c>
      <c r="D1196" t="s">
        <v>4572</v>
      </c>
      <c r="E1196" t="s">
        <v>3395</v>
      </c>
      <c r="F1196" t="s">
        <v>3396</v>
      </c>
      <c r="G1196" t="s">
        <v>325</v>
      </c>
      <c r="H1196" t="s">
        <v>1996</v>
      </c>
      <c r="I1196" t="s">
        <v>1997</v>
      </c>
      <c r="J1196" t="s">
        <v>1998</v>
      </c>
      <c r="K1196" t="s">
        <v>55</v>
      </c>
      <c r="L1196" t="s">
        <v>1999</v>
      </c>
      <c r="M1196" t="s">
        <v>57</v>
      </c>
      <c r="N1196" t="str">
        <f>"045336"</f>
        <v>045336</v>
      </c>
      <c r="O1196" t="s">
        <v>1995</v>
      </c>
      <c r="P1196" t="s">
        <v>68</v>
      </c>
      <c r="Q1196">
        <v>26.1</v>
      </c>
      <c r="R1196">
        <v>7.2000000000000028</v>
      </c>
      <c r="S1196" t="s">
        <v>180</v>
      </c>
    </row>
    <row r="1197" spans="1:19" x14ac:dyDescent="0.35">
      <c r="A1197">
        <v>7542</v>
      </c>
      <c r="B1197" t="str">
        <f>"007542"</f>
        <v>007542</v>
      </c>
      <c r="C1197" t="s">
        <v>4574</v>
      </c>
      <c r="D1197" t="s">
        <v>3394</v>
      </c>
      <c r="E1197" t="s">
        <v>3395</v>
      </c>
      <c r="F1197" t="s">
        <v>3396</v>
      </c>
      <c r="G1197" t="s">
        <v>642</v>
      </c>
      <c r="H1197" t="s">
        <v>4575</v>
      </c>
      <c r="I1197" t="s">
        <v>4576</v>
      </c>
      <c r="J1197" t="s">
        <v>1469</v>
      </c>
      <c r="K1197" t="s">
        <v>55</v>
      </c>
      <c r="L1197" t="s">
        <v>1470</v>
      </c>
      <c r="M1197" t="s">
        <v>57</v>
      </c>
      <c r="N1197" t="str">
        <f>"045153"</f>
        <v>045153</v>
      </c>
      <c r="O1197" t="s">
        <v>2754</v>
      </c>
      <c r="P1197" t="s">
        <v>68</v>
      </c>
      <c r="Q1197">
        <v>100</v>
      </c>
      <c r="R1197">
        <v>28.400000000000006</v>
      </c>
      <c r="S1197" t="s">
        <v>180</v>
      </c>
    </row>
    <row r="1198" spans="1:19" x14ac:dyDescent="0.35">
      <c r="A1198">
        <v>7559</v>
      </c>
      <c r="B1198" t="str">
        <f>"007559"</f>
        <v>007559</v>
      </c>
      <c r="C1198" t="s">
        <v>4577</v>
      </c>
      <c r="D1198" t="s">
        <v>3394</v>
      </c>
      <c r="E1198" t="s">
        <v>3395</v>
      </c>
      <c r="F1198" t="s">
        <v>3396</v>
      </c>
      <c r="G1198" t="s">
        <v>200</v>
      </c>
      <c r="H1198" t="s">
        <v>4578</v>
      </c>
      <c r="I1198" t="s">
        <v>4579</v>
      </c>
      <c r="J1198" t="s">
        <v>2685</v>
      </c>
      <c r="K1198" t="s">
        <v>55</v>
      </c>
      <c r="L1198" t="s">
        <v>2686</v>
      </c>
      <c r="M1198" t="s">
        <v>57</v>
      </c>
      <c r="N1198" t="str">
        <f>"044602"</f>
        <v>044602</v>
      </c>
      <c r="O1198" t="s">
        <v>2682</v>
      </c>
      <c r="P1198" t="s">
        <v>68</v>
      </c>
      <c r="Q1198">
        <v>50.3</v>
      </c>
      <c r="R1198">
        <v>25.299999999999997</v>
      </c>
      <c r="S1198" t="s">
        <v>156</v>
      </c>
    </row>
    <row r="1199" spans="1:19" x14ac:dyDescent="0.35">
      <c r="A1199">
        <v>7567</v>
      </c>
      <c r="B1199" t="str">
        <f>"007567"</f>
        <v>007567</v>
      </c>
      <c r="C1199" t="s">
        <v>4580</v>
      </c>
      <c r="D1199" t="s">
        <v>3394</v>
      </c>
      <c r="E1199" t="s">
        <v>3395</v>
      </c>
      <c r="F1199" t="s">
        <v>3396</v>
      </c>
      <c r="G1199" t="s">
        <v>600</v>
      </c>
      <c r="H1199" t="s">
        <v>4581</v>
      </c>
      <c r="I1199" t="s">
        <v>4582</v>
      </c>
      <c r="J1199" t="s">
        <v>1348</v>
      </c>
      <c r="K1199" t="s">
        <v>55</v>
      </c>
      <c r="L1199" t="s">
        <v>1018</v>
      </c>
      <c r="M1199" t="s">
        <v>57</v>
      </c>
      <c r="N1199" t="str">
        <f>"043802"</f>
        <v>043802</v>
      </c>
      <c r="O1199" t="s">
        <v>3171</v>
      </c>
      <c r="P1199" t="s">
        <v>68</v>
      </c>
      <c r="Q1199">
        <v>100</v>
      </c>
      <c r="R1199">
        <v>53.4</v>
      </c>
      <c r="S1199" t="s">
        <v>60</v>
      </c>
    </row>
    <row r="1200" spans="1:19" x14ac:dyDescent="0.35">
      <c r="A1200">
        <v>7609</v>
      </c>
      <c r="B1200" t="str">
        <f>"007609"</f>
        <v>007609</v>
      </c>
      <c r="C1200" t="s">
        <v>4583</v>
      </c>
      <c r="D1200" t="s">
        <v>3394</v>
      </c>
      <c r="E1200" t="s">
        <v>3395</v>
      </c>
      <c r="F1200" t="s">
        <v>3396</v>
      </c>
      <c r="G1200" t="s">
        <v>244</v>
      </c>
      <c r="H1200" t="s">
        <v>4584</v>
      </c>
      <c r="I1200" t="s">
        <v>4585</v>
      </c>
      <c r="J1200" t="s">
        <v>1179</v>
      </c>
      <c r="K1200" t="s">
        <v>55</v>
      </c>
      <c r="L1200" t="s">
        <v>3475</v>
      </c>
      <c r="M1200" t="s">
        <v>57</v>
      </c>
      <c r="N1200" t="str">
        <f>"044404"</f>
        <v>044404</v>
      </c>
      <c r="O1200" t="s">
        <v>1176</v>
      </c>
      <c r="P1200" t="s">
        <v>68</v>
      </c>
      <c r="Q1200">
        <v>100</v>
      </c>
      <c r="R1200">
        <v>53.9</v>
      </c>
      <c r="S1200" t="s">
        <v>217</v>
      </c>
    </row>
    <row r="1201" spans="1:19" x14ac:dyDescent="0.35">
      <c r="A1201">
        <v>7617</v>
      </c>
      <c r="B1201" t="str">
        <f>"007617"</f>
        <v>007617</v>
      </c>
      <c r="C1201" t="s">
        <v>4586</v>
      </c>
      <c r="D1201" t="s">
        <v>3398</v>
      </c>
      <c r="E1201" t="s">
        <v>3395</v>
      </c>
      <c r="F1201" t="s">
        <v>3396</v>
      </c>
      <c r="G1201" t="s">
        <v>331</v>
      </c>
      <c r="H1201" t="s">
        <v>4587</v>
      </c>
      <c r="I1201" t="s">
        <v>4588</v>
      </c>
      <c r="J1201" t="s">
        <v>334</v>
      </c>
      <c r="K1201" t="s">
        <v>55</v>
      </c>
      <c r="L1201" t="s">
        <v>335</v>
      </c>
      <c r="M1201" t="s">
        <v>57</v>
      </c>
      <c r="N1201" t="str">
        <f>"045344"</f>
        <v>045344</v>
      </c>
      <c r="O1201" t="s">
        <v>330</v>
      </c>
      <c r="P1201" t="s">
        <v>68</v>
      </c>
      <c r="Q1201">
        <v>96.7</v>
      </c>
      <c r="R1201">
        <v>7.4000000000000057</v>
      </c>
      <c r="S1201" t="s">
        <v>156</v>
      </c>
    </row>
    <row r="1202" spans="1:19" x14ac:dyDescent="0.35">
      <c r="A1202">
        <v>7625</v>
      </c>
      <c r="B1202" t="str">
        <f>"007625"</f>
        <v>007625</v>
      </c>
      <c r="C1202" t="s">
        <v>4589</v>
      </c>
      <c r="D1202" t="s">
        <v>3400</v>
      </c>
      <c r="E1202" t="s">
        <v>3395</v>
      </c>
      <c r="F1202" t="s">
        <v>3396</v>
      </c>
      <c r="G1202" t="s">
        <v>187</v>
      </c>
      <c r="H1202" t="s">
        <v>3212</v>
      </c>
      <c r="I1202" t="s">
        <v>3213</v>
      </c>
      <c r="J1202" t="s">
        <v>3214</v>
      </c>
      <c r="K1202" t="s">
        <v>55</v>
      </c>
      <c r="L1202" t="s">
        <v>3215</v>
      </c>
      <c r="M1202" t="s">
        <v>57</v>
      </c>
      <c r="N1202" t="str">
        <f>"050567"</f>
        <v>050567</v>
      </c>
      <c r="O1202" t="s">
        <v>3211</v>
      </c>
      <c r="P1202" t="s">
        <v>68</v>
      </c>
      <c r="Q1202">
        <v>25.2</v>
      </c>
      <c r="R1202">
        <v>6.0999999999999943</v>
      </c>
      <c r="S1202" t="s">
        <v>77</v>
      </c>
    </row>
    <row r="1203" spans="1:19" x14ac:dyDescent="0.35">
      <c r="A1203">
        <v>7633</v>
      </c>
      <c r="B1203" t="str">
        <f>"007633"</f>
        <v>007633</v>
      </c>
      <c r="C1203" t="s">
        <v>4590</v>
      </c>
      <c r="D1203" t="s">
        <v>3394</v>
      </c>
      <c r="E1203" t="s">
        <v>3395</v>
      </c>
      <c r="F1203" t="s">
        <v>3396</v>
      </c>
      <c r="G1203" t="s">
        <v>406</v>
      </c>
      <c r="H1203" t="s">
        <v>4591</v>
      </c>
      <c r="I1203" t="s">
        <v>4592</v>
      </c>
      <c r="J1203" t="s">
        <v>909</v>
      </c>
      <c r="K1203" t="s">
        <v>55</v>
      </c>
      <c r="L1203" t="s">
        <v>910</v>
      </c>
      <c r="M1203" t="s">
        <v>57</v>
      </c>
      <c r="N1203" t="str">
        <f>"043661"</f>
        <v>043661</v>
      </c>
      <c r="O1203" t="s">
        <v>906</v>
      </c>
      <c r="P1203" t="s">
        <v>68</v>
      </c>
      <c r="Q1203">
        <v>11.7</v>
      </c>
      <c r="R1203">
        <v>7.7000000000000028</v>
      </c>
      <c r="S1203" t="s">
        <v>77</v>
      </c>
    </row>
    <row r="1204" spans="1:19" x14ac:dyDescent="0.35">
      <c r="A1204">
        <v>7658</v>
      </c>
      <c r="B1204" t="str">
        <f>"007658"</f>
        <v>007658</v>
      </c>
      <c r="C1204" t="s">
        <v>4593</v>
      </c>
      <c r="D1204" t="s">
        <v>3398</v>
      </c>
      <c r="E1204" t="s">
        <v>3395</v>
      </c>
      <c r="F1204" t="s">
        <v>3396</v>
      </c>
      <c r="G1204" t="s">
        <v>536</v>
      </c>
      <c r="H1204" t="s">
        <v>4594</v>
      </c>
      <c r="I1204" t="s">
        <v>4595</v>
      </c>
      <c r="J1204" t="s">
        <v>536</v>
      </c>
      <c r="K1204" t="s">
        <v>55</v>
      </c>
      <c r="L1204" t="s">
        <v>2227</v>
      </c>
      <c r="M1204" t="s">
        <v>57</v>
      </c>
      <c r="N1204" t="str">
        <f>"046433"</f>
        <v>046433</v>
      </c>
      <c r="O1204" t="s">
        <v>1228</v>
      </c>
      <c r="P1204" t="s">
        <v>68</v>
      </c>
      <c r="Q1204">
        <v>28.8</v>
      </c>
      <c r="R1204">
        <v>2.9000000000000057</v>
      </c>
      <c r="S1204" t="s">
        <v>77</v>
      </c>
    </row>
    <row r="1205" spans="1:19" x14ac:dyDescent="0.35">
      <c r="A1205">
        <v>7666</v>
      </c>
      <c r="B1205" t="str">
        <f>"007666"</f>
        <v>007666</v>
      </c>
      <c r="C1205" t="s">
        <v>4593</v>
      </c>
      <c r="D1205" t="s">
        <v>3398</v>
      </c>
      <c r="E1205" t="s">
        <v>3395</v>
      </c>
      <c r="F1205" t="s">
        <v>3396</v>
      </c>
      <c r="G1205" t="s">
        <v>1020</v>
      </c>
      <c r="H1205" t="s">
        <v>1229</v>
      </c>
      <c r="I1205" t="s">
        <v>1230</v>
      </c>
      <c r="J1205" t="s">
        <v>1231</v>
      </c>
      <c r="K1205" t="s">
        <v>55</v>
      </c>
      <c r="L1205" t="s">
        <v>1232</v>
      </c>
      <c r="M1205" t="s">
        <v>57</v>
      </c>
      <c r="N1205" t="str">
        <f>"050351"</f>
        <v>050351</v>
      </c>
      <c r="O1205" t="s">
        <v>1228</v>
      </c>
      <c r="P1205" t="s">
        <v>68</v>
      </c>
      <c r="Q1205">
        <v>21.6</v>
      </c>
      <c r="R1205">
        <v>6.2000000000000028</v>
      </c>
      <c r="S1205" t="s">
        <v>156</v>
      </c>
    </row>
    <row r="1206" spans="1:19" x14ac:dyDescent="0.35">
      <c r="A1206">
        <v>7674</v>
      </c>
      <c r="B1206" t="str">
        <f>"007674"</f>
        <v>007674</v>
      </c>
      <c r="C1206" t="s">
        <v>4593</v>
      </c>
      <c r="D1206" t="s">
        <v>3398</v>
      </c>
      <c r="E1206" t="s">
        <v>3395</v>
      </c>
      <c r="F1206" t="s">
        <v>3396</v>
      </c>
      <c r="G1206" t="s">
        <v>663</v>
      </c>
      <c r="H1206" t="s">
        <v>1455</v>
      </c>
      <c r="I1206" t="s">
        <v>1456</v>
      </c>
      <c r="J1206" t="s">
        <v>855</v>
      </c>
      <c r="K1206" t="s">
        <v>55</v>
      </c>
      <c r="L1206" t="s">
        <v>1457</v>
      </c>
      <c r="M1206" t="s">
        <v>57</v>
      </c>
      <c r="N1206" t="str">
        <f>"049429"</f>
        <v>049429</v>
      </c>
      <c r="O1206" t="s">
        <v>1228</v>
      </c>
      <c r="P1206" t="s">
        <v>68</v>
      </c>
      <c r="Q1206">
        <v>27.4</v>
      </c>
      <c r="R1206">
        <v>3.2999999999999972</v>
      </c>
      <c r="S1206" t="s">
        <v>77</v>
      </c>
    </row>
    <row r="1207" spans="1:19" x14ac:dyDescent="0.35">
      <c r="A1207">
        <v>7690</v>
      </c>
      <c r="B1207" t="str">
        <f>"007690"</f>
        <v>007690</v>
      </c>
      <c r="C1207" t="s">
        <v>4590</v>
      </c>
      <c r="D1207" t="s">
        <v>3394</v>
      </c>
      <c r="E1207" t="s">
        <v>3395</v>
      </c>
      <c r="F1207" t="s">
        <v>3396</v>
      </c>
      <c r="G1207" t="s">
        <v>1020</v>
      </c>
      <c r="H1207" t="s">
        <v>1229</v>
      </c>
      <c r="I1207" t="s">
        <v>1230</v>
      </c>
      <c r="J1207" t="s">
        <v>1231</v>
      </c>
      <c r="K1207" t="s">
        <v>55</v>
      </c>
      <c r="L1207" t="s">
        <v>1232</v>
      </c>
      <c r="M1207" t="s">
        <v>57</v>
      </c>
      <c r="N1207" t="str">
        <f>"050351"</f>
        <v>050351</v>
      </c>
      <c r="O1207" t="s">
        <v>1228</v>
      </c>
      <c r="P1207" t="s">
        <v>68</v>
      </c>
      <c r="Q1207">
        <v>32.5</v>
      </c>
      <c r="R1207">
        <v>6.7000000000000028</v>
      </c>
      <c r="S1207" t="s">
        <v>156</v>
      </c>
    </row>
    <row r="1208" spans="1:19" x14ac:dyDescent="0.35">
      <c r="A1208">
        <v>7716</v>
      </c>
      <c r="B1208" t="str">
        <f>"007716"</f>
        <v>007716</v>
      </c>
      <c r="C1208" t="s">
        <v>4596</v>
      </c>
      <c r="D1208" t="s">
        <v>3394</v>
      </c>
      <c r="E1208" t="s">
        <v>3395</v>
      </c>
      <c r="F1208" t="s">
        <v>3396</v>
      </c>
      <c r="G1208" t="s">
        <v>143</v>
      </c>
      <c r="H1208" t="s">
        <v>4597</v>
      </c>
      <c r="I1208" t="s">
        <v>4598</v>
      </c>
      <c r="J1208" t="s">
        <v>528</v>
      </c>
      <c r="K1208" t="s">
        <v>55</v>
      </c>
      <c r="L1208" t="s">
        <v>529</v>
      </c>
      <c r="M1208" t="s">
        <v>57</v>
      </c>
      <c r="N1208" t="str">
        <f>"043943"</f>
        <v>043943</v>
      </c>
      <c r="O1208" t="s">
        <v>525</v>
      </c>
      <c r="P1208" t="s">
        <v>68</v>
      </c>
      <c r="Q1208">
        <v>100</v>
      </c>
      <c r="R1208">
        <v>63.2</v>
      </c>
      <c r="S1208" t="s">
        <v>69</v>
      </c>
    </row>
    <row r="1209" spans="1:19" x14ac:dyDescent="0.35">
      <c r="A1209">
        <v>7724</v>
      </c>
      <c r="B1209" t="str">
        <f>"007724"</f>
        <v>007724</v>
      </c>
      <c r="C1209" t="s">
        <v>4599</v>
      </c>
      <c r="D1209" t="s">
        <v>3398</v>
      </c>
      <c r="E1209" t="s">
        <v>3395</v>
      </c>
      <c r="F1209" t="s">
        <v>3396</v>
      </c>
      <c r="G1209" t="s">
        <v>295</v>
      </c>
      <c r="H1209" t="s">
        <v>4600</v>
      </c>
      <c r="I1209" t="s">
        <v>4601</v>
      </c>
      <c r="J1209" t="s">
        <v>852</v>
      </c>
      <c r="K1209" t="s">
        <v>55</v>
      </c>
      <c r="L1209" t="s">
        <v>853</v>
      </c>
      <c r="M1209" t="s">
        <v>57</v>
      </c>
      <c r="N1209" t="str">
        <f>"049189"</f>
        <v>049189</v>
      </c>
      <c r="O1209" t="s">
        <v>849</v>
      </c>
      <c r="P1209" t="s">
        <v>68</v>
      </c>
      <c r="Q1209">
        <v>25.7</v>
      </c>
      <c r="R1209">
        <v>6.2000000000000028</v>
      </c>
      <c r="S1209" t="s">
        <v>77</v>
      </c>
    </row>
    <row r="1210" spans="1:19" x14ac:dyDescent="0.35">
      <c r="A1210">
        <v>7757</v>
      </c>
      <c r="B1210" t="str">
        <f>"007757"</f>
        <v>007757</v>
      </c>
      <c r="C1210" t="s">
        <v>4602</v>
      </c>
      <c r="D1210" t="s">
        <v>3394</v>
      </c>
      <c r="E1210" t="s">
        <v>3395</v>
      </c>
      <c r="F1210" t="s">
        <v>3396</v>
      </c>
      <c r="G1210" t="s">
        <v>554</v>
      </c>
      <c r="H1210" t="s">
        <v>4603</v>
      </c>
      <c r="I1210" t="s">
        <v>4604</v>
      </c>
      <c r="J1210" t="s">
        <v>4605</v>
      </c>
      <c r="K1210" t="s">
        <v>55</v>
      </c>
      <c r="L1210" t="s">
        <v>1648</v>
      </c>
      <c r="M1210" t="s">
        <v>57</v>
      </c>
      <c r="N1210" t="str">
        <f>"044982"</f>
        <v>044982</v>
      </c>
      <c r="O1210" t="s">
        <v>1181</v>
      </c>
      <c r="P1210" t="s">
        <v>68</v>
      </c>
      <c r="Q1210">
        <v>50.4</v>
      </c>
      <c r="R1210">
        <v>9.0999999999999943</v>
      </c>
      <c r="S1210" t="s">
        <v>156</v>
      </c>
    </row>
    <row r="1211" spans="1:19" x14ac:dyDescent="0.35">
      <c r="A1211">
        <v>7773</v>
      </c>
      <c r="B1211" t="str">
        <f>"007773"</f>
        <v>007773</v>
      </c>
      <c r="C1211" t="s">
        <v>4606</v>
      </c>
      <c r="D1211" t="s">
        <v>3394</v>
      </c>
      <c r="E1211" t="s">
        <v>3395</v>
      </c>
      <c r="F1211" t="s">
        <v>3396</v>
      </c>
      <c r="G1211" t="s">
        <v>226</v>
      </c>
      <c r="H1211" t="s">
        <v>4607</v>
      </c>
      <c r="I1211" t="s">
        <v>4608</v>
      </c>
      <c r="J1211" t="s">
        <v>810</v>
      </c>
      <c r="K1211" t="s">
        <v>55</v>
      </c>
      <c r="L1211" t="s">
        <v>811</v>
      </c>
      <c r="M1211" t="s">
        <v>57</v>
      </c>
      <c r="N1211" t="str">
        <f>"043638"</f>
        <v>043638</v>
      </c>
      <c r="O1211" t="s">
        <v>2594</v>
      </c>
      <c r="P1211" t="s">
        <v>68</v>
      </c>
      <c r="Q1211">
        <v>62.9</v>
      </c>
      <c r="R1211">
        <v>35.099999999999994</v>
      </c>
      <c r="S1211" t="s">
        <v>156</v>
      </c>
    </row>
    <row r="1212" spans="1:19" x14ac:dyDescent="0.35">
      <c r="A1212">
        <v>7799</v>
      </c>
      <c r="B1212" t="str">
        <f>"007799"</f>
        <v>007799</v>
      </c>
      <c r="C1212" t="s">
        <v>4609</v>
      </c>
      <c r="D1212" t="s">
        <v>3394</v>
      </c>
      <c r="E1212" t="s">
        <v>3395</v>
      </c>
      <c r="F1212" t="s">
        <v>3396</v>
      </c>
      <c r="G1212" t="s">
        <v>200</v>
      </c>
      <c r="H1212" t="s">
        <v>4610</v>
      </c>
      <c r="I1212" t="s">
        <v>4611</v>
      </c>
      <c r="J1212" t="s">
        <v>431</v>
      </c>
      <c r="K1212" t="s">
        <v>55</v>
      </c>
      <c r="L1212" t="s">
        <v>432</v>
      </c>
      <c r="M1212" t="s">
        <v>57</v>
      </c>
      <c r="N1212" t="str">
        <f>"048223"</f>
        <v>048223</v>
      </c>
      <c r="O1212" t="s">
        <v>263</v>
      </c>
      <c r="P1212" t="s">
        <v>68</v>
      </c>
      <c r="Q1212">
        <v>43.6</v>
      </c>
      <c r="R1212">
        <v>32.900000000000006</v>
      </c>
      <c r="S1212" t="s">
        <v>156</v>
      </c>
    </row>
    <row r="1213" spans="1:19" x14ac:dyDescent="0.35">
      <c r="A1213">
        <v>7815</v>
      </c>
      <c r="B1213" t="str">
        <f>"007815"</f>
        <v>007815</v>
      </c>
      <c r="C1213" t="s">
        <v>4612</v>
      </c>
      <c r="D1213" t="s">
        <v>3394</v>
      </c>
      <c r="E1213" t="s">
        <v>3395</v>
      </c>
      <c r="F1213" t="s">
        <v>3396</v>
      </c>
      <c r="G1213" t="s">
        <v>400</v>
      </c>
      <c r="H1213" t="s">
        <v>4613</v>
      </c>
      <c r="I1213" t="s">
        <v>4614</v>
      </c>
      <c r="J1213" t="s">
        <v>2749</v>
      </c>
      <c r="K1213" t="s">
        <v>55</v>
      </c>
      <c r="L1213" t="s">
        <v>2750</v>
      </c>
      <c r="M1213" t="s">
        <v>57</v>
      </c>
      <c r="N1213" t="str">
        <f>"044016"</f>
        <v>044016</v>
      </c>
      <c r="O1213" t="s">
        <v>3244</v>
      </c>
      <c r="P1213" t="s">
        <v>68</v>
      </c>
      <c r="Q1213">
        <v>100</v>
      </c>
      <c r="R1213">
        <v>48.9</v>
      </c>
      <c r="S1213" t="s">
        <v>156</v>
      </c>
    </row>
    <row r="1214" spans="1:19" x14ac:dyDescent="0.35">
      <c r="A1214">
        <v>7823</v>
      </c>
      <c r="B1214" t="str">
        <f>"007823"</f>
        <v>007823</v>
      </c>
      <c r="C1214" t="s">
        <v>4615</v>
      </c>
      <c r="D1214" t="s">
        <v>3398</v>
      </c>
      <c r="E1214" t="s">
        <v>3395</v>
      </c>
      <c r="F1214" t="s">
        <v>3396</v>
      </c>
      <c r="G1214" t="s">
        <v>1551</v>
      </c>
      <c r="H1214" t="s">
        <v>4616</v>
      </c>
      <c r="I1214" t="s">
        <v>4617</v>
      </c>
      <c r="J1214" t="s">
        <v>2129</v>
      </c>
      <c r="K1214" t="s">
        <v>55</v>
      </c>
      <c r="L1214" t="s">
        <v>2130</v>
      </c>
      <c r="M1214" t="s">
        <v>57</v>
      </c>
      <c r="N1214" t="str">
        <f>"045351"</f>
        <v>045351</v>
      </c>
      <c r="O1214" t="s">
        <v>2126</v>
      </c>
      <c r="P1214" t="s">
        <v>68</v>
      </c>
      <c r="Q1214">
        <v>100</v>
      </c>
      <c r="R1214">
        <v>3.9000000000000057</v>
      </c>
      <c r="S1214" t="s">
        <v>130</v>
      </c>
    </row>
    <row r="1215" spans="1:19" x14ac:dyDescent="0.35">
      <c r="A1215">
        <v>7849</v>
      </c>
      <c r="B1215" t="str">
        <f>"007849"</f>
        <v>007849</v>
      </c>
      <c r="C1215" t="s">
        <v>4618</v>
      </c>
      <c r="D1215" t="s">
        <v>3394</v>
      </c>
      <c r="E1215" t="s">
        <v>3395</v>
      </c>
      <c r="F1215" t="s">
        <v>3396</v>
      </c>
      <c r="G1215" t="s">
        <v>212</v>
      </c>
      <c r="H1215" t="s">
        <v>4619</v>
      </c>
      <c r="I1215" t="s">
        <v>4620</v>
      </c>
      <c r="J1215" t="s">
        <v>1187</v>
      </c>
      <c r="K1215" t="s">
        <v>55</v>
      </c>
      <c r="L1215" t="s">
        <v>2134</v>
      </c>
      <c r="M1215" t="s">
        <v>57</v>
      </c>
      <c r="N1215" t="str">
        <f>"047381"</f>
        <v>047381</v>
      </c>
      <c r="O1215" t="s">
        <v>2131</v>
      </c>
      <c r="P1215" t="s">
        <v>68</v>
      </c>
      <c r="Q1215">
        <v>16.600000000000001</v>
      </c>
      <c r="R1215">
        <v>6.0999999999999943</v>
      </c>
      <c r="S1215" t="s">
        <v>217</v>
      </c>
    </row>
    <row r="1216" spans="1:19" x14ac:dyDescent="0.35">
      <c r="A1216">
        <v>7856</v>
      </c>
      <c r="B1216" t="str">
        <f>"007856"</f>
        <v>007856</v>
      </c>
      <c r="C1216" t="s">
        <v>4621</v>
      </c>
      <c r="D1216" t="s">
        <v>3394</v>
      </c>
      <c r="E1216" t="s">
        <v>3395</v>
      </c>
      <c r="F1216" t="s">
        <v>3396</v>
      </c>
      <c r="G1216" t="s">
        <v>200</v>
      </c>
      <c r="H1216" t="s">
        <v>4622</v>
      </c>
      <c r="I1216" t="s">
        <v>4623</v>
      </c>
      <c r="J1216" t="s">
        <v>304</v>
      </c>
      <c r="K1216" t="s">
        <v>55</v>
      </c>
      <c r="L1216" t="s">
        <v>3835</v>
      </c>
      <c r="M1216" t="s">
        <v>57</v>
      </c>
      <c r="N1216" t="str">
        <f>"044909"</f>
        <v>044909</v>
      </c>
      <c r="O1216" t="s">
        <v>3318</v>
      </c>
      <c r="P1216" t="s">
        <v>68</v>
      </c>
      <c r="Q1216">
        <v>100</v>
      </c>
      <c r="R1216">
        <v>74.400000000000006</v>
      </c>
      <c r="S1216" t="s">
        <v>156</v>
      </c>
    </row>
    <row r="1217" spans="1:19" x14ac:dyDescent="0.35">
      <c r="A1217">
        <v>7864</v>
      </c>
      <c r="B1217" t="str">
        <f>"007864"</f>
        <v>007864</v>
      </c>
      <c r="C1217" t="s">
        <v>4624</v>
      </c>
      <c r="D1217" t="s">
        <v>3394</v>
      </c>
      <c r="E1217" t="s">
        <v>3395</v>
      </c>
      <c r="F1217" t="s">
        <v>3396</v>
      </c>
      <c r="G1217" t="s">
        <v>264</v>
      </c>
      <c r="H1217" t="s">
        <v>4625</v>
      </c>
      <c r="I1217" t="s">
        <v>4626</v>
      </c>
      <c r="J1217" t="s">
        <v>267</v>
      </c>
      <c r="K1217" t="s">
        <v>55</v>
      </c>
      <c r="L1217" t="s">
        <v>4045</v>
      </c>
      <c r="M1217" t="s">
        <v>57</v>
      </c>
      <c r="N1217" t="str">
        <f>"043489"</f>
        <v>043489</v>
      </c>
      <c r="O1217" t="s">
        <v>3176</v>
      </c>
      <c r="P1217" t="s">
        <v>68</v>
      </c>
      <c r="Q1217">
        <v>100</v>
      </c>
      <c r="R1217">
        <v>95</v>
      </c>
      <c r="S1217" t="s">
        <v>77</v>
      </c>
    </row>
    <row r="1218" spans="1:19" x14ac:dyDescent="0.35">
      <c r="A1218">
        <v>7898</v>
      </c>
      <c r="B1218" t="str">
        <f>"007898"</f>
        <v>007898</v>
      </c>
      <c r="C1218" t="s">
        <v>4627</v>
      </c>
      <c r="D1218" t="s">
        <v>3394</v>
      </c>
      <c r="E1218" t="s">
        <v>3395</v>
      </c>
      <c r="F1218" t="s">
        <v>3396</v>
      </c>
      <c r="G1218" t="s">
        <v>169</v>
      </c>
      <c r="H1218" t="s">
        <v>4628</v>
      </c>
      <c r="I1218" t="s">
        <v>4629</v>
      </c>
      <c r="J1218" t="s">
        <v>730</v>
      </c>
      <c r="K1218" t="s">
        <v>55</v>
      </c>
      <c r="L1218" t="s">
        <v>731</v>
      </c>
      <c r="M1218" t="s">
        <v>57</v>
      </c>
      <c r="N1218" t="str">
        <f>"050153"</f>
        <v>050153</v>
      </c>
      <c r="O1218" t="s">
        <v>1091</v>
      </c>
      <c r="P1218" t="s">
        <v>68</v>
      </c>
      <c r="Q1218">
        <v>47.6</v>
      </c>
      <c r="R1218">
        <v>8.2999999999999972</v>
      </c>
      <c r="S1218" t="s">
        <v>77</v>
      </c>
    </row>
    <row r="1219" spans="1:19" x14ac:dyDescent="0.35">
      <c r="A1219">
        <v>7906</v>
      </c>
      <c r="B1219" t="str">
        <f>"007906"</f>
        <v>007906</v>
      </c>
      <c r="C1219" t="s">
        <v>4630</v>
      </c>
      <c r="D1219" t="s">
        <v>3394</v>
      </c>
      <c r="E1219" t="s">
        <v>3395</v>
      </c>
      <c r="F1219" t="s">
        <v>3396</v>
      </c>
      <c r="G1219" t="s">
        <v>169</v>
      </c>
      <c r="H1219" t="s">
        <v>3321</v>
      </c>
      <c r="I1219" t="s">
        <v>3322</v>
      </c>
      <c r="J1219" t="s">
        <v>3323</v>
      </c>
      <c r="K1219" t="s">
        <v>55</v>
      </c>
      <c r="L1219" t="s">
        <v>3324</v>
      </c>
      <c r="M1219" t="s">
        <v>57</v>
      </c>
      <c r="N1219" t="str">
        <f>"050120"</f>
        <v>050120</v>
      </c>
      <c r="O1219" t="s">
        <v>3320</v>
      </c>
      <c r="P1219" t="s">
        <v>68</v>
      </c>
      <c r="Q1219">
        <v>53.9</v>
      </c>
      <c r="R1219">
        <v>9</v>
      </c>
      <c r="S1219" t="s">
        <v>77</v>
      </c>
    </row>
    <row r="1220" spans="1:19" x14ac:dyDescent="0.35">
      <c r="A1220">
        <v>7930</v>
      </c>
      <c r="B1220" t="str">
        <f>"007930"</f>
        <v>007930</v>
      </c>
      <c r="C1220" t="s">
        <v>4631</v>
      </c>
      <c r="D1220" t="s">
        <v>3398</v>
      </c>
      <c r="E1220" t="s">
        <v>3395</v>
      </c>
      <c r="F1220" t="s">
        <v>3396</v>
      </c>
      <c r="G1220" t="s">
        <v>264</v>
      </c>
      <c r="H1220" t="s">
        <v>4632</v>
      </c>
      <c r="I1220" t="s">
        <v>4633</v>
      </c>
      <c r="J1220" t="s">
        <v>2497</v>
      </c>
      <c r="K1220" t="s">
        <v>55</v>
      </c>
      <c r="L1220" t="s">
        <v>2498</v>
      </c>
      <c r="M1220" t="s">
        <v>57</v>
      </c>
      <c r="N1220" t="str">
        <f>"043836"</f>
        <v>043836</v>
      </c>
      <c r="O1220" t="s">
        <v>2494</v>
      </c>
      <c r="P1220" t="s">
        <v>68</v>
      </c>
      <c r="Q1220">
        <v>42.7</v>
      </c>
      <c r="R1220">
        <v>22.599999999999994</v>
      </c>
      <c r="S1220" t="s">
        <v>77</v>
      </c>
    </row>
    <row r="1221" spans="1:19" x14ac:dyDescent="0.35">
      <c r="A1221">
        <v>7948</v>
      </c>
      <c r="B1221" t="str">
        <f>"007948"</f>
        <v>007948</v>
      </c>
      <c r="C1221" t="s">
        <v>4634</v>
      </c>
      <c r="D1221" t="s">
        <v>3394</v>
      </c>
      <c r="E1221" t="s">
        <v>3395</v>
      </c>
      <c r="F1221" t="s">
        <v>3396</v>
      </c>
      <c r="G1221" t="s">
        <v>63</v>
      </c>
      <c r="H1221" t="s">
        <v>4635</v>
      </c>
      <c r="I1221" t="s">
        <v>4636</v>
      </c>
      <c r="J1221" t="s">
        <v>507</v>
      </c>
      <c r="K1221" t="s">
        <v>55</v>
      </c>
      <c r="L1221" t="s">
        <v>508</v>
      </c>
      <c r="M1221" t="s">
        <v>57</v>
      </c>
      <c r="N1221" t="str">
        <f>"046557"</f>
        <v>046557</v>
      </c>
      <c r="O1221" t="s">
        <v>504</v>
      </c>
      <c r="P1221" t="s">
        <v>68</v>
      </c>
      <c r="Q1221">
        <v>23.2</v>
      </c>
      <c r="R1221">
        <v>14.799999999999997</v>
      </c>
      <c r="S1221" t="s">
        <v>69</v>
      </c>
    </row>
    <row r="1222" spans="1:19" x14ac:dyDescent="0.35">
      <c r="A1222">
        <v>7955</v>
      </c>
      <c r="B1222" t="str">
        <f>"007955"</f>
        <v>007955</v>
      </c>
      <c r="C1222" t="s">
        <v>4637</v>
      </c>
      <c r="D1222" t="s">
        <v>3398</v>
      </c>
      <c r="E1222" t="s">
        <v>3395</v>
      </c>
      <c r="F1222" t="s">
        <v>3396</v>
      </c>
      <c r="G1222" t="s">
        <v>63</v>
      </c>
      <c r="H1222" t="s">
        <v>505</v>
      </c>
      <c r="I1222" t="s">
        <v>506</v>
      </c>
      <c r="J1222" t="s">
        <v>507</v>
      </c>
      <c r="K1222" t="s">
        <v>55</v>
      </c>
      <c r="L1222" t="s">
        <v>508</v>
      </c>
      <c r="M1222" t="s">
        <v>57</v>
      </c>
      <c r="N1222" t="str">
        <f>"046557"</f>
        <v>046557</v>
      </c>
      <c r="O1222" t="s">
        <v>504</v>
      </c>
      <c r="P1222" t="s">
        <v>68</v>
      </c>
      <c r="Q1222">
        <v>24</v>
      </c>
      <c r="R1222">
        <v>14.400000000000006</v>
      </c>
      <c r="S1222" t="s">
        <v>69</v>
      </c>
    </row>
    <row r="1223" spans="1:19" x14ac:dyDescent="0.35">
      <c r="A1223">
        <v>7963</v>
      </c>
      <c r="B1223" t="str">
        <f>"007963"</f>
        <v>007963</v>
      </c>
      <c r="C1223" t="s">
        <v>4638</v>
      </c>
      <c r="D1223" t="s">
        <v>3400</v>
      </c>
      <c r="E1223" t="s">
        <v>3395</v>
      </c>
      <c r="F1223" t="s">
        <v>3396</v>
      </c>
      <c r="G1223" t="s">
        <v>226</v>
      </c>
      <c r="H1223" t="s">
        <v>227</v>
      </c>
      <c r="I1223" t="s">
        <v>228</v>
      </c>
      <c r="J1223" t="s">
        <v>229</v>
      </c>
      <c r="K1223" t="s">
        <v>55</v>
      </c>
      <c r="L1223" t="s">
        <v>230</v>
      </c>
      <c r="M1223" t="s">
        <v>57</v>
      </c>
      <c r="N1223" t="str">
        <f>"050682"</f>
        <v>050682</v>
      </c>
      <c r="O1223" t="s">
        <v>225</v>
      </c>
      <c r="P1223" t="s">
        <v>68</v>
      </c>
      <c r="Q1223">
        <v>31.6</v>
      </c>
      <c r="R1223">
        <v>11</v>
      </c>
      <c r="S1223" t="s">
        <v>156</v>
      </c>
    </row>
    <row r="1224" spans="1:19" x14ac:dyDescent="0.35">
      <c r="A1224">
        <v>7997</v>
      </c>
      <c r="B1224" t="str">
        <f>"007997"</f>
        <v>007997</v>
      </c>
      <c r="C1224" t="s">
        <v>4639</v>
      </c>
      <c r="D1224" t="s">
        <v>3394</v>
      </c>
      <c r="E1224" t="s">
        <v>3395</v>
      </c>
      <c r="F1224" t="s">
        <v>3396</v>
      </c>
      <c r="G1224" t="s">
        <v>187</v>
      </c>
      <c r="H1224" t="s">
        <v>4640</v>
      </c>
      <c r="I1224" t="s">
        <v>4641</v>
      </c>
      <c r="J1224" t="s">
        <v>1279</v>
      </c>
      <c r="K1224" t="s">
        <v>55</v>
      </c>
      <c r="L1224" t="s">
        <v>1280</v>
      </c>
      <c r="M1224" t="s">
        <v>57</v>
      </c>
      <c r="N1224" t="str">
        <f>"050542"</f>
        <v>050542</v>
      </c>
      <c r="O1224" t="s">
        <v>1276</v>
      </c>
      <c r="P1224" t="s">
        <v>68</v>
      </c>
      <c r="Q1224">
        <v>25.3</v>
      </c>
      <c r="R1224">
        <v>13.099999999999994</v>
      </c>
      <c r="S1224" t="s">
        <v>77</v>
      </c>
    </row>
    <row r="1225" spans="1:19" x14ac:dyDescent="0.35">
      <c r="A1225">
        <v>8003</v>
      </c>
      <c r="B1225" t="str">
        <f>"008003"</f>
        <v>008003</v>
      </c>
      <c r="C1225" t="s">
        <v>4642</v>
      </c>
      <c r="D1225" t="s">
        <v>3398</v>
      </c>
      <c r="E1225" t="s">
        <v>3395</v>
      </c>
      <c r="F1225" t="s">
        <v>3396</v>
      </c>
      <c r="G1225" t="s">
        <v>187</v>
      </c>
      <c r="H1225" t="s">
        <v>1277</v>
      </c>
      <c r="I1225" t="s">
        <v>1278</v>
      </c>
      <c r="J1225" t="s">
        <v>1279</v>
      </c>
      <c r="K1225" t="s">
        <v>55</v>
      </c>
      <c r="L1225" t="s">
        <v>1280</v>
      </c>
      <c r="M1225" t="s">
        <v>57</v>
      </c>
      <c r="N1225" t="str">
        <f>"050542"</f>
        <v>050542</v>
      </c>
      <c r="O1225" t="s">
        <v>1276</v>
      </c>
      <c r="P1225" t="s">
        <v>68</v>
      </c>
      <c r="Q1225">
        <v>16</v>
      </c>
      <c r="R1225">
        <v>8.4000000000000057</v>
      </c>
      <c r="S1225" t="s">
        <v>77</v>
      </c>
    </row>
    <row r="1226" spans="1:19" x14ac:dyDescent="0.35">
      <c r="A1226">
        <v>8029</v>
      </c>
      <c r="B1226" t="str">
        <f>"008029"</f>
        <v>008029</v>
      </c>
      <c r="C1226" t="s">
        <v>4643</v>
      </c>
      <c r="D1226" t="s">
        <v>3394</v>
      </c>
      <c r="E1226" t="s">
        <v>3395</v>
      </c>
      <c r="F1226" t="s">
        <v>3396</v>
      </c>
      <c r="G1226" t="s">
        <v>901</v>
      </c>
      <c r="H1226" t="s">
        <v>4644</v>
      </c>
      <c r="I1226" t="s">
        <v>4645</v>
      </c>
      <c r="J1226" t="s">
        <v>904</v>
      </c>
      <c r="K1226" t="s">
        <v>55</v>
      </c>
      <c r="L1226" t="s">
        <v>905</v>
      </c>
      <c r="M1226" t="s">
        <v>57</v>
      </c>
      <c r="N1226" t="str">
        <f>"044420"</f>
        <v>044420</v>
      </c>
      <c r="O1226" t="s">
        <v>2345</v>
      </c>
      <c r="P1226" t="s">
        <v>68</v>
      </c>
      <c r="Q1226">
        <v>97.8</v>
      </c>
      <c r="R1226">
        <v>9.7000000000000028</v>
      </c>
      <c r="S1226" t="s">
        <v>60</v>
      </c>
    </row>
    <row r="1227" spans="1:19" x14ac:dyDescent="0.35">
      <c r="A1227">
        <v>8037</v>
      </c>
      <c r="B1227" t="str">
        <f>"008037"</f>
        <v>008037</v>
      </c>
      <c r="C1227" t="s">
        <v>4646</v>
      </c>
      <c r="D1227" t="s">
        <v>3394</v>
      </c>
      <c r="E1227" t="s">
        <v>3395</v>
      </c>
      <c r="F1227" t="s">
        <v>3396</v>
      </c>
      <c r="G1227" t="s">
        <v>600</v>
      </c>
      <c r="H1227" t="s">
        <v>4647</v>
      </c>
      <c r="I1227" t="s">
        <v>4648</v>
      </c>
      <c r="J1227" t="s">
        <v>1348</v>
      </c>
      <c r="K1227" t="s">
        <v>55</v>
      </c>
      <c r="L1227" t="s">
        <v>3637</v>
      </c>
      <c r="M1227" t="s">
        <v>57</v>
      </c>
      <c r="N1227" t="str">
        <f>"043802"</f>
        <v>043802</v>
      </c>
      <c r="O1227" t="s">
        <v>3171</v>
      </c>
      <c r="P1227" t="s">
        <v>68</v>
      </c>
      <c r="Q1227">
        <v>100</v>
      </c>
      <c r="R1227">
        <v>66.2</v>
      </c>
      <c r="S1227" t="s">
        <v>60</v>
      </c>
    </row>
    <row r="1228" spans="1:19" x14ac:dyDescent="0.35">
      <c r="A1228">
        <v>8045</v>
      </c>
      <c r="B1228" t="str">
        <f>"008045"</f>
        <v>008045</v>
      </c>
      <c r="C1228" t="s">
        <v>4649</v>
      </c>
      <c r="D1228" t="s">
        <v>3394</v>
      </c>
      <c r="E1228" t="s">
        <v>3395</v>
      </c>
      <c r="F1228" t="s">
        <v>3396</v>
      </c>
      <c r="G1228" t="s">
        <v>257</v>
      </c>
      <c r="H1228" t="s">
        <v>2607</v>
      </c>
      <c r="I1228" t="s">
        <v>2608</v>
      </c>
      <c r="J1228" t="s">
        <v>2609</v>
      </c>
      <c r="K1228" t="s">
        <v>55</v>
      </c>
      <c r="L1228" t="s">
        <v>2610</v>
      </c>
      <c r="M1228" t="s">
        <v>57</v>
      </c>
      <c r="N1228" t="str">
        <f>"048934"</f>
        <v>048934</v>
      </c>
      <c r="O1228" t="s">
        <v>2606</v>
      </c>
      <c r="P1228" t="s">
        <v>68</v>
      </c>
      <c r="Q1228">
        <v>24.8</v>
      </c>
      <c r="R1228">
        <v>6.7999999999999972</v>
      </c>
      <c r="S1228" t="s">
        <v>156</v>
      </c>
    </row>
    <row r="1229" spans="1:19" x14ac:dyDescent="0.35">
      <c r="A1229">
        <v>8052</v>
      </c>
      <c r="B1229" t="str">
        <f>"008052"</f>
        <v>008052</v>
      </c>
      <c r="C1229" t="s">
        <v>4650</v>
      </c>
      <c r="D1229" t="s">
        <v>3398</v>
      </c>
      <c r="E1229" t="s">
        <v>3395</v>
      </c>
      <c r="F1229" t="s">
        <v>3396</v>
      </c>
      <c r="G1229" t="s">
        <v>257</v>
      </c>
      <c r="H1229" t="s">
        <v>2607</v>
      </c>
      <c r="I1229" t="s">
        <v>2608</v>
      </c>
      <c r="J1229" t="s">
        <v>2609</v>
      </c>
      <c r="K1229" t="s">
        <v>55</v>
      </c>
      <c r="L1229" t="s">
        <v>2610</v>
      </c>
      <c r="M1229" t="s">
        <v>57</v>
      </c>
      <c r="N1229" t="str">
        <f>"048934"</f>
        <v>048934</v>
      </c>
      <c r="O1229" t="s">
        <v>2606</v>
      </c>
      <c r="P1229" t="s">
        <v>68</v>
      </c>
      <c r="Q1229">
        <v>26.6</v>
      </c>
      <c r="R1229">
        <v>10.5</v>
      </c>
      <c r="S1229" t="s">
        <v>156</v>
      </c>
    </row>
    <row r="1230" spans="1:19" x14ac:dyDescent="0.35">
      <c r="A1230">
        <v>8060</v>
      </c>
      <c r="B1230" t="str">
        <f>"008060"</f>
        <v>008060</v>
      </c>
      <c r="C1230" t="s">
        <v>4651</v>
      </c>
      <c r="D1230" t="s">
        <v>3394</v>
      </c>
      <c r="E1230" t="s">
        <v>3395</v>
      </c>
      <c r="F1230" t="s">
        <v>3396</v>
      </c>
      <c r="G1230" t="s">
        <v>63</v>
      </c>
      <c r="H1230" t="s">
        <v>4652</v>
      </c>
      <c r="I1230" t="s">
        <v>4653</v>
      </c>
      <c r="J1230" t="s">
        <v>285</v>
      </c>
      <c r="K1230" t="s">
        <v>55</v>
      </c>
      <c r="L1230" t="s">
        <v>3915</v>
      </c>
      <c r="M1230" t="s">
        <v>57</v>
      </c>
      <c r="N1230" t="str">
        <f>"043786"</f>
        <v>043786</v>
      </c>
      <c r="O1230" t="s">
        <v>1340</v>
      </c>
      <c r="P1230" t="s">
        <v>68</v>
      </c>
      <c r="Q1230">
        <v>100</v>
      </c>
      <c r="R1230">
        <v>100</v>
      </c>
      <c r="S1230" t="s">
        <v>69</v>
      </c>
    </row>
    <row r="1231" spans="1:19" x14ac:dyDescent="0.35">
      <c r="A1231">
        <v>8078</v>
      </c>
      <c r="B1231" t="str">
        <f>"008078"</f>
        <v>008078</v>
      </c>
      <c r="C1231" t="s">
        <v>4654</v>
      </c>
      <c r="D1231" t="s">
        <v>3394</v>
      </c>
      <c r="E1231" t="s">
        <v>3395</v>
      </c>
      <c r="F1231" t="s">
        <v>3396</v>
      </c>
      <c r="G1231" t="s">
        <v>901</v>
      </c>
      <c r="H1231" t="s">
        <v>4655</v>
      </c>
      <c r="I1231" t="s">
        <v>4656</v>
      </c>
      <c r="J1231" t="s">
        <v>1131</v>
      </c>
      <c r="K1231" t="s">
        <v>55</v>
      </c>
      <c r="L1231" t="s">
        <v>1132</v>
      </c>
      <c r="M1231" t="s">
        <v>57</v>
      </c>
      <c r="N1231" t="str">
        <f>"047837"</f>
        <v>047837</v>
      </c>
      <c r="O1231" t="s">
        <v>1128</v>
      </c>
      <c r="P1231" t="s">
        <v>68</v>
      </c>
      <c r="Q1231">
        <v>40.200000000000003</v>
      </c>
      <c r="R1231">
        <v>7.2000000000000028</v>
      </c>
      <c r="S1231" t="s">
        <v>60</v>
      </c>
    </row>
    <row r="1232" spans="1:19" x14ac:dyDescent="0.35">
      <c r="A1232">
        <v>8086</v>
      </c>
      <c r="B1232" t="str">
        <f>"008086"</f>
        <v>008086</v>
      </c>
      <c r="C1232" t="s">
        <v>4657</v>
      </c>
      <c r="D1232" t="s">
        <v>3398</v>
      </c>
      <c r="E1232" t="s">
        <v>3395</v>
      </c>
      <c r="F1232" t="s">
        <v>3396</v>
      </c>
      <c r="G1232" t="s">
        <v>901</v>
      </c>
      <c r="H1232" t="s">
        <v>4658</v>
      </c>
      <c r="I1232" t="s">
        <v>4659</v>
      </c>
      <c r="J1232" t="s">
        <v>1131</v>
      </c>
      <c r="K1232" t="s">
        <v>55</v>
      </c>
      <c r="L1232" t="s">
        <v>1132</v>
      </c>
      <c r="M1232" t="s">
        <v>57</v>
      </c>
      <c r="N1232" t="str">
        <f>"047837"</f>
        <v>047837</v>
      </c>
      <c r="O1232" t="s">
        <v>1128</v>
      </c>
      <c r="P1232" t="s">
        <v>68</v>
      </c>
      <c r="Q1232">
        <v>38.6</v>
      </c>
      <c r="R1232">
        <v>8.0999999999999943</v>
      </c>
      <c r="S1232" t="s">
        <v>60</v>
      </c>
    </row>
    <row r="1233" spans="1:19" x14ac:dyDescent="0.35">
      <c r="A1233">
        <v>8102</v>
      </c>
      <c r="B1233" t="str">
        <f>"008102"</f>
        <v>008102</v>
      </c>
      <c r="C1233" t="s">
        <v>4660</v>
      </c>
      <c r="D1233" t="s">
        <v>3394</v>
      </c>
      <c r="E1233" t="s">
        <v>3395</v>
      </c>
      <c r="F1233" t="s">
        <v>3396</v>
      </c>
      <c r="G1233" t="s">
        <v>600</v>
      </c>
      <c r="H1233" t="s">
        <v>4661</v>
      </c>
      <c r="I1233" t="s">
        <v>4662</v>
      </c>
      <c r="J1233" t="s">
        <v>1136</v>
      </c>
      <c r="K1233" t="s">
        <v>55</v>
      </c>
      <c r="L1233" t="s">
        <v>1137</v>
      </c>
      <c r="M1233" t="s">
        <v>57</v>
      </c>
      <c r="N1233" t="str">
        <f>"044800"</f>
        <v>044800</v>
      </c>
      <c r="O1233" t="s">
        <v>1133</v>
      </c>
      <c r="P1233" t="s">
        <v>68</v>
      </c>
      <c r="Q1233">
        <v>47.3</v>
      </c>
      <c r="R1233">
        <v>24.700000000000003</v>
      </c>
      <c r="S1233" t="s">
        <v>60</v>
      </c>
    </row>
    <row r="1234" spans="1:19" x14ac:dyDescent="0.35">
      <c r="A1234">
        <v>8110</v>
      </c>
      <c r="B1234" t="str">
        <f>"008110"</f>
        <v>008110</v>
      </c>
      <c r="C1234" t="s">
        <v>4663</v>
      </c>
      <c r="D1234" t="s">
        <v>3398</v>
      </c>
      <c r="E1234" t="s">
        <v>3395</v>
      </c>
      <c r="F1234" t="s">
        <v>3396</v>
      </c>
      <c r="G1234" t="s">
        <v>212</v>
      </c>
      <c r="H1234" t="s">
        <v>4664</v>
      </c>
      <c r="I1234" t="s">
        <v>4665</v>
      </c>
      <c r="J1234" t="s">
        <v>215</v>
      </c>
      <c r="K1234" t="s">
        <v>55</v>
      </c>
      <c r="L1234" t="s">
        <v>4199</v>
      </c>
      <c r="M1234" t="s">
        <v>57</v>
      </c>
      <c r="N1234" t="str">
        <f>"043752"</f>
        <v>043752</v>
      </c>
      <c r="O1234" t="s">
        <v>440</v>
      </c>
      <c r="P1234" t="s">
        <v>68</v>
      </c>
      <c r="Q1234">
        <v>99.2</v>
      </c>
      <c r="R1234">
        <v>87.8</v>
      </c>
      <c r="S1234" t="s">
        <v>217</v>
      </c>
    </row>
    <row r="1235" spans="1:19" x14ac:dyDescent="0.35">
      <c r="A1235">
        <v>8136</v>
      </c>
      <c r="B1235" t="str">
        <f>"008136"</f>
        <v>008136</v>
      </c>
      <c r="C1235" t="s">
        <v>4666</v>
      </c>
      <c r="D1235" t="s">
        <v>3398</v>
      </c>
      <c r="E1235" t="s">
        <v>3395</v>
      </c>
      <c r="F1235" t="s">
        <v>3396</v>
      </c>
      <c r="G1235" t="s">
        <v>536</v>
      </c>
      <c r="H1235" t="s">
        <v>4667</v>
      </c>
      <c r="I1235" t="s">
        <v>4668</v>
      </c>
      <c r="J1235" t="s">
        <v>1075</v>
      </c>
      <c r="K1235" t="s">
        <v>55</v>
      </c>
      <c r="L1235" t="s">
        <v>1076</v>
      </c>
      <c r="M1235" t="s">
        <v>57</v>
      </c>
      <c r="N1235" t="str">
        <f>"045450"</f>
        <v>045450</v>
      </c>
      <c r="O1235" t="s">
        <v>3247</v>
      </c>
      <c r="P1235" t="s">
        <v>68</v>
      </c>
      <c r="Q1235">
        <v>57.4</v>
      </c>
      <c r="R1235">
        <v>4.7999999999999972</v>
      </c>
      <c r="S1235" t="s">
        <v>77</v>
      </c>
    </row>
    <row r="1236" spans="1:19" x14ac:dyDescent="0.35">
      <c r="A1236">
        <v>8151</v>
      </c>
      <c r="B1236" t="str">
        <f>"008151"</f>
        <v>008151</v>
      </c>
      <c r="C1236" t="s">
        <v>4669</v>
      </c>
      <c r="D1236" t="s">
        <v>3394</v>
      </c>
      <c r="E1236" t="s">
        <v>3395</v>
      </c>
      <c r="F1236" t="s">
        <v>3396</v>
      </c>
      <c r="G1236" t="s">
        <v>52</v>
      </c>
      <c r="H1236" t="s">
        <v>4670</v>
      </c>
      <c r="I1236" t="s">
        <v>4671</v>
      </c>
      <c r="J1236" t="s">
        <v>52</v>
      </c>
      <c r="K1236" t="s">
        <v>55</v>
      </c>
      <c r="L1236" t="s">
        <v>56</v>
      </c>
      <c r="M1236" t="s">
        <v>57</v>
      </c>
      <c r="N1236" t="str">
        <f>"043877"</f>
        <v>043877</v>
      </c>
      <c r="O1236" t="s">
        <v>48</v>
      </c>
      <c r="P1236" t="s">
        <v>68</v>
      </c>
      <c r="Q1236">
        <v>23.9</v>
      </c>
      <c r="R1236">
        <v>15.299999999999997</v>
      </c>
      <c r="S1236" t="s">
        <v>60</v>
      </c>
    </row>
    <row r="1237" spans="1:19" x14ac:dyDescent="0.35">
      <c r="A1237">
        <v>8185</v>
      </c>
      <c r="B1237" t="str">
        <f>"008185"</f>
        <v>008185</v>
      </c>
      <c r="C1237" t="s">
        <v>4672</v>
      </c>
      <c r="D1237" t="s">
        <v>3394</v>
      </c>
      <c r="E1237" t="s">
        <v>3395</v>
      </c>
      <c r="F1237" t="s">
        <v>3396</v>
      </c>
      <c r="G1237" t="s">
        <v>536</v>
      </c>
      <c r="H1237" t="s">
        <v>956</v>
      </c>
      <c r="I1237" t="s">
        <v>957</v>
      </c>
      <c r="J1237" t="s">
        <v>958</v>
      </c>
      <c r="K1237" t="s">
        <v>55</v>
      </c>
      <c r="L1237" t="s">
        <v>959</v>
      </c>
      <c r="M1237" t="s">
        <v>57</v>
      </c>
      <c r="N1237" t="str">
        <f>"045039"</f>
        <v>045039</v>
      </c>
      <c r="O1237" t="s">
        <v>955</v>
      </c>
      <c r="P1237" t="s">
        <v>68</v>
      </c>
      <c r="Q1237">
        <v>100</v>
      </c>
      <c r="R1237">
        <v>21.5</v>
      </c>
      <c r="S1237" t="s">
        <v>77</v>
      </c>
    </row>
    <row r="1238" spans="1:19" x14ac:dyDescent="0.35">
      <c r="A1238">
        <v>8201</v>
      </c>
      <c r="B1238" t="str">
        <f>"008201"</f>
        <v>008201</v>
      </c>
      <c r="C1238" t="s">
        <v>4673</v>
      </c>
      <c r="D1238" t="s">
        <v>3394</v>
      </c>
      <c r="E1238" t="s">
        <v>3395</v>
      </c>
      <c r="F1238" t="s">
        <v>3396</v>
      </c>
      <c r="G1238" t="s">
        <v>331</v>
      </c>
      <c r="H1238" t="s">
        <v>4674</v>
      </c>
      <c r="I1238" t="s">
        <v>4675</v>
      </c>
      <c r="J1238" t="s">
        <v>1733</v>
      </c>
      <c r="K1238" t="s">
        <v>55</v>
      </c>
      <c r="L1238" t="s">
        <v>1734</v>
      </c>
      <c r="M1238" t="s">
        <v>57</v>
      </c>
      <c r="N1238" t="str">
        <f>"044024"</f>
        <v>044024</v>
      </c>
      <c r="O1238" t="s">
        <v>2184</v>
      </c>
      <c r="P1238" t="s">
        <v>68</v>
      </c>
      <c r="Q1238">
        <v>70.7</v>
      </c>
      <c r="R1238">
        <v>11.799999999999997</v>
      </c>
      <c r="S1238" t="s">
        <v>156</v>
      </c>
    </row>
    <row r="1239" spans="1:19" x14ac:dyDescent="0.35">
      <c r="A1239">
        <v>8219</v>
      </c>
      <c r="B1239" t="str">
        <f>"008219"</f>
        <v>008219</v>
      </c>
      <c r="C1239" t="s">
        <v>4676</v>
      </c>
      <c r="D1239" t="s">
        <v>3398</v>
      </c>
      <c r="E1239" t="s">
        <v>3395</v>
      </c>
      <c r="F1239" t="s">
        <v>3396</v>
      </c>
      <c r="G1239" t="s">
        <v>1335</v>
      </c>
      <c r="H1239" t="s">
        <v>4677</v>
      </c>
      <c r="I1239" t="s">
        <v>4678</v>
      </c>
      <c r="J1239" t="s">
        <v>2785</v>
      </c>
      <c r="K1239" t="s">
        <v>55</v>
      </c>
      <c r="L1239" t="s">
        <v>1641</v>
      </c>
      <c r="M1239" t="s">
        <v>57</v>
      </c>
      <c r="N1239" t="str">
        <f>"047928"</f>
        <v>047928</v>
      </c>
      <c r="O1239" t="s">
        <v>2782</v>
      </c>
      <c r="P1239" t="s">
        <v>68</v>
      </c>
      <c r="Q1239">
        <v>100</v>
      </c>
      <c r="R1239">
        <v>3.4000000000000057</v>
      </c>
      <c r="S1239" t="s">
        <v>130</v>
      </c>
    </row>
    <row r="1240" spans="1:19" x14ac:dyDescent="0.35">
      <c r="A1240">
        <v>8227</v>
      </c>
      <c r="B1240" t="str">
        <f>"008227"</f>
        <v>008227</v>
      </c>
      <c r="C1240" t="s">
        <v>4679</v>
      </c>
      <c r="D1240" t="s">
        <v>3400</v>
      </c>
      <c r="E1240" t="s">
        <v>3395</v>
      </c>
      <c r="F1240" t="s">
        <v>3396</v>
      </c>
      <c r="G1240" t="s">
        <v>1335</v>
      </c>
      <c r="H1240" t="s">
        <v>4677</v>
      </c>
      <c r="I1240" t="s">
        <v>4678</v>
      </c>
      <c r="J1240" t="s">
        <v>2785</v>
      </c>
      <c r="K1240" t="s">
        <v>55</v>
      </c>
      <c r="L1240" t="s">
        <v>1641</v>
      </c>
      <c r="M1240" t="s">
        <v>57</v>
      </c>
      <c r="N1240" t="str">
        <f>"047928"</f>
        <v>047928</v>
      </c>
      <c r="O1240" t="s">
        <v>2782</v>
      </c>
      <c r="P1240" t="s">
        <v>68</v>
      </c>
      <c r="Q1240">
        <v>99.6</v>
      </c>
      <c r="R1240">
        <v>1.2000000000000028</v>
      </c>
      <c r="S1240" t="s">
        <v>130</v>
      </c>
    </row>
    <row r="1241" spans="1:19" x14ac:dyDescent="0.35">
      <c r="A1241">
        <v>8250</v>
      </c>
      <c r="B1241" t="str">
        <f>"008250"</f>
        <v>008250</v>
      </c>
      <c r="C1241" t="s">
        <v>4680</v>
      </c>
      <c r="D1241" t="s">
        <v>3398</v>
      </c>
      <c r="E1241" t="s">
        <v>3395</v>
      </c>
      <c r="F1241" t="s">
        <v>3396</v>
      </c>
      <c r="G1241" t="s">
        <v>212</v>
      </c>
      <c r="H1241" t="s">
        <v>4681</v>
      </c>
      <c r="I1241" t="s">
        <v>4682</v>
      </c>
      <c r="J1241" t="s">
        <v>215</v>
      </c>
      <c r="K1241" t="s">
        <v>55</v>
      </c>
      <c r="L1241" t="s">
        <v>1405</v>
      </c>
      <c r="M1241" t="s">
        <v>57</v>
      </c>
      <c r="N1241" t="str">
        <f>"043851"</f>
        <v>043851</v>
      </c>
      <c r="O1241" t="s">
        <v>1402</v>
      </c>
      <c r="P1241" t="s">
        <v>68</v>
      </c>
      <c r="Q1241">
        <v>41.1</v>
      </c>
      <c r="R1241">
        <v>29.400000000000006</v>
      </c>
      <c r="S1241" t="s">
        <v>217</v>
      </c>
    </row>
    <row r="1242" spans="1:19" x14ac:dyDescent="0.35">
      <c r="A1242">
        <v>8284</v>
      </c>
      <c r="B1242" t="str">
        <f>"008284"</f>
        <v>008284</v>
      </c>
      <c r="C1242" t="s">
        <v>4683</v>
      </c>
      <c r="D1242" t="s">
        <v>3394</v>
      </c>
      <c r="E1242" t="s">
        <v>3395</v>
      </c>
      <c r="F1242" t="s">
        <v>3396</v>
      </c>
      <c r="G1242" t="s">
        <v>1335</v>
      </c>
      <c r="H1242" t="s">
        <v>4684</v>
      </c>
      <c r="I1242" t="s">
        <v>4685</v>
      </c>
      <c r="J1242" t="s">
        <v>1640</v>
      </c>
      <c r="K1242" t="s">
        <v>55</v>
      </c>
      <c r="L1242" t="s">
        <v>1641</v>
      </c>
      <c r="M1242" t="s">
        <v>57</v>
      </c>
      <c r="N1242" t="str">
        <f>"047928"</f>
        <v>047928</v>
      </c>
      <c r="O1242" t="s">
        <v>2782</v>
      </c>
      <c r="P1242" t="s">
        <v>68</v>
      </c>
      <c r="Q1242">
        <v>100</v>
      </c>
      <c r="R1242">
        <v>1</v>
      </c>
      <c r="S1242" t="s">
        <v>130</v>
      </c>
    </row>
    <row r="1243" spans="1:19" x14ac:dyDescent="0.35">
      <c r="A1243">
        <v>8292</v>
      </c>
      <c r="B1243" t="str">
        <f>"008292"</f>
        <v>008292</v>
      </c>
      <c r="C1243" t="s">
        <v>4686</v>
      </c>
      <c r="D1243" t="s">
        <v>3400</v>
      </c>
      <c r="E1243" t="s">
        <v>3395</v>
      </c>
      <c r="F1243" t="s">
        <v>3396</v>
      </c>
      <c r="G1243" t="s">
        <v>2304</v>
      </c>
      <c r="H1243" t="s">
        <v>4687</v>
      </c>
      <c r="I1243" t="s">
        <v>4688</v>
      </c>
      <c r="J1243" t="s">
        <v>2304</v>
      </c>
      <c r="K1243" t="s">
        <v>55</v>
      </c>
      <c r="L1243" t="s">
        <v>2369</v>
      </c>
      <c r="M1243" t="s">
        <v>57</v>
      </c>
      <c r="N1243" t="str">
        <f>"043869"</f>
        <v>043869</v>
      </c>
      <c r="O1243" t="s">
        <v>2734</v>
      </c>
      <c r="P1243" t="s">
        <v>68</v>
      </c>
      <c r="Q1243">
        <v>52.2</v>
      </c>
      <c r="R1243">
        <v>36.200000000000003</v>
      </c>
      <c r="S1243" t="s">
        <v>156</v>
      </c>
    </row>
    <row r="1244" spans="1:19" x14ac:dyDescent="0.35">
      <c r="A1244">
        <v>8300</v>
      </c>
      <c r="B1244" t="str">
        <f>"008300"</f>
        <v>008300</v>
      </c>
      <c r="C1244" t="s">
        <v>4689</v>
      </c>
      <c r="D1244" t="s">
        <v>3398</v>
      </c>
      <c r="E1244" t="s">
        <v>3395</v>
      </c>
      <c r="F1244" t="s">
        <v>3396</v>
      </c>
      <c r="G1244" t="s">
        <v>2304</v>
      </c>
      <c r="H1244" t="s">
        <v>4687</v>
      </c>
      <c r="I1244" t="s">
        <v>4688</v>
      </c>
      <c r="J1244" t="s">
        <v>2304</v>
      </c>
      <c r="K1244" t="s">
        <v>55</v>
      </c>
      <c r="L1244" t="s">
        <v>2369</v>
      </c>
      <c r="M1244" t="s">
        <v>57</v>
      </c>
      <c r="N1244" t="str">
        <f>"043869"</f>
        <v>043869</v>
      </c>
      <c r="O1244" t="s">
        <v>2734</v>
      </c>
      <c r="P1244" t="s">
        <v>68</v>
      </c>
      <c r="Q1244">
        <v>41.1</v>
      </c>
      <c r="R1244">
        <v>36.1</v>
      </c>
      <c r="S1244" t="s">
        <v>156</v>
      </c>
    </row>
    <row r="1245" spans="1:19" x14ac:dyDescent="0.35">
      <c r="A1245">
        <v>8318</v>
      </c>
      <c r="B1245" t="str">
        <f>"008318"</f>
        <v>008318</v>
      </c>
      <c r="C1245" t="s">
        <v>4690</v>
      </c>
      <c r="D1245" t="s">
        <v>3400</v>
      </c>
      <c r="E1245" t="s">
        <v>3395</v>
      </c>
      <c r="F1245" t="s">
        <v>3396</v>
      </c>
      <c r="G1245" t="s">
        <v>212</v>
      </c>
      <c r="H1245" t="s">
        <v>4691</v>
      </c>
      <c r="I1245" t="s">
        <v>4692</v>
      </c>
      <c r="J1245" t="s">
        <v>215</v>
      </c>
      <c r="K1245" t="s">
        <v>55</v>
      </c>
      <c r="L1245" t="s">
        <v>4199</v>
      </c>
      <c r="M1245" t="s">
        <v>57</v>
      </c>
      <c r="N1245" t="str">
        <f>"047373"</f>
        <v>047373</v>
      </c>
      <c r="O1245" t="s">
        <v>1509</v>
      </c>
      <c r="P1245" t="s">
        <v>68</v>
      </c>
      <c r="Q1245">
        <v>48.6</v>
      </c>
      <c r="R1245">
        <v>27.200000000000003</v>
      </c>
      <c r="S1245" t="s">
        <v>217</v>
      </c>
    </row>
    <row r="1246" spans="1:19" x14ac:dyDescent="0.35">
      <c r="A1246">
        <v>8326</v>
      </c>
      <c r="B1246" t="str">
        <f>"008326"</f>
        <v>008326</v>
      </c>
      <c r="C1246" t="s">
        <v>4693</v>
      </c>
      <c r="D1246" t="s">
        <v>3394</v>
      </c>
      <c r="E1246" t="s">
        <v>3395</v>
      </c>
      <c r="F1246" t="s">
        <v>3396</v>
      </c>
      <c r="G1246" t="s">
        <v>104</v>
      </c>
      <c r="H1246" t="s">
        <v>4694</v>
      </c>
      <c r="I1246" t="s">
        <v>4695</v>
      </c>
      <c r="J1246" t="s">
        <v>107</v>
      </c>
      <c r="K1246" t="s">
        <v>55</v>
      </c>
      <c r="L1246" t="s">
        <v>108</v>
      </c>
      <c r="M1246" t="s">
        <v>57</v>
      </c>
      <c r="N1246" t="str">
        <f>"045278"</f>
        <v>045278</v>
      </c>
      <c r="O1246" t="s">
        <v>103</v>
      </c>
      <c r="P1246" t="s">
        <v>68</v>
      </c>
      <c r="Q1246">
        <v>54.9</v>
      </c>
      <c r="R1246">
        <v>6.0999999999999943</v>
      </c>
      <c r="S1246" t="s">
        <v>77</v>
      </c>
    </row>
    <row r="1247" spans="1:19" x14ac:dyDescent="0.35">
      <c r="A1247">
        <v>8334</v>
      </c>
      <c r="B1247" t="str">
        <f>"008334"</f>
        <v>008334</v>
      </c>
      <c r="C1247" t="s">
        <v>4696</v>
      </c>
      <c r="D1247" t="s">
        <v>3394</v>
      </c>
      <c r="E1247" t="s">
        <v>3395</v>
      </c>
      <c r="F1247" t="s">
        <v>3396</v>
      </c>
      <c r="G1247" t="s">
        <v>344</v>
      </c>
      <c r="H1247" t="s">
        <v>4697</v>
      </c>
      <c r="I1247" t="s">
        <v>4698</v>
      </c>
      <c r="J1247" t="s">
        <v>2656</v>
      </c>
      <c r="K1247" t="s">
        <v>55</v>
      </c>
      <c r="L1247" t="s">
        <v>2657</v>
      </c>
      <c r="M1247" t="s">
        <v>57</v>
      </c>
      <c r="N1247" t="str">
        <f>"047084"</f>
        <v>047084</v>
      </c>
      <c r="O1247" t="s">
        <v>2653</v>
      </c>
      <c r="P1247" t="s">
        <v>68</v>
      </c>
      <c r="Q1247">
        <v>31.2</v>
      </c>
      <c r="R1247">
        <v>14.400000000000006</v>
      </c>
      <c r="S1247" t="s">
        <v>156</v>
      </c>
    </row>
    <row r="1248" spans="1:19" x14ac:dyDescent="0.35">
      <c r="A1248">
        <v>8342</v>
      </c>
      <c r="B1248" t="str">
        <f>"008342"</f>
        <v>008342</v>
      </c>
      <c r="C1248" t="s">
        <v>4699</v>
      </c>
      <c r="D1248" t="s">
        <v>3398</v>
      </c>
      <c r="E1248" t="s">
        <v>3395</v>
      </c>
      <c r="F1248" t="s">
        <v>3396</v>
      </c>
      <c r="G1248" t="s">
        <v>344</v>
      </c>
      <c r="H1248" t="s">
        <v>4700</v>
      </c>
      <c r="I1248" t="s">
        <v>4701</v>
      </c>
      <c r="J1248" t="s">
        <v>2656</v>
      </c>
      <c r="K1248" t="s">
        <v>55</v>
      </c>
      <c r="L1248" t="s">
        <v>2657</v>
      </c>
      <c r="M1248" t="s">
        <v>57</v>
      </c>
      <c r="N1248" t="str">
        <f>"047084"</f>
        <v>047084</v>
      </c>
      <c r="O1248" t="s">
        <v>2653</v>
      </c>
      <c r="P1248" t="s">
        <v>68</v>
      </c>
      <c r="Q1248">
        <v>22.1</v>
      </c>
      <c r="R1248">
        <v>9.2999999999999972</v>
      </c>
      <c r="S1248" t="s">
        <v>156</v>
      </c>
    </row>
    <row r="1249" spans="1:19" x14ac:dyDescent="0.35">
      <c r="A1249">
        <v>8359</v>
      </c>
      <c r="B1249" t="str">
        <f>"008359"</f>
        <v>008359</v>
      </c>
      <c r="C1249" t="s">
        <v>4702</v>
      </c>
      <c r="D1249" t="s">
        <v>3400</v>
      </c>
      <c r="E1249" t="s">
        <v>3395</v>
      </c>
      <c r="F1249" t="s">
        <v>3396</v>
      </c>
      <c r="G1249" t="s">
        <v>344</v>
      </c>
      <c r="H1249" t="s">
        <v>4703</v>
      </c>
      <c r="I1249" t="s">
        <v>4704</v>
      </c>
      <c r="J1249" t="s">
        <v>2656</v>
      </c>
      <c r="K1249" t="s">
        <v>55</v>
      </c>
      <c r="L1249" t="s">
        <v>2657</v>
      </c>
      <c r="M1249" t="s">
        <v>57</v>
      </c>
      <c r="N1249" t="str">
        <f>"047084"</f>
        <v>047084</v>
      </c>
      <c r="O1249" t="s">
        <v>2653</v>
      </c>
      <c r="P1249" t="s">
        <v>68</v>
      </c>
      <c r="Q1249">
        <v>32.700000000000003</v>
      </c>
      <c r="R1249">
        <v>10.400000000000006</v>
      </c>
      <c r="S1249" t="s">
        <v>156</v>
      </c>
    </row>
    <row r="1250" spans="1:19" x14ac:dyDescent="0.35">
      <c r="A1250">
        <v>8375</v>
      </c>
      <c r="B1250" t="str">
        <f>"008375"</f>
        <v>008375</v>
      </c>
      <c r="C1250" t="s">
        <v>4705</v>
      </c>
      <c r="D1250" t="s">
        <v>3394</v>
      </c>
      <c r="E1250" t="s">
        <v>3395</v>
      </c>
      <c r="F1250" t="s">
        <v>3396</v>
      </c>
      <c r="G1250" t="s">
        <v>543</v>
      </c>
      <c r="H1250" t="s">
        <v>4706</v>
      </c>
      <c r="I1250" t="s">
        <v>4707</v>
      </c>
      <c r="J1250" t="s">
        <v>3061</v>
      </c>
      <c r="K1250" t="s">
        <v>55</v>
      </c>
      <c r="L1250" t="s">
        <v>3062</v>
      </c>
      <c r="M1250" t="s">
        <v>57</v>
      </c>
      <c r="N1250" t="str">
        <f>"044958"</f>
        <v>044958</v>
      </c>
      <c r="O1250" t="s">
        <v>3058</v>
      </c>
      <c r="P1250" t="s">
        <v>68</v>
      </c>
      <c r="Q1250">
        <v>35.6</v>
      </c>
      <c r="R1250">
        <v>24.900000000000006</v>
      </c>
      <c r="S1250" t="s">
        <v>180</v>
      </c>
    </row>
    <row r="1251" spans="1:19" x14ac:dyDescent="0.35">
      <c r="A1251">
        <v>8383</v>
      </c>
      <c r="B1251" t="str">
        <f>"008383"</f>
        <v>008383</v>
      </c>
      <c r="C1251" t="s">
        <v>4708</v>
      </c>
      <c r="D1251" t="s">
        <v>3394</v>
      </c>
      <c r="E1251" t="s">
        <v>3395</v>
      </c>
      <c r="F1251" t="s">
        <v>3396</v>
      </c>
      <c r="G1251" t="s">
        <v>63</v>
      </c>
      <c r="H1251" t="s">
        <v>4709</v>
      </c>
      <c r="I1251" t="s">
        <v>4710</v>
      </c>
      <c r="J1251" t="s">
        <v>285</v>
      </c>
      <c r="K1251" t="s">
        <v>55</v>
      </c>
      <c r="L1251" t="s">
        <v>3798</v>
      </c>
      <c r="M1251" t="s">
        <v>57</v>
      </c>
      <c r="N1251" t="str">
        <f>"043786"</f>
        <v>043786</v>
      </c>
      <c r="O1251" t="s">
        <v>1340</v>
      </c>
      <c r="P1251" t="s">
        <v>68</v>
      </c>
      <c r="Q1251">
        <v>100</v>
      </c>
      <c r="R1251">
        <v>72.900000000000006</v>
      </c>
      <c r="S1251" t="s">
        <v>69</v>
      </c>
    </row>
    <row r="1252" spans="1:19" x14ac:dyDescent="0.35">
      <c r="A1252">
        <v>8391</v>
      </c>
      <c r="B1252" t="str">
        <f>"008391"</f>
        <v>008391</v>
      </c>
      <c r="C1252" t="s">
        <v>4711</v>
      </c>
      <c r="D1252" t="s">
        <v>3394</v>
      </c>
      <c r="E1252" t="s">
        <v>3395</v>
      </c>
      <c r="F1252" t="s">
        <v>3396</v>
      </c>
      <c r="G1252" t="s">
        <v>63</v>
      </c>
      <c r="H1252" t="s">
        <v>4712</v>
      </c>
      <c r="I1252" t="s">
        <v>4713</v>
      </c>
      <c r="J1252" t="s">
        <v>66</v>
      </c>
      <c r="K1252" t="s">
        <v>55</v>
      </c>
      <c r="L1252" t="s">
        <v>67</v>
      </c>
      <c r="M1252" t="s">
        <v>57</v>
      </c>
      <c r="N1252" t="str">
        <f>"044636"</f>
        <v>044636</v>
      </c>
      <c r="O1252" t="s">
        <v>1331</v>
      </c>
      <c r="P1252" t="s">
        <v>68</v>
      </c>
      <c r="Q1252">
        <v>48.9</v>
      </c>
      <c r="R1252">
        <v>34.200000000000003</v>
      </c>
      <c r="S1252" t="s">
        <v>69</v>
      </c>
    </row>
    <row r="1253" spans="1:19" x14ac:dyDescent="0.35">
      <c r="A1253">
        <v>8409</v>
      </c>
      <c r="B1253" t="str">
        <f>"008409"</f>
        <v>008409</v>
      </c>
      <c r="C1253" t="s">
        <v>4714</v>
      </c>
      <c r="D1253" t="s">
        <v>3394</v>
      </c>
      <c r="E1253" t="s">
        <v>3395</v>
      </c>
      <c r="F1253" t="s">
        <v>3396</v>
      </c>
      <c r="G1253" t="s">
        <v>250</v>
      </c>
      <c r="H1253" t="s">
        <v>4715</v>
      </c>
      <c r="I1253" t="s">
        <v>4716</v>
      </c>
      <c r="J1253" t="s">
        <v>2203</v>
      </c>
      <c r="K1253" t="s">
        <v>55</v>
      </c>
      <c r="L1253" t="s">
        <v>2204</v>
      </c>
      <c r="M1253" t="s">
        <v>57</v>
      </c>
      <c r="N1253" t="str">
        <f>"045112"</f>
        <v>045112</v>
      </c>
      <c r="O1253" t="s">
        <v>2200</v>
      </c>
      <c r="P1253" t="s">
        <v>68</v>
      </c>
      <c r="Q1253">
        <v>52.7</v>
      </c>
      <c r="R1253">
        <v>18.599999999999994</v>
      </c>
      <c r="S1253" t="s">
        <v>60</v>
      </c>
    </row>
    <row r="1254" spans="1:19" x14ac:dyDescent="0.35">
      <c r="A1254">
        <v>8433</v>
      </c>
      <c r="B1254" t="str">
        <f>"008433"</f>
        <v>008433</v>
      </c>
      <c r="C1254" t="s">
        <v>4717</v>
      </c>
      <c r="D1254" t="s">
        <v>3398</v>
      </c>
      <c r="E1254" t="s">
        <v>3395</v>
      </c>
      <c r="F1254" t="s">
        <v>3396</v>
      </c>
      <c r="G1254" t="s">
        <v>271</v>
      </c>
      <c r="H1254" t="s">
        <v>1713</v>
      </c>
      <c r="I1254" t="s">
        <v>1714</v>
      </c>
      <c r="J1254" t="s">
        <v>1715</v>
      </c>
      <c r="K1254" t="s">
        <v>55</v>
      </c>
      <c r="L1254" t="s">
        <v>1716</v>
      </c>
      <c r="M1254" t="s">
        <v>57</v>
      </c>
      <c r="N1254" t="str">
        <f>"047597"</f>
        <v>047597</v>
      </c>
      <c r="O1254" t="s">
        <v>1712</v>
      </c>
      <c r="P1254" t="s">
        <v>68</v>
      </c>
      <c r="Q1254">
        <v>21.2</v>
      </c>
      <c r="R1254">
        <v>16.799999999999997</v>
      </c>
      <c r="S1254" t="s">
        <v>156</v>
      </c>
    </row>
    <row r="1255" spans="1:19" x14ac:dyDescent="0.35">
      <c r="A1255">
        <v>8441</v>
      </c>
      <c r="B1255" t="str">
        <f>"008441"</f>
        <v>008441</v>
      </c>
      <c r="C1255" t="s">
        <v>4718</v>
      </c>
      <c r="D1255" t="s">
        <v>3394</v>
      </c>
      <c r="E1255" t="s">
        <v>3395</v>
      </c>
      <c r="F1255" t="s">
        <v>3396</v>
      </c>
      <c r="G1255" t="s">
        <v>200</v>
      </c>
      <c r="H1255" t="s">
        <v>4719</v>
      </c>
      <c r="I1255" t="s">
        <v>4720</v>
      </c>
      <c r="J1255" t="s">
        <v>304</v>
      </c>
      <c r="K1255" t="s">
        <v>55</v>
      </c>
      <c r="L1255" t="s">
        <v>4721</v>
      </c>
      <c r="M1255" t="s">
        <v>57</v>
      </c>
      <c r="N1255" t="str">
        <f>"044909"</f>
        <v>044909</v>
      </c>
      <c r="O1255" t="s">
        <v>3318</v>
      </c>
      <c r="P1255" t="s">
        <v>68</v>
      </c>
      <c r="Q1255">
        <v>99.8</v>
      </c>
      <c r="R1255">
        <v>74.900000000000006</v>
      </c>
      <c r="S1255" t="s">
        <v>156</v>
      </c>
    </row>
    <row r="1256" spans="1:19" x14ac:dyDescent="0.35">
      <c r="A1256">
        <v>8474</v>
      </c>
      <c r="B1256" t="str">
        <f>"008474"</f>
        <v>008474</v>
      </c>
      <c r="C1256" t="s">
        <v>4722</v>
      </c>
      <c r="D1256" t="s">
        <v>3394</v>
      </c>
      <c r="E1256" t="s">
        <v>3395</v>
      </c>
      <c r="F1256" t="s">
        <v>3396</v>
      </c>
      <c r="G1256" t="s">
        <v>600</v>
      </c>
      <c r="H1256" t="s">
        <v>4723</v>
      </c>
      <c r="I1256" t="s">
        <v>4724</v>
      </c>
      <c r="J1256" t="s">
        <v>1348</v>
      </c>
      <c r="K1256" t="s">
        <v>55</v>
      </c>
      <c r="L1256" t="s">
        <v>3462</v>
      </c>
      <c r="M1256" t="s">
        <v>57</v>
      </c>
      <c r="N1256" t="str">
        <f>"043802"</f>
        <v>043802</v>
      </c>
      <c r="O1256" t="s">
        <v>3171</v>
      </c>
      <c r="P1256" t="s">
        <v>68</v>
      </c>
      <c r="Q1256">
        <v>100</v>
      </c>
      <c r="R1256">
        <v>87.8</v>
      </c>
      <c r="S1256" t="s">
        <v>60</v>
      </c>
    </row>
    <row r="1257" spans="1:19" x14ac:dyDescent="0.35">
      <c r="A1257">
        <v>8490</v>
      </c>
      <c r="B1257" t="str">
        <f>"008490"</f>
        <v>008490</v>
      </c>
      <c r="C1257" t="s">
        <v>4725</v>
      </c>
      <c r="D1257" t="s">
        <v>3394</v>
      </c>
      <c r="E1257" t="s">
        <v>3395</v>
      </c>
      <c r="F1257" t="s">
        <v>3396</v>
      </c>
      <c r="G1257" t="s">
        <v>63</v>
      </c>
      <c r="H1257" t="s">
        <v>4726</v>
      </c>
      <c r="I1257" t="s">
        <v>4727</v>
      </c>
      <c r="J1257" t="s">
        <v>285</v>
      </c>
      <c r="K1257" t="s">
        <v>55</v>
      </c>
      <c r="L1257" t="s">
        <v>3525</v>
      </c>
      <c r="M1257" t="s">
        <v>57</v>
      </c>
      <c r="N1257" t="str">
        <f>"043786"</f>
        <v>043786</v>
      </c>
      <c r="O1257" t="s">
        <v>1340</v>
      </c>
      <c r="P1257" t="s">
        <v>68</v>
      </c>
      <c r="Q1257">
        <v>100</v>
      </c>
      <c r="R1257">
        <v>100</v>
      </c>
      <c r="S1257" t="s">
        <v>69</v>
      </c>
    </row>
    <row r="1258" spans="1:19" x14ac:dyDescent="0.35">
      <c r="A1258">
        <v>8508</v>
      </c>
      <c r="B1258" t="str">
        <f>"008508"</f>
        <v>008508</v>
      </c>
      <c r="C1258" t="s">
        <v>4728</v>
      </c>
      <c r="D1258" t="s">
        <v>3394</v>
      </c>
      <c r="E1258" t="s">
        <v>3395</v>
      </c>
      <c r="F1258" t="s">
        <v>3396</v>
      </c>
      <c r="G1258" t="s">
        <v>674</v>
      </c>
      <c r="H1258" t="s">
        <v>4729</v>
      </c>
      <c r="I1258" t="s">
        <v>4730</v>
      </c>
      <c r="J1258" t="s">
        <v>927</v>
      </c>
      <c r="K1258" t="s">
        <v>55</v>
      </c>
      <c r="L1258" t="s">
        <v>928</v>
      </c>
      <c r="M1258" t="s">
        <v>57</v>
      </c>
      <c r="N1258" t="str">
        <f>"048884"</f>
        <v>048884</v>
      </c>
      <c r="O1258" t="s">
        <v>1698</v>
      </c>
      <c r="P1258" t="s">
        <v>68</v>
      </c>
      <c r="Q1258">
        <v>49.6</v>
      </c>
      <c r="R1258">
        <v>12.400000000000006</v>
      </c>
      <c r="S1258" t="s">
        <v>130</v>
      </c>
    </row>
    <row r="1259" spans="1:19" x14ac:dyDescent="0.35">
      <c r="A1259">
        <v>8532</v>
      </c>
      <c r="B1259" t="str">
        <f>"008532"</f>
        <v>008532</v>
      </c>
      <c r="C1259" t="s">
        <v>4731</v>
      </c>
      <c r="D1259" t="s">
        <v>3398</v>
      </c>
      <c r="E1259" t="s">
        <v>3395</v>
      </c>
      <c r="F1259" t="s">
        <v>3396</v>
      </c>
      <c r="G1259" t="s">
        <v>543</v>
      </c>
      <c r="H1259" t="s">
        <v>4732</v>
      </c>
      <c r="I1259" t="s">
        <v>4733</v>
      </c>
      <c r="J1259" t="s">
        <v>2546</v>
      </c>
      <c r="K1259" t="s">
        <v>55</v>
      </c>
      <c r="L1259" t="s">
        <v>2547</v>
      </c>
      <c r="M1259" t="s">
        <v>57</v>
      </c>
      <c r="N1259" t="str">
        <f>"048710"</f>
        <v>048710</v>
      </c>
      <c r="O1259" t="s">
        <v>2543</v>
      </c>
      <c r="P1259" t="s">
        <v>68</v>
      </c>
      <c r="Q1259">
        <v>42.2</v>
      </c>
      <c r="R1259">
        <v>6.5999999999999943</v>
      </c>
      <c r="S1259" t="s">
        <v>180</v>
      </c>
    </row>
    <row r="1260" spans="1:19" x14ac:dyDescent="0.35">
      <c r="A1260">
        <v>8540</v>
      </c>
      <c r="B1260" t="str">
        <f>"008540"</f>
        <v>008540</v>
      </c>
      <c r="C1260" t="s">
        <v>4734</v>
      </c>
      <c r="D1260" t="s">
        <v>3394</v>
      </c>
      <c r="E1260" t="s">
        <v>3395</v>
      </c>
      <c r="F1260" t="s">
        <v>3396</v>
      </c>
      <c r="G1260" t="s">
        <v>536</v>
      </c>
      <c r="H1260" t="s">
        <v>4735</v>
      </c>
      <c r="I1260" t="s">
        <v>4736</v>
      </c>
      <c r="J1260" t="s">
        <v>536</v>
      </c>
      <c r="K1260" t="s">
        <v>55</v>
      </c>
      <c r="L1260" t="s">
        <v>2227</v>
      </c>
      <c r="M1260" t="s">
        <v>57</v>
      </c>
      <c r="N1260" t="str">
        <f>"045328"</f>
        <v>045328</v>
      </c>
      <c r="O1260" t="s">
        <v>3311</v>
      </c>
      <c r="P1260" t="s">
        <v>68</v>
      </c>
      <c r="Q1260">
        <v>24.8</v>
      </c>
      <c r="R1260">
        <v>8.4000000000000057</v>
      </c>
      <c r="S1260" t="s">
        <v>77</v>
      </c>
    </row>
    <row r="1261" spans="1:19" x14ac:dyDescent="0.35">
      <c r="A1261">
        <v>8557</v>
      </c>
      <c r="B1261" t="str">
        <f>"008557"</f>
        <v>008557</v>
      </c>
      <c r="C1261" t="s">
        <v>4737</v>
      </c>
      <c r="D1261" t="s">
        <v>3400</v>
      </c>
      <c r="E1261" t="s">
        <v>3395</v>
      </c>
      <c r="F1261" t="s">
        <v>3396</v>
      </c>
      <c r="G1261" t="s">
        <v>362</v>
      </c>
      <c r="H1261" t="s">
        <v>4738</v>
      </c>
      <c r="I1261" t="s">
        <v>4739</v>
      </c>
      <c r="J1261" t="s">
        <v>756</v>
      </c>
      <c r="K1261" t="s">
        <v>55</v>
      </c>
      <c r="L1261" t="s">
        <v>757</v>
      </c>
      <c r="M1261" t="s">
        <v>57</v>
      </c>
      <c r="N1261" t="str">
        <f>"043935"</f>
        <v>043935</v>
      </c>
      <c r="O1261" t="s">
        <v>753</v>
      </c>
      <c r="P1261" t="s">
        <v>68</v>
      </c>
      <c r="Q1261">
        <v>43.3</v>
      </c>
      <c r="R1261">
        <v>7.9000000000000057</v>
      </c>
      <c r="S1261" t="s">
        <v>180</v>
      </c>
    </row>
    <row r="1262" spans="1:19" x14ac:dyDescent="0.35">
      <c r="A1262">
        <v>8581</v>
      </c>
      <c r="B1262" t="str">
        <f>"008581"</f>
        <v>008581</v>
      </c>
      <c r="C1262" t="s">
        <v>4740</v>
      </c>
      <c r="D1262" t="s">
        <v>3400</v>
      </c>
      <c r="E1262" t="s">
        <v>3395</v>
      </c>
      <c r="F1262" t="s">
        <v>3396</v>
      </c>
      <c r="G1262" t="s">
        <v>600</v>
      </c>
      <c r="H1262" t="s">
        <v>4741</v>
      </c>
      <c r="I1262" t="s">
        <v>4742</v>
      </c>
      <c r="J1262" t="s">
        <v>1348</v>
      </c>
      <c r="K1262" t="s">
        <v>55</v>
      </c>
      <c r="L1262" t="s">
        <v>4444</v>
      </c>
      <c r="M1262" t="s">
        <v>57</v>
      </c>
      <c r="N1262" t="str">
        <f>"043802"</f>
        <v>043802</v>
      </c>
      <c r="O1262" t="s">
        <v>3171</v>
      </c>
      <c r="P1262" t="s">
        <v>68</v>
      </c>
      <c r="Q1262">
        <v>100</v>
      </c>
      <c r="R1262">
        <v>53.4</v>
      </c>
      <c r="S1262" t="s">
        <v>60</v>
      </c>
    </row>
    <row r="1263" spans="1:19" x14ac:dyDescent="0.35">
      <c r="A1263">
        <v>8607</v>
      </c>
      <c r="B1263" t="str">
        <f>"008607"</f>
        <v>008607</v>
      </c>
      <c r="C1263" t="s">
        <v>4743</v>
      </c>
      <c r="D1263" t="s">
        <v>3400</v>
      </c>
      <c r="E1263" t="s">
        <v>3395</v>
      </c>
      <c r="F1263" t="s">
        <v>3396</v>
      </c>
      <c r="G1263" t="s">
        <v>821</v>
      </c>
      <c r="H1263" t="s">
        <v>4744</v>
      </c>
      <c r="I1263" t="s">
        <v>4745</v>
      </c>
      <c r="J1263" t="s">
        <v>1427</v>
      </c>
      <c r="K1263" t="s">
        <v>55</v>
      </c>
      <c r="L1263" t="s">
        <v>1428</v>
      </c>
      <c r="M1263" t="s">
        <v>57</v>
      </c>
      <c r="N1263" t="str">
        <f>"043984"</f>
        <v>043984</v>
      </c>
      <c r="O1263" t="s">
        <v>1424</v>
      </c>
      <c r="P1263" t="s">
        <v>68</v>
      </c>
      <c r="Q1263">
        <v>36.5</v>
      </c>
      <c r="R1263">
        <v>23.700000000000003</v>
      </c>
      <c r="S1263" t="s">
        <v>156</v>
      </c>
    </row>
    <row r="1264" spans="1:19" x14ac:dyDescent="0.35">
      <c r="A1264">
        <v>8615</v>
      </c>
      <c r="B1264" t="str">
        <f>"008615"</f>
        <v>008615</v>
      </c>
      <c r="C1264" t="s">
        <v>4746</v>
      </c>
      <c r="D1264" t="s">
        <v>3394</v>
      </c>
      <c r="E1264" t="s">
        <v>3395</v>
      </c>
      <c r="F1264" t="s">
        <v>3396</v>
      </c>
      <c r="G1264" t="s">
        <v>777</v>
      </c>
      <c r="H1264" t="s">
        <v>4747</v>
      </c>
      <c r="I1264" t="s">
        <v>4748</v>
      </c>
      <c r="J1264" t="s">
        <v>4749</v>
      </c>
      <c r="K1264" t="s">
        <v>55</v>
      </c>
      <c r="L1264" t="s">
        <v>4750</v>
      </c>
      <c r="M1264" t="s">
        <v>57</v>
      </c>
      <c r="N1264" t="str">
        <f>"046243"</f>
        <v>046243</v>
      </c>
      <c r="O1264" t="s">
        <v>1902</v>
      </c>
      <c r="P1264" t="s">
        <v>68</v>
      </c>
      <c r="Q1264">
        <v>37.6</v>
      </c>
      <c r="R1264">
        <v>15.599999999999994</v>
      </c>
      <c r="S1264" t="s">
        <v>180</v>
      </c>
    </row>
    <row r="1265" spans="1:19" x14ac:dyDescent="0.35">
      <c r="A1265">
        <v>8623</v>
      </c>
      <c r="B1265" t="str">
        <f>"008623"</f>
        <v>008623</v>
      </c>
      <c r="C1265" t="s">
        <v>4751</v>
      </c>
      <c r="D1265" t="s">
        <v>3394</v>
      </c>
      <c r="E1265" t="s">
        <v>3395</v>
      </c>
      <c r="F1265" t="s">
        <v>3396</v>
      </c>
      <c r="G1265" t="s">
        <v>63</v>
      </c>
      <c r="H1265" t="s">
        <v>4752</v>
      </c>
      <c r="I1265" t="s">
        <v>4753</v>
      </c>
      <c r="J1265" t="s">
        <v>1863</v>
      </c>
      <c r="K1265" t="s">
        <v>55</v>
      </c>
      <c r="L1265" t="s">
        <v>1864</v>
      </c>
      <c r="M1265" t="s">
        <v>57</v>
      </c>
      <c r="N1265" t="str">
        <f>"046607"</f>
        <v>046607</v>
      </c>
      <c r="O1265" t="s">
        <v>1860</v>
      </c>
      <c r="P1265" t="s">
        <v>68</v>
      </c>
      <c r="Q1265">
        <v>9.9</v>
      </c>
      <c r="R1265">
        <v>36.4</v>
      </c>
      <c r="S1265" t="s">
        <v>69</v>
      </c>
    </row>
    <row r="1266" spans="1:19" x14ac:dyDescent="0.35">
      <c r="A1266">
        <v>8649</v>
      </c>
      <c r="B1266" t="str">
        <f>"008649"</f>
        <v>008649</v>
      </c>
      <c r="C1266" t="s">
        <v>4754</v>
      </c>
      <c r="D1266" t="s">
        <v>3394</v>
      </c>
      <c r="E1266" t="s">
        <v>3395</v>
      </c>
      <c r="F1266" t="s">
        <v>3396</v>
      </c>
      <c r="G1266" t="s">
        <v>200</v>
      </c>
      <c r="H1266" t="s">
        <v>4755</v>
      </c>
      <c r="I1266" t="s">
        <v>4756</v>
      </c>
      <c r="J1266" t="s">
        <v>304</v>
      </c>
      <c r="K1266" t="s">
        <v>55</v>
      </c>
      <c r="L1266" t="s">
        <v>4757</v>
      </c>
      <c r="M1266" t="s">
        <v>57</v>
      </c>
      <c r="N1266" t="str">
        <f>"048223"</f>
        <v>048223</v>
      </c>
      <c r="O1266" t="s">
        <v>263</v>
      </c>
      <c r="P1266" t="s">
        <v>68</v>
      </c>
      <c r="Q1266">
        <v>54.8</v>
      </c>
      <c r="R1266">
        <v>47</v>
      </c>
      <c r="S1266" t="s">
        <v>156</v>
      </c>
    </row>
    <row r="1267" spans="1:19" x14ac:dyDescent="0.35">
      <c r="A1267">
        <v>8672</v>
      </c>
      <c r="B1267" t="str">
        <f>"008672"</f>
        <v>008672</v>
      </c>
      <c r="C1267" t="s">
        <v>4758</v>
      </c>
      <c r="D1267" t="s">
        <v>3394</v>
      </c>
      <c r="E1267" t="s">
        <v>3395</v>
      </c>
      <c r="F1267" t="s">
        <v>3396</v>
      </c>
      <c r="G1267" t="s">
        <v>110</v>
      </c>
      <c r="H1267" t="s">
        <v>4759</v>
      </c>
      <c r="I1267" t="s">
        <v>4760</v>
      </c>
      <c r="J1267" t="s">
        <v>113</v>
      </c>
      <c r="K1267" t="s">
        <v>55</v>
      </c>
      <c r="L1267" t="s">
        <v>114</v>
      </c>
      <c r="M1267" t="s">
        <v>57</v>
      </c>
      <c r="N1267" t="str">
        <f>"047985"</f>
        <v>047985</v>
      </c>
      <c r="O1267" t="s">
        <v>3022</v>
      </c>
      <c r="P1267" t="s">
        <v>68</v>
      </c>
      <c r="Q1267">
        <v>23</v>
      </c>
      <c r="R1267">
        <v>13.099999999999994</v>
      </c>
      <c r="S1267" t="s">
        <v>60</v>
      </c>
    </row>
    <row r="1268" spans="1:19" x14ac:dyDescent="0.35">
      <c r="A1268">
        <v>8680</v>
      </c>
      <c r="B1268" t="str">
        <f>"008680"</f>
        <v>008680</v>
      </c>
      <c r="C1268" t="s">
        <v>4761</v>
      </c>
      <c r="D1268" t="s">
        <v>3394</v>
      </c>
      <c r="E1268" t="s">
        <v>3395</v>
      </c>
      <c r="F1268" t="s">
        <v>3396</v>
      </c>
      <c r="G1268" t="s">
        <v>63</v>
      </c>
      <c r="H1268" t="s">
        <v>4762</v>
      </c>
      <c r="I1268" t="s">
        <v>4763</v>
      </c>
      <c r="J1268" t="s">
        <v>285</v>
      </c>
      <c r="K1268" t="s">
        <v>55</v>
      </c>
      <c r="L1268" t="s">
        <v>4491</v>
      </c>
      <c r="M1268" t="s">
        <v>57</v>
      </c>
      <c r="N1268" t="str">
        <f>"043786"</f>
        <v>043786</v>
      </c>
      <c r="O1268" t="s">
        <v>1340</v>
      </c>
      <c r="P1268" t="s">
        <v>68</v>
      </c>
      <c r="Q1268">
        <v>100</v>
      </c>
      <c r="R1268">
        <v>100</v>
      </c>
      <c r="S1268" t="s">
        <v>69</v>
      </c>
    </row>
    <row r="1269" spans="1:19" x14ac:dyDescent="0.35">
      <c r="A1269">
        <v>8698</v>
      </c>
      <c r="B1269" t="str">
        <f>"008698"</f>
        <v>008698</v>
      </c>
      <c r="C1269" t="s">
        <v>4764</v>
      </c>
      <c r="D1269" t="s">
        <v>3394</v>
      </c>
      <c r="E1269" t="s">
        <v>3395</v>
      </c>
      <c r="F1269" t="s">
        <v>3396</v>
      </c>
      <c r="G1269" t="s">
        <v>212</v>
      </c>
      <c r="H1269" t="s">
        <v>4765</v>
      </c>
      <c r="I1269" t="s">
        <v>4766</v>
      </c>
      <c r="J1269" t="s">
        <v>215</v>
      </c>
      <c r="K1269" t="s">
        <v>55</v>
      </c>
      <c r="L1269" t="s">
        <v>4767</v>
      </c>
      <c r="M1269" t="s">
        <v>57</v>
      </c>
      <c r="N1269" t="str">
        <f>"043752"</f>
        <v>043752</v>
      </c>
      <c r="O1269" t="s">
        <v>440</v>
      </c>
      <c r="P1269" t="s">
        <v>68</v>
      </c>
      <c r="Q1269">
        <v>100</v>
      </c>
      <c r="R1269">
        <v>95.9</v>
      </c>
      <c r="S1269" t="s">
        <v>217</v>
      </c>
    </row>
    <row r="1270" spans="1:19" x14ac:dyDescent="0.35">
      <c r="A1270">
        <v>8706</v>
      </c>
      <c r="B1270" t="str">
        <f>"008706"</f>
        <v>008706</v>
      </c>
      <c r="C1270" t="s">
        <v>4768</v>
      </c>
      <c r="D1270" t="s">
        <v>3394</v>
      </c>
      <c r="E1270" t="s">
        <v>3395</v>
      </c>
      <c r="F1270" t="s">
        <v>3396</v>
      </c>
      <c r="G1270" t="s">
        <v>71</v>
      </c>
      <c r="H1270" t="s">
        <v>4769</v>
      </c>
      <c r="I1270" t="s">
        <v>4770</v>
      </c>
      <c r="J1270" t="s">
        <v>991</v>
      </c>
      <c r="K1270" t="s">
        <v>55</v>
      </c>
      <c r="L1270" t="s">
        <v>992</v>
      </c>
      <c r="M1270" t="s">
        <v>57</v>
      </c>
      <c r="N1270" t="str">
        <f>"043893"</f>
        <v>043893</v>
      </c>
      <c r="O1270" t="s">
        <v>988</v>
      </c>
      <c r="P1270" t="s">
        <v>68</v>
      </c>
      <c r="Q1270">
        <v>44.7</v>
      </c>
      <c r="R1270">
        <v>26.200000000000003</v>
      </c>
      <c r="S1270" t="s">
        <v>77</v>
      </c>
    </row>
    <row r="1271" spans="1:19" x14ac:dyDescent="0.35">
      <c r="A1271">
        <v>8722</v>
      </c>
      <c r="B1271" t="str">
        <f>"008722"</f>
        <v>008722</v>
      </c>
      <c r="C1271" t="s">
        <v>4771</v>
      </c>
      <c r="D1271" t="s">
        <v>3398</v>
      </c>
      <c r="E1271" t="s">
        <v>3395</v>
      </c>
      <c r="F1271" t="s">
        <v>3396</v>
      </c>
      <c r="G1271" t="s">
        <v>71</v>
      </c>
      <c r="H1271" t="s">
        <v>4772</v>
      </c>
      <c r="I1271" t="s">
        <v>4773</v>
      </c>
      <c r="J1271" t="s">
        <v>991</v>
      </c>
      <c r="K1271" t="s">
        <v>55</v>
      </c>
      <c r="L1271" t="s">
        <v>992</v>
      </c>
      <c r="M1271" t="s">
        <v>57</v>
      </c>
      <c r="N1271" t="str">
        <f>"043893"</f>
        <v>043893</v>
      </c>
      <c r="O1271" t="s">
        <v>988</v>
      </c>
      <c r="P1271" t="s">
        <v>68</v>
      </c>
      <c r="Q1271">
        <v>30.8</v>
      </c>
      <c r="R1271">
        <v>21.5</v>
      </c>
      <c r="S1271" t="s">
        <v>77</v>
      </c>
    </row>
    <row r="1272" spans="1:19" x14ac:dyDescent="0.35">
      <c r="A1272">
        <v>8730</v>
      </c>
      <c r="B1272" t="str">
        <f>"008730"</f>
        <v>008730</v>
      </c>
      <c r="C1272" t="s">
        <v>4774</v>
      </c>
      <c r="D1272" t="s">
        <v>3394</v>
      </c>
      <c r="E1272" t="s">
        <v>3395</v>
      </c>
      <c r="F1272" t="s">
        <v>3396</v>
      </c>
      <c r="G1272" t="s">
        <v>663</v>
      </c>
      <c r="H1272" t="s">
        <v>1464</v>
      </c>
      <c r="I1272" t="s">
        <v>1465</v>
      </c>
      <c r="J1272" t="s">
        <v>572</v>
      </c>
      <c r="K1272" t="s">
        <v>55</v>
      </c>
      <c r="L1272" t="s">
        <v>835</v>
      </c>
      <c r="M1272" t="s">
        <v>57</v>
      </c>
      <c r="N1272" t="str">
        <f>"044776"</f>
        <v>044776</v>
      </c>
      <c r="O1272" t="s">
        <v>1463</v>
      </c>
      <c r="P1272" t="s">
        <v>68</v>
      </c>
      <c r="Q1272">
        <v>56.7</v>
      </c>
      <c r="R1272">
        <v>5.2000000000000028</v>
      </c>
      <c r="S1272" t="s">
        <v>77</v>
      </c>
    </row>
    <row r="1273" spans="1:19" x14ac:dyDescent="0.35">
      <c r="A1273">
        <v>8748</v>
      </c>
      <c r="B1273" t="str">
        <f>"008748"</f>
        <v>008748</v>
      </c>
      <c r="C1273" t="s">
        <v>4775</v>
      </c>
      <c r="D1273" t="s">
        <v>3394</v>
      </c>
      <c r="E1273" t="s">
        <v>3395</v>
      </c>
      <c r="F1273" t="s">
        <v>3396</v>
      </c>
      <c r="G1273" t="s">
        <v>187</v>
      </c>
      <c r="H1273" t="s">
        <v>4776</v>
      </c>
      <c r="I1273" t="s">
        <v>4777</v>
      </c>
      <c r="J1273" t="s">
        <v>190</v>
      </c>
      <c r="K1273" t="s">
        <v>55</v>
      </c>
      <c r="L1273" t="s">
        <v>191</v>
      </c>
      <c r="M1273" t="s">
        <v>57</v>
      </c>
      <c r="N1273" t="str">
        <f>"050534"</f>
        <v>050534</v>
      </c>
      <c r="O1273" t="s">
        <v>186</v>
      </c>
      <c r="P1273" t="s">
        <v>68</v>
      </c>
      <c r="Q1273">
        <v>31.2</v>
      </c>
      <c r="R1273">
        <v>6.7999999999999972</v>
      </c>
      <c r="S1273" t="s">
        <v>77</v>
      </c>
    </row>
    <row r="1274" spans="1:19" x14ac:dyDescent="0.35">
      <c r="A1274">
        <v>8763</v>
      </c>
      <c r="B1274" t="str">
        <f>"008763"</f>
        <v>008763</v>
      </c>
      <c r="C1274" t="s">
        <v>4778</v>
      </c>
      <c r="D1274" t="s">
        <v>3394</v>
      </c>
      <c r="E1274" t="s">
        <v>3395</v>
      </c>
      <c r="F1274" t="s">
        <v>3396</v>
      </c>
      <c r="G1274" t="s">
        <v>212</v>
      </c>
      <c r="H1274" t="s">
        <v>4779</v>
      </c>
      <c r="I1274" t="s">
        <v>4780</v>
      </c>
      <c r="J1274" t="s">
        <v>215</v>
      </c>
      <c r="K1274" t="s">
        <v>55</v>
      </c>
      <c r="L1274" t="s">
        <v>216</v>
      </c>
      <c r="M1274" t="s">
        <v>57</v>
      </c>
      <c r="N1274" t="str">
        <f>"045435"</f>
        <v>045435</v>
      </c>
      <c r="O1274" t="s">
        <v>211</v>
      </c>
      <c r="P1274" t="s">
        <v>68</v>
      </c>
      <c r="Q1274">
        <v>5.2</v>
      </c>
      <c r="R1274">
        <v>25.900000000000006</v>
      </c>
      <c r="S1274" t="s">
        <v>217</v>
      </c>
    </row>
    <row r="1275" spans="1:19" x14ac:dyDescent="0.35">
      <c r="A1275">
        <v>8789</v>
      </c>
      <c r="B1275" t="str">
        <f>"008789"</f>
        <v>008789</v>
      </c>
      <c r="C1275" t="s">
        <v>4781</v>
      </c>
      <c r="D1275" t="s">
        <v>3394</v>
      </c>
      <c r="E1275" t="s">
        <v>3395</v>
      </c>
      <c r="F1275" t="s">
        <v>3396</v>
      </c>
      <c r="G1275" t="s">
        <v>543</v>
      </c>
      <c r="H1275" t="s">
        <v>4782</v>
      </c>
      <c r="I1275" t="s">
        <v>4783</v>
      </c>
      <c r="J1275" t="s">
        <v>687</v>
      </c>
      <c r="K1275" t="s">
        <v>55</v>
      </c>
      <c r="L1275" t="s">
        <v>1962</v>
      </c>
      <c r="M1275" t="s">
        <v>57</v>
      </c>
      <c r="N1275" t="str">
        <f>"043737"</f>
        <v>043737</v>
      </c>
      <c r="O1275" t="s">
        <v>1855</v>
      </c>
      <c r="P1275" t="s">
        <v>68</v>
      </c>
      <c r="Q1275">
        <v>22.8</v>
      </c>
      <c r="R1275">
        <v>23.5</v>
      </c>
      <c r="S1275" t="s">
        <v>180</v>
      </c>
    </row>
    <row r="1276" spans="1:19" x14ac:dyDescent="0.35">
      <c r="A1276">
        <v>8821</v>
      </c>
      <c r="B1276" t="str">
        <f>"008821"</f>
        <v>008821</v>
      </c>
      <c r="C1276" t="s">
        <v>4784</v>
      </c>
      <c r="D1276" t="s">
        <v>3398</v>
      </c>
      <c r="E1276" t="s">
        <v>3395</v>
      </c>
      <c r="F1276" t="s">
        <v>3396</v>
      </c>
      <c r="G1276" t="s">
        <v>543</v>
      </c>
      <c r="H1276" t="s">
        <v>4785</v>
      </c>
      <c r="I1276" t="s">
        <v>4786</v>
      </c>
      <c r="J1276" t="s">
        <v>687</v>
      </c>
      <c r="K1276" t="s">
        <v>55</v>
      </c>
      <c r="L1276" t="s">
        <v>4189</v>
      </c>
      <c r="M1276" t="s">
        <v>57</v>
      </c>
      <c r="N1276" t="str">
        <f>"043844"</f>
        <v>043844</v>
      </c>
      <c r="O1276" t="s">
        <v>985</v>
      </c>
      <c r="P1276" t="s">
        <v>68</v>
      </c>
      <c r="Q1276">
        <v>97.5</v>
      </c>
      <c r="R1276">
        <v>94</v>
      </c>
      <c r="S1276" t="s">
        <v>180</v>
      </c>
    </row>
    <row r="1277" spans="1:19" x14ac:dyDescent="0.35">
      <c r="A1277">
        <v>8839</v>
      </c>
      <c r="B1277" t="str">
        <f>"008839"</f>
        <v>008839</v>
      </c>
      <c r="C1277" t="s">
        <v>4787</v>
      </c>
      <c r="D1277" t="s">
        <v>3394</v>
      </c>
      <c r="E1277" t="s">
        <v>3395</v>
      </c>
      <c r="F1277" t="s">
        <v>3396</v>
      </c>
      <c r="G1277" t="s">
        <v>674</v>
      </c>
      <c r="H1277" t="s">
        <v>4788</v>
      </c>
      <c r="I1277" t="s">
        <v>4789</v>
      </c>
      <c r="J1277" t="s">
        <v>1202</v>
      </c>
      <c r="K1277" t="s">
        <v>55</v>
      </c>
      <c r="L1277" t="s">
        <v>1203</v>
      </c>
      <c r="M1277" t="s">
        <v>57</v>
      </c>
      <c r="N1277" t="str">
        <f>"048843"</f>
        <v>048843</v>
      </c>
      <c r="O1277" t="s">
        <v>1199</v>
      </c>
      <c r="P1277" t="s">
        <v>68</v>
      </c>
      <c r="Q1277">
        <v>45.2</v>
      </c>
      <c r="R1277">
        <v>4.0999999999999943</v>
      </c>
      <c r="S1277" t="s">
        <v>130</v>
      </c>
    </row>
    <row r="1278" spans="1:19" x14ac:dyDescent="0.35">
      <c r="A1278">
        <v>8847</v>
      </c>
      <c r="B1278" t="str">
        <f>"008847"</f>
        <v>008847</v>
      </c>
      <c r="C1278" t="s">
        <v>4790</v>
      </c>
      <c r="D1278" t="s">
        <v>3506</v>
      </c>
      <c r="E1278" t="s">
        <v>3395</v>
      </c>
      <c r="F1278" t="s">
        <v>3396</v>
      </c>
      <c r="G1278" t="s">
        <v>674</v>
      </c>
      <c r="H1278" t="s">
        <v>4791</v>
      </c>
      <c r="I1278" t="s">
        <v>4792</v>
      </c>
      <c r="J1278" t="s">
        <v>4793</v>
      </c>
      <c r="K1278" t="s">
        <v>55</v>
      </c>
      <c r="L1278" t="s">
        <v>4794</v>
      </c>
      <c r="M1278" t="s">
        <v>57</v>
      </c>
      <c r="N1278" t="str">
        <f>"048843"</f>
        <v>048843</v>
      </c>
      <c r="O1278" t="s">
        <v>1199</v>
      </c>
      <c r="P1278" t="s">
        <v>68</v>
      </c>
      <c r="Q1278">
        <v>44.9</v>
      </c>
      <c r="R1278">
        <v>4.5</v>
      </c>
      <c r="S1278" t="s">
        <v>130</v>
      </c>
    </row>
    <row r="1279" spans="1:19" x14ac:dyDescent="0.35">
      <c r="A1279">
        <v>8854</v>
      </c>
      <c r="B1279" t="str">
        <f>"008854"</f>
        <v>008854</v>
      </c>
      <c r="C1279" t="s">
        <v>4795</v>
      </c>
      <c r="D1279" t="s">
        <v>3394</v>
      </c>
      <c r="E1279" t="s">
        <v>3395</v>
      </c>
      <c r="F1279" t="s">
        <v>3396</v>
      </c>
      <c r="G1279" t="s">
        <v>71</v>
      </c>
      <c r="H1279" t="s">
        <v>4796</v>
      </c>
      <c r="I1279" t="s">
        <v>4797</v>
      </c>
      <c r="J1279" t="s">
        <v>4798</v>
      </c>
      <c r="K1279" t="s">
        <v>55</v>
      </c>
      <c r="L1279" t="s">
        <v>4799</v>
      </c>
      <c r="M1279" t="s">
        <v>57</v>
      </c>
      <c r="N1279" t="str">
        <f>"050278"</f>
        <v>050278</v>
      </c>
      <c r="O1279" t="s">
        <v>2720</v>
      </c>
      <c r="P1279" t="s">
        <v>68</v>
      </c>
      <c r="Q1279">
        <v>24.7</v>
      </c>
      <c r="R1279">
        <v>4.9000000000000057</v>
      </c>
      <c r="S1279" t="s">
        <v>77</v>
      </c>
    </row>
    <row r="1280" spans="1:19" x14ac:dyDescent="0.35">
      <c r="A1280">
        <v>8888</v>
      </c>
      <c r="B1280" t="str">
        <f>"008888"</f>
        <v>008888</v>
      </c>
      <c r="C1280" t="s">
        <v>4800</v>
      </c>
      <c r="D1280" t="s">
        <v>3394</v>
      </c>
      <c r="E1280" t="s">
        <v>3395</v>
      </c>
      <c r="F1280" t="s">
        <v>3396</v>
      </c>
      <c r="G1280" t="s">
        <v>600</v>
      </c>
      <c r="H1280" t="s">
        <v>4801</v>
      </c>
      <c r="I1280" t="s">
        <v>4802</v>
      </c>
      <c r="J1280" t="s">
        <v>1348</v>
      </c>
      <c r="K1280" t="s">
        <v>55</v>
      </c>
      <c r="L1280" t="s">
        <v>3568</v>
      </c>
      <c r="M1280" t="s">
        <v>57</v>
      </c>
      <c r="N1280" t="str">
        <f>"046979"</f>
        <v>046979</v>
      </c>
      <c r="O1280" t="s">
        <v>1587</v>
      </c>
      <c r="P1280" t="s">
        <v>68</v>
      </c>
      <c r="Q1280">
        <v>76.3</v>
      </c>
      <c r="R1280">
        <v>83.7</v>
      </c>
      <c r="S1280" t="s">
        <v>60</v>
      </c>
    </row>
    <row r="1281" spans="1:19" x14ac:dyDescent="0.35">
      <c r="A1281">
        <v>8896</v>
      </c>
      <c r="B1281" t="str">
        <f>"008896"</f>
        <v>008896</v>
      </c>
      <c r="C1281" t="s">
        <v>4803</v>
      </c>
      <c r="D1281" t="s">
        <v>3400</v>
      </c>
      <c r="E1281" t="s">
        <v>3395</v>
      </c>
      <c r="F1281" t="s">
        <v>3396</v>
      </c>
      <c r="G1281" t="s">
        <v>143</v>
      </c>
      <c r="H1281" t="s">
        <v>4804</v>
      </c>
      <c r="I1281" t="s">
        <v>4805</v>
      </c>
      <c r="J1281" t="s">
        <v>143</v>
      </c>
      <c r="K1281" t="s">
        <v>55</v>
      </c>
      <c r="L1281" t="s">
        <v>4806</v>
      </c>
      <c r="M1281" t="s">
        <v>57</v>
      </c>
      <c r="N1281" t="str">
        <f>"048132"</f>
        <v>048132</v>
      </c>
      <c r="O1281" t="s">
        <v>1030</v>
      </c>
      <c r="P1281" t="s">
        <v>68</v>
      </c>
      <c r="Q1281">
        <v>100</v>
      </c>
      <c r="R1281">
        <v>67</v>
      </c>
      <c r="S1281" t="s">
        <v>69</v>
      </c>
    </row>
    <row r="1282" spans="1:19" x14ac:dyDescent="0.35">
      <c r="A1282">
        <v>8912</v>
      </c>
      <c r="B1282" t="str">
        <f>"008912"</f>
        <v>008912</v>
      </c>
      <c r="C1282" t="s">
        <v>4807</v>
      </c>
      <c r="D1282" t="s">
        <v>3394</v>
      </c>
      <c r="E1282" t="s">
        <v>3395</v>
      </c>
      <c r="F1282" t="s">
        <v>3396</v>
      </c>
      <c r="G1282" t="s">
        <v>600</v>
      </c>
      <c r="H1282" t="s">
        <v>4808</v>
      </c>
      <c r="I1282" t="s">
        <v>4809</v>
      </c>
      <c r="J1282" t="s">
        <v>1348</v>
      </c>
      <c r="K1282" t="s">
        <v>55</v>
      </c>
      <c r="L1282" t="s">
        <v>4810</v>
      </c>
      <c r="M1282" t="s">
        <v>57</v>
      </c>
      <c r="N1282" t="str">
        <f>"043802"</f>
        <v>043802</v>
      </c>
      <c r="O1282" t="s">
        <v>3171</v>
      </c>
      <c r="P1282" t="s">
        <v>68</v>
      </c>
      <c r="Q1282">
        <v>100</v>
      </c>
      <c r="R1282">
        <v>92.5</v>
      </c>
      <c r="S1282" t="s">
        <v>60</v>
      </c>
    </row>
    <row r="1283" spans="1:19" x14ac:dyDescent="0.35">
      <c r="A1283">
        <v>8920</v>
      </c>
      <c r="B1283" t="str">
        <f>"008920"</f>
        <v>008920</v>
      </c>
      <c r="C1283" t="s">
        <v>4811</v>
      </c>
      <c r="D1283" t="s">
        <v>3394</v>
      </c>
      <c r="E1283" t="s">
        <v>3395</v>
      </c>
      <c r="F1283" t="s">
        <v>3396</v>
      </c>
      <c r="G1283" t="s">
        <v>226</v>
      </c>
      <c r="H1283" t="s">
        <v>4812</v>
      </c>
      <c r="I1283" t="s">
        <v>4813</v>
      </c>
      <c r="J1283" t="s">
        <v>2113</v>
      </c>
      <c r="K1283" t="s">
        <v>55</v>
      </c>
      <c r="L1283" t="s">
        <v>2114</v>
      </c>
      <c r="M1283" t="s">
        <v>57</v>
      </c>
      <c r="N1283" t="str">
        <f>"050708"</f>
        <v>050708</v>
      </c>
      <c r="O1283" t="s">
        <v>2110</v>
      </c>
      <c r="P1283" t="s">
        <v>68</v>
      </c>
      <c r="Q1283">
        <v>45.7</v>
      </c>
      <c r="R1283">
        <v>21.200000000000003</v>
      </c>
      <c r="S1283" t="s">
        <v>156</v>
      </c>
    </row>
    <row r="1284" spans="1:19" x14ac:dyDescent="0.35">
      <c r="A1284">
        <v>8946</v>
      </c>
      <c r="B1284" t="str">
        <f>"008946"</f>
        <v>008946</v>
      </c>
      <c r="C1284" t="s">
        <v>4814</v>
      </c>
      <c r="D1284" t="s">
        <v>3394</v>
      </c>
      <c r="E1284" t="s">
        <v>3395</v>
      </c>
      <c r="F1284" t="s">
        <v>3396</v>
      </c>
      <c r="G1284" t="s">
        <v>1702</v>
      </c>
      <c r="H1284" t="s">
        <v>4815</v>
      </c>
      <c r="I1284" t="s">
        <v>4816</v>
      </c>
      <c r="J1284" t="s">
        <v>2651</v>
      </c>
      <c r="K1284" t="s">
        <v>55</v>
      </c>
      <c r="L1284" t="s">
        <v>2652</v>
      </c>
      <c r="M1284" t="s">
        <v>57</v>
      </c>
      <c r="N1284" t="str">
        <f>"045625"</f>
        <v>045625</v>
      </c>
      <c r="O1284" t="s">
        <v>2648</v>
      </c>
      <c r="P1284" t="s">
        <v>68</v>
      </c>
      <c r="Q1284">
        <v>26.4</v>
      </c>
      <c r="R1284">
        <v>9.9000000000000057</v>
      </c>
      <c r="S1284" t="s">
        <v>156</v>
      </c>
    </row>
    <row r="1285" spans="1:19" x14ac:dyDescent="0.35">
      <c r="A1285">
        <v>8953</v>
      </c>
      <c r="B1285" t="str">
        <f>"008953"</f>
        <v>008953</v>
      </c>
      <c r="C1285" t="s">
        <v>4817</v>
      </c>
      <c r="D1285" t="s">
        <v>3394</v>
      </c>
      <c r="E1285" t="s">
        <v>3395</v>
      </c>
      <c r="F1285" t="s">
        <v>3396</v>
      </c>
      <c r="G1285" t="s">
        <v>117</v>
      </c>
      <c r="H1285" t="s">
        <v>1476</v>
      </c>
      <c r="I1285" t="s">
        <v>1477</v>
      </c>
      <c r="J1285" t="s">
        <v>1478</v>
      </c>
      <c r="K1285" t="s">
        <v>55</v>
      </c>
      <c r="L1285" t="s">
        <v>1479</v>
      </c>
      <c r="M1285" t="s">
        <v>57</v>
      </c>
      <c r="N1285" t="str">
        <f>"049916"</f>
        <v>049916</v>
      </c>
      <c r="O1285" t="s">
        <v>1475</v>
      </c>
      <c r="P1285" t="s">
        <v>68</v>
      </c>
      <c r="Q1285">
        <v>42.6</v>
      </c>
      <c r="R1285">
        <v>5.0999999999999943</v>
      </c>
      <c r="S1285" t="s">
        <v>77</v>
      </c>
    </row>
    <row r="1286" spans="1:19" x14ac:dyDescent="0.35">
      <c r="A1286">
        <v>8961</v>
      </c>
      <c r="B1286" t="str">
        <f>"008961"</f>
        <v>008961</v>
      </c>
      <c r="C1286" t="s">
        <v>4818</v>
      </c>
      <c r="D1286" t="s">
        <v>3398</v>
      </c>
      <c r="E1286" t="s">
        <v>3395</v>
      </c>
      <c r="F1286" t="s">
        <v>3396</v>
      </c>
      <c r="G1286" t="s">
        <v>117</v>
      </c>
      <c r="H1286" t="s">
        <v>1476</v>
      </c>
      <c r="I1286" t="s">
        <v>1477</v>
      </c>
      <c r="J1286" t="s">
        <v>1478</v>
      </c>
      <c r="K1286" t="s">
        <v>55</v>
      </c>
      <c r="L1286" t="s">
        <v>1479</v>
      </c>
      <c r="M1286" t="s">
        <v>57</v>
      </c>
      <c r="N1286" t="str">
        <f>"049916"</f>
        <v>049916</v>
      </c>
      <c r="O1286" t="s">
        <v>1475</v>
      </c>
      <c r="P1286" t="s">
        <v>68</v>
      </c>
      <c r="Q1286">
        <v>46.7</v>
      </c>
      <c r="R1286">
        <v>9</v>
      </c>
      <c r="S1286" t="s">
        <v>77</v>
      </c>
    </row>
    <row r="1287" spans="1:19" x14ac:dyDescent="0.35">
      <c r="A1287">
        <v>8979</v>
      </c>
      <c r="B1287" t="str">
        <f>"008979"</f>
        <v>008979</v>
      </c>
      <c r="C1287" t="s">
        <v>4819</v>
      </c>
      <c r="D1287" t="s">
        <v>3394</v>
      </c>
      <c r="E1287" t="s">
        <v>3395</v>
      </c>
      <c r="F1287" t="s">
        <v>3396</v>
      </c>
      <c r="G1287" t="s">
        <v>143</v>
      </c>
      <c r="H1287" t="s">
        <v>4820</v>
      </c>
      <c r="I1287" t="s">
        <v>4821</v>
      </c>
      <c r="J1287" t="s">
        <v>2256</v>
      </c>
      <c r="K1287" t="s">
        <v>55</v>
      </c>
      <c r="L1287" t="s">
        <v>2257</v>
      </c>
      <c r="M1287" t="s">
        <v>57</v>
      </c>
      <c r="N1287" t="str">
        <f>"048173"</f>
        <v>048173</v>
      </c>
      <c r="O1287" t="s">
        <v>2253</v>
      </c>
      <c r="P1287" t="s">
        <v>68</v>
      </c>
      <c r="Q1287">
        <v>42.9</v>
      </c>
      <c r="R1287">
        <v>15.200000000000003</v>
      </c>
      <c r="S1287" t="s">
        <v>69</v>
      </c>
    </row>
    <row r="1288" spans="1:19" x14ac:dyDescent="0.35">
      <c r="A1288">
        <v>8987</v>
      </c>
      <c r="B1288" t="str">
        <f>"008987"</f>
        <v>008987</v>
      </c>
      <c r="C1288" t="s">
        <v>4822</v>
      </c>
      <c r="D1288" t="s">
        <v>3394</v>
      </c>
      <c r="E1288" t="s">
        <v>3395</v>
      </c>
      <c r="F1288" t="s">
        <v>3396</v>
      </c>
      <c r="G1288" t="s">
        <v>63</v>
      </c>
      <c r="H1288" t="s">
        <v>4823</v>
      </c>
      <c r="I1288" t="s">
        <v>4824</v>
      </c>
      <c r="J1288" t="s">
        <v>285</v>
      </c>
      <c r="K1288" t="s">
        <v>55</v>
      </c>
      <c r="L1288" t="s">
        <v>4491</v>
      </c>
      <c r="M1288" t="s">
        <v>57</v>
      </c>
      <c r="N1288" t="str">
        <f>"043786"</f>
        <v>043786</v>
      </c>
      <c r="O1288" t="s">
        <v>1340</v>
      </c>
      <c r="P1288" t="s">
        <v>68</v>
      </c>
      <c r="Q1288">
        <v>100</v>
      </c>
      <c r="R1288">
        <v>100</v>
      </c>
      <c r="S1288" t="s">
        <v>69</v>
      </c>
    </row>
    <row r="1289" spans="1:19" x14ac:dyDescent="0.35">
      <c r="A1289">
        <v>8995</v>
      </c>
      <c r="B1289" t="str">
        <f>"008995"</f>
        <v>008995</v>
      </c>
      <c r="C1289" t="s">
        <v>4825</v>
      </c>
      <c r="D1289" t="s">
        <v>3398</v>
      </c>
      <c r="E1289" t="s">
        <v>3395</v>
      </c>
      <c r="F1289" t="s">
        <v>3396</v>
      </c>
      <c r="G1289" t="s">
        <v>250</v>
      </c>
      <c r="H1289" t="s">
        <v>4826</v>
      </c>
      <c r="I1289" t="s">
        <v>4827</v>
      </c>
      <c r="J1289" t="s">
        <v>1055</v>
      </c>
      <c r="K1289" t="s">
        <v>55</v>
      </c>
      <c r="L1289" t="s">
        <v>1056</v>
      </c>
      <c r="M1289" t="s">
        <v>57</v>
      </c>
      <c r="N1289" t="str">
        <f>"046409"</f>
        <v>046409</v>
      </c>
      <c r="O1289" t="s">
        <v>1052</v>
      </c>
      <c r="P1289" t="s">
        <v>68</v>
      </c>
      <c r="Q1289">
        <v>46.3</v>
      </c>
      <c r="R1289">
        <v>2.2000000000000028</v>
      </c>
      <c r="S1289" t="s">
        <v>60</v>
      </c>
    </row>
    <row r="1290" spans="1:19" x14ac:dyDescent="0.35">
      <c r="A1290">
        <v>9001</v>
      </c>
      <c r="B1290" t="str">
        <f>"009001"</f>
        <v>009001</v>
      </c>
      <c r="C1290" t="s">
        <v>4828</v>
      </c>
      <c r="D1290" t="s">
        <v>3394</v>
      </c>
      <c r="E1290" t="s">
        <v>3395</v>
      </c>
      <c r="F1290" t="s">
        <v>3396</v>
      </c>
      <c r="G1290" t="s">
        <v>600</v>
      </c>
      <c r="H1290" t="s">
        <v>4829</v>
      </c>
      <c r="I1290" t="s">
        <v>4830</v>
      </c>
      <c r="J1290" t="s">
        <v>1348</v>
      </c>
      <c r="K1290" t="s">
        <v>55</v>
      </c>
      <c r="L1290" t="s">
        <v>4810</v>
      </c>
      <c r="M1290" t="s">
        <v>57</v>
      </c>
      <c r="N1290" t="str">
        <f>"043802"</f>
        <v>043802</v>
      </c>
      <c r="O1290" t="s">
        <v>3171</v>
      </c>
      <c r="P1290" t="s">
        <v>68</v>
      </c>
      <c r="Q1290">
        <v>100</v>
      </c>
      <c r="R1290">
        <v>90.3</v>
      </c>
      <c r="S1290" t="s">
        <v>60</v>
      </c>
    </row>
    <row r="1291" spans="1:19" x14ac:dyDescent="0.35">
      <c r="A1291">
        <v>9027</v>
      </c>
      <c r="B1291" t="str">
        <f>"009027"</f>
        <v>009027</v>
      </c>
      <c r="C1291" t="s">
        <v>4831</v>
      </c>
      <c r="D1291" t="s">
        <v>3543</v>
      </c>
      <c r="E1291" t="s">
        <v>3395</v>
      </c>
      <c r="F1291" t="s">
        <v>3396</v>
      </c>
      <c r="G1291" t="s">
        <v>250</v>
      </c>
      <c r="H1291" t="s">
        <v>4832</v>
      </c>
      <c r="I1291" t="s">
        <v>4833</v>
      </c>
      <c r="J1291" t="s">
        <v>2203</v>
      </c>
      <c r="K1291" t="s">
        <v>55</v>
      </c>
      <c r="L1291" t="s">
        <v>2204</v>
      </c>
      <c r="M1291" t="s">
        <v>57</v>
      </c>
      <c r="N1291" t="str">
        <f>"045112"</f>
        <v>045112</v>
      </c>
      <c r="O1291" t="s">
        <v>2200</v>
      </c>
      <c r="P1291" t="s">
        <v>68</v>
      </c>
      <c r="Q1291" t="s">
        <v>68</v>
      </c>
      <c r="R1291" t="s">
        <v>68</v>
      </c>
      <c r="S1291" t="s">
        <v>60</v>
      </c>
    </row>
    <row r="1292" spans="1:19" x14ac:dyDescent="0.35">
      <c r="A1292">
        <v>9043</v>
      </c>
      <c r="B1292" t="str">
        <f>"009043"</f>
        <v>009043</v>
      </c>
      <c r="C1292" t="s">
        <v>4834</v>
      </c>
      <c r="D1292" t="s">
        <v>3398</v>
      </c>
      <c r="E1292" t="s">
        <v>3395</v>
      </c>
      <c r="F1292" t="s">
        <v>3396</v>
      </c>
      <c r="G1292" t="s">
        <v>901</v>
      </c>
      <c r="H1292" t="s">
        <v>4835</v>
      </c>
      <c r="I1292" t="s">
        <v>4836</v>
      </c>
      <c r="J1292" t="s">
        <v>1262</v>
      </c>
      <c r="K1292" t="s">
        <v>55</v>
      </c>
      <c r="L1292" t="s">
        <v>1263</v>
      </c>
      <c r="M1292" t="s">
        <v>57</v>
      </c>
      <c r="N1292" t="str">
        <f>"047845"</f>
        <v>047845</v>
      </c>
      <c r="O1292" t="s">
        <v>1259</v>
      </c>
      <c r="P1292" t="s">
        <v>68</v>
      </c>
      <c r="Q1292">
        <v>33.4</v>
      </c>
      <c r="R1292">
        <v>5.9000000000000057</v>
      </c>
      <c r="S1292" t="s">
        <v>60</v>
      </c>
    </row>
    <row r="1293" spans="1:19" x14ac:dyDescent="0.35">
      <c r="A1293">
        <v>9076</v>
      </c>
      <c r="B1293" t="str">
        <f>"009076"</f>
        <v>009076</v>
      </c>
      <c r="C1293" t="s">
        <v>4837</v>
      </c>
      <c r="D1293" t="s">
        <v>3394</v>
      </c>
      <c r="E1293" t="s">
        <v>3395</v>
      </c>
      <c r="F1293" t="s">
        <v>3396</v>
      </c>
      <c r="G1293" t="s">
        <v>600</v>
      </c>
      <c r="H1293" t="s">
        <v>4838</v>
      </c>
      <c r="I1293" t="s">
        <v>4839</v>
      </c>
      <c r="J1293" t="s">
        <v>1348</v>
      </c>
      <c r="K1293" t="s">
        <v>55</v>
      </c>
      <c r="L1293" t="s">
        <v>4840</v>
      </c>
      <c r="M1293" t="s">
        <v>57</v>
      </c>
      <c r="N1293" t="str">
        <f>"043802"</f>
        <v>043802</v>
      </c>
      <c r="O1293" t="s">
        <v>3171</v>
      </c>
      <c r="P1293" t="s">
        <v>68</v>
      </c>
      <c r="Q1293">
        <v>100</v>
      </c>
      <c r="R1293">
        <v>93.7</v>
      </c>
      <c r="S1293" t="s">
        <v>60</v>
      </c>
    </row>
    <row r="1294" spans="1:19" x14ac:dyDescent="0.35">
      <c r="A1294">
        <v>9084</v>
      </c>
      <c r="B1294" t="str">
        <f>"009084"</f>
        <v>009084</v>
      </c>
      <c r="C1294" t="s">
        <v>4841</v>
      </c>
      <c r="D1294" t="s">
        <v>3398</v>
      </c>
      <c r="E1294" t="s">
        <v>3395</v>
      </c>
      <c r="F1294" t="s">
        <v>3396</v>
      </c>
      <c r="G1294" t="s">
        <v>536</v>
      </c>
      <c r="H1294" t="s">
        <v>4842</v>
      </c>
      <c r="I1294" t="s">
        <v>4843</v>
      </c>
      <c r="J1294" t="s">
        <v>539</v>
      </c>
      <c r="K1294" t="s">
        <v>55</v>
      </c>
      <c r="L1294" t="s">
        <v>540</v>
      </c>
      <c r="M1294" t="s">
        <v>57</v>
      </c>
      <c r="N1294" t="str">
        <f>"043919"</f>
        <v>043919</v>
      </c>
      <c r="O1294" t="s">
        <v>1578</v>
      </c>
      <c r="P1294" t="s">
        <v>68</v>
      </c>
      <c r="Q1294">
        <v>98.5</v>
      </c>
      <c r="R1294">
        <v>14.900000000000006</v>
      </c>
      <c r="S1294" t="s">
        <v>77</v>
      </c>
    </row>
    <row r="1295" spans="1:19" x14ac:dyDescent="0.35">
      <c r="A1295">
        <v>9118</v>
      </c>
      <c r="B1295" t="str">
        <f>"009118"</f>
        <v>009118</v>
      </c>
      <c r="C1295" t="s">
        <v>4844</v>
      </c>
      <c r="D1295" t="s">
        <v>3394</v>
      </c>
      <c r="E1295" t="s">
        <v>3395</v>
      </c>
      <c r="F1295" t="s">
        <v>3396</v>
      </c>
      <c r="G1295" t="s">
        <v>663</v>
      </c>
      <c r="H1295" t="s">
        <v>4845</v>
      </c>
      <c r="I1295" t="s">
        <v>4846</v>
      </c>
      <c r="J1295" t="s">
        <v>666</v>
      </c>
      <c r="K1295" t="s">
        <v>55</v>
      </c>
      <c r="L1295" t="s">
        <v>1994</v>
      </c>
      <c r="M1295" t="s">
        <v>57</v>
      </c>
      <c r="N1295" t="str">
        <f>"049452"</f>
        <v>049452</v>
      </c>
      <c r="O1295" t="s">
        <v>1934</v>
      </c>
      <c r="P1295" t="s">
        <v>68</v>
      </c>
      <c r="Q1295" t="s">
        <v>68</v>
      </c>
      <c r="R1295" t="s">
        <v>68</v>
      </c>
      <c r="S1295" t="s">
        <v>77</v>
      </c>
    </row>
    <row r="1296" spans="1:19" x14ac:dyDescent="0.35">
      <c r="A1296">
        <v>9134</v>
      </c>
      <c r="B1296" t="str">
        <f>"009134"</f>
        <v>009134</v>
      </c>
      <c r="C1296" t="s">
        <v>4847</v>
      </c>
      <c r="D1296" t="s">
        <v>3398</v>
      </c>
      <c r="E1296" t="s">
        <v>3395</v>
      </c>
      <c r="F1296" t="s">
        <v>3396</v>
      </c>
      <c r="G1296" t="s">
        <v>536</v>
      </c>
      <c r="H1296" t="s">
        <v>4848</v>
      </c>
      <c r="I1296" t="s">
        <v>4849</v>
      </c>
      <c r="J1296" t="s">
        <v>2698</v>
      </c>
      <c r="K1296" t="s">
        <v>55</v>
      </c>
      <c r="L1296" t="s">
        <v>2699</v>
      </c>
      <c r="M1296" t="s">
        <v>57</v>
      </c>
      <c r="N1296" t="str">
        <f>"043927"</f>
        <v>043927</v>
      </c>
      <c r="O1296" t="s">
        <v>2695</v>
      </c>
      <c r="P1296" t="s">
        <v>68</v>
      </c>
      <c r="Q1296">
        <v>46.7</v>
      </c>
      <c r="R1296">
        <v>5.9000000000000057</v>
      </c>
      <c r="S1296" t="s">
        <v>77</v>
      </c>
    </row>
    <row r="1297" spans="1:19" x14ac:dyDescent="0.35">
      <c r="A1297">
        <v>9159</v>
      </c>
      <c r="B1297" t="str">
        <f>"009159"</f>
        <v>009159</v>
      </c>
      <c r="C1297" t="s">
        <v>4850</v>
      </c>
      <c r="D1297" t="s">
        <v>3394</v>
      </c>
      <c r="E1297" t="s">
        <v>3395</v>
      </c>
      <c r="F1297" t="s">
        <v>3396</v>
      </c>
      <c r="G1297" t="s">
        <v>169</v>
      </c>
      <c r="H1297" t="s">
        <v>4851</v>
      </c>
      <c r="I1297" t="s">
        <v>4852</v>
      </c>
      <c r="J1297" t="s">
        <v>2933</v>
      </c>
      <c r="K1297" t="s">
        <v>55</v>
      </c>
      <c r="L1297" t="s">
        <v>2934</v>
      </c>
      <c r="M1297" t="s">
        <v>57</v>
      </c>
      <c r="N1297" t="str">
        <f>"044065"</f>
        <v>044065</v>
      </c>
      <c r="O1297" t="s">
        <v>2930</v>
      </c>
      <c r="P1297" t="s">
        <v>68</v>
      </c>
      <c r="Q1297">
        <v>60</v>
      </c>
      <c r="R1297">
        <v>16.099999999999994</v>
      </c>
      <c r="S1297" t="s">
        <v>77</v>
      </c>
    </row>
    <row r="1298" spans="1:19" x14ac:dyDescent="0.35">
      <c r="A1298">
        <v>9167</v>
      </c>
      <c r="B1298" t="str">
        <f>"009167"</f>
        <v>009167</v>
      </c>
      <c r="C1298" t="s">
        <v>4853</v>
      </c>
      <c r="D1298" t="s">
        <v>3394</v>
      </c>
      <c r="E1298" t="s">
        <v>3395</v>
      </c>
      <c r="F1298" t="s">
        <v>3396</v>
      </c>
      <c r="G1298" t="s">
        <v>175</v>
      </c>
      <c r="H1298" t="s">
        <v>4854</v>
      </c>
      <c r="I1298" t="s">
        <v>4855</v>
      </c>
      <c r="J1298" t="s">
        <v>3129</v>
      </c>
      <c r="K1298" t="s">
        <v>55</v>
      </c>
      <c r="L1298" t="s">
        <v>3130</v>
      </c>
      <c r="M1298" t="s">
        <v>57</v>
      </c>
      <c r="N1298" t="str">
        <f>"046672"</f>
        <v>046672</v>
      </c>
      <c r="O1298" t="s">
        <v>3126</v>
      </c>
      <c r="P1298" t="s">
        <v>68</v>
      </c>
      <c r="Q1298">
        <v>61.8</v>
      </c>
      <c r="R1298">
        <v>13.200000000000003</v>
      </c>
      <c r="S1298" t="s">
        <v>180</v>
      </c>
    </row>
    <row r="1299" spans="1:19" x14ac:dyDescent="0.35">
      <c r="A1299">
        <v>9225</v>
      </c>
      <c r="B1299" t="str">
        <f>"009225"</f>
        <v>009225</v>
      </c>
      <c r="C1299" t="s">
        <v>4856</v>
      </c>
      <c r="D1299" t="s">
        <v>3394</v>
      </c>
      <c r="E1299" t="s">
        <v>3395</v>
      </c>
      <c r="F1299" t="s">
        <v>3396</v>
      </c>
      <c r="G1299" t="s">
        <v>226</v>
      </c>
      <c r="H1299" t="s">
        <v>4857</v>
      </c>
      <c r="I1299" t="s">
        <v>4858</v>
      </c>
      <c r="J1299" t="s">
        <v>699</v>
      </c>
      <c r="K1299" t="s">
        <v>55</v>
      </c>
      <c r="L1299" t="s">
        <v>945</v>
      </c>
      <c r="M1299" t="s">
        <v>57</v>
      </c>
      <c r="N1299" t="str">
        <f>"045609"</f>
        <v>045609</v>
      </c>
      <c r="O1299" t="s">
        <v>696</v>
      </c>
      <c r="P1299" t="s">
        <v>68</v>
      </c>
      <c r="Q1299">
        <v>40.700000000000003</v>
      </c>
      <c r="R1299">
        <v>25.099999999999994</v>
      </c>
      <c r="S1299" t="s">
        <v>156</v>
      </c>
    </row>
    <row r="1300" spans="1:19" x14ac:dyDescent="0.35">
      <c r="A1300">
        <v>9233</v>
      </c>
      <c r="B1300" t="str">
        <f>"009233"</f>
        <v>009233</v>
      </c>
      <c r="C1300" t="s">
        <v>4859</v>
      </c>
      <c r="D1300" t="s">
        <v>3394</v>
      </c>
      <c r="E1300" t="s">
        <v>3395</v>
      </c>
      <c r="F1300" t="s">
        <v>3396</v>
      </c>
      <c r="G1300" t="s">
        <v>600</v>
      </c>
      <c r="H1300" t="s">
        <v>4860</v>
      </c>
      <c r="I1300" t="s">
        <v>4861</v>
      </c>
      <c r="J1300" t="s">
        <v>1348</v>
      </c>
      <c r="K1300" t="s">
        <v>55</v>
      </c>
      <c r="L1300" t="s">
        <v>1349</v>
      </c>
      <c r="M1300" t="s">
        <v>57</v>
      </c>
      <c r="N1300" t="str">
        <f>"043802"</f>
        <v>043802</v>
      </c>
      <c r="O1300" t="s">
        <v>3171</v>
      </c>
      <c r="P1300" t="s">
        <v>68</v>
      </c>
      <c r="Q1300">
        <v>100</v>
      </c>
      <c r="R1300">
        <v>83.4</v>
      </c>
      <c r="S1300" t="s">
        <v>60</v>
      </c>
    </row>
    <row r="1301" spans="1:19" x14ac:dyDescent="0.35">
      <c r="A1301">
        <v>9241</v>
      </c>
      <c r="B1301" t="str">
        <f>"009241"</f>
        <v>009241</v>
      </c>
      <c r="C1301" t="s">
        <v>4814</v>
      </c>
      <c r="D1301" t="s">
        <v>3394</v>
      </c>
      <c r="E1301" t="s">
        <v>3395</v>
      </c>
      <c r="F1301" t="s">
        <v>3396</v>
      </c>
      <c r="G1301" t="s">
        <v>71</v>
      </c>
      <c r="H1301" t="s">
        <v>4862</v>
      </c>
      <c r="I1301" t="s">
        <v>4863</v>
      </c>
      <c r="J1301" t="s">
        <v>447</v>
      </c>
      <c r="K1301" t="s">
        <v>55</v>
      </c>
      <c r="L1301" t="s">
        <v>448</v>
      </c>
      <c r="M1301" t="s">
        <v>57</v>
      </c>
      <c r="N1301" t="str">
        <f>"044487"</f>
        <v>044487</v>
      </c>
      <c r="O1301" t="s">
        <v>444</v>
      </c>
      <c r="P1301" t="s">
        <v>68</v>
      </c>
      <c r="Q1301">
        <v>54.6</v>
      </c>
      <c r="R1301">
        <v>23.5</v>
      </c>
      <c r="S1301" t="s">
        <v>77</v>
      </c>
    </row>
    <row r="1302" spans="1:19" x14ac:dyDescent="0.35">
      <c r="A1302">
        <v>9258</v>
      </c>
      <c r="B1302" t="str">
        <f>"009258"</f>
        <v>009258</v>
      </c>
      <c r="C1302" t="s">
        <v>4814</v>
      </c>
      <c r="D1302" t="s">
        <v>3394</v>
      </c>
      <c r="E1302" t="s">
        <v>3395</v>
      </c>
      <c r="F1302" t="s">
        <v>3396</v>
      </c>
      <c r="G1302" t="s">
        <v>901</v>
      </c>
      <c r="H1302" t="s">
        <v>4864</v>
      </c>
      <c r="I1302" t="s">
        <v>4865</v>
      </c>
      <c r="J1302" t="s">
        <v>904</v>
      </c>
      <c r="K1302" t="s">
        <v>55</v>
      </c>
      <c r="L1302" t="s">
        <v>905</v>
      </c>
      <c r="M1302" t="s">
        <v>57</v>
      </c>
      <c r="N1302" t="str">
        <f>"044420"</f>
        <v>044420</v>
      </c>
      <c r="O1302" t="s">
        <v>2345</v>
      </c>
      <c r="P1302" t="s">
        <v>68</v>
      </c>
      <c r="Q1302">
        <v>40.5</v>
      </c>
      <c r="R1302">
        <v>9.9000000000000057</v>
      </c>
      <c r="S1302" t="s">
        <v>60</v>
      </c>
    </row>
    <row r="1303" spans="1:19" x14ac:dyDescent="0.35">
      <c r="A1303">
        <v>9274</v>
      </c>
      <c r="B1303" t="str">
        <f>"009274"</f>
        <v>009274</v>
      </c>
      <c r="C1303" t="s">
        <v>4814</v>
      </c>
      <c r="D1303" t="s">
        <v>3394</v>
      </c>
      <c r="E1303" t="s">
        <v>3395</v>
      </c>
      <c r="F1303" t="s">
        <v>3396</v>
      </c>
      <c r="G1303" t="s">
        <v>71</v>
      </c>
      <c r="H1303" t="s">
        <v>4866</v>
      </c>
      <c r="I1303" t="s">
        <v>4867</v>
      </c>
      <c r="J1303" t="s">
        <v>991</v>
      </c>
      <c r="K1303" t="s">
        <v>55</v>
      </c>
      <c r="L1303" t="s">
        <v>992</v>
      </c>
      <c r="M1303" t="s">
        <v>57</v>
      </c>
      <c r="N1303" t="str">
        <f>"043893"</f>
        <v>043893</v>
      </c>
      <c r="O1303" t="s">
        <v>988</v>
      </c>
      <c r="P1303" t="s">
        <v>68</v>
      </c>
      <c r="Q1303">
        <v>44.6</v>
      </c>
      <c r="R1303">
        <v>29.200000000000003</v>
      </c>
      <c r="S1303" t="s">
        <v>77</v>
      </c>
    </row>
    <row r="1304" spans="1:19" x14ac:dyDescent="0.35">
      <c r="A1304">
        <v>9282</v>
      </c>
      <c r="B1304" t="str">
        <f>"009282"</f>
        <v>009282</v>
      </c>
      <c r="C1304" t="s">
        <v>4868</v>
      </c>
      <c r="D1304" t="s">
        <v>3394</v>
      </c>
      <c r="E1304" t="s">
        <v>3395</v>
      </c>
      <c r="F1304" t="s">
        <v>3396</v>
      </c>
      <c r="G1304" t="s">
        <v>362</v>
      </c>
      <c r="H1304" t="s">
        <v>4869</v>
      </c>
      <c r="I1304" t="s">
        <v>4870</v>
      </c>
      <c r="J1304" t="s">
        <v>756</v>
      </c>
      <c r="K1304" t="s">
        <v>55</v>
      </c>
      <c r="L1304" t="s">
        <v>757</v>
      </c>
      <c r="M1304" t="s">
        <v>57</v>
      </c>
      <c r="N1304" t="str">
        <f>"043935"</f>
        <v>043935</v>
      </c>
      <c r="O1304" t="s">
        <v>753</v>
      </c>
      <c r="P1304" t="s">
        <v>68</v>
      </c>
      <c r="Q1304">
        <v>44.8</v>
      </c>
      <c r="R1304">
        <v>10.599999999999994</v>
      </c>
      <c r="S1304" t="s">
        <v>180</v>
      </c>
    </row>
    <row r="1305" spans="1:19" x14ac:dyDescent="0.35">
      <c r="A1305">
        <v>9308</v>
      </c>
      <c r="B1305" t="str">
        <f>"009308"</f>
        <v>009308</v>
      </c>
      <c r="C1305" t="s">
        <v>4871</v>
      </c>
      <c r="D1305" t="s">
        <v>3394</v>
      </c>
      <c r="E1305" t="s">
        <v>3395</v>
      </c>
      <c r="F1305" t="s">
        <v>3396</v>
      </c>
      <c r="G1305" t="s">
        <v>554</v>
      </c>
      <c r="H1305" t="s">
        <v>4872</v>
      </c>
      <c r="I1305" t="s">
        <v>4873</v>
      </c>
      <c r="J1305" t="s">
        <v>2223</v>
      </c>
      <c r="K1305" t="s">
        <v>55</v>
      </c>
      <c r="L1305" t="s">
        <v>2224</v>
      </c>
      <c r="M1305" t="s">
        <v>57</v>
      </c>
      <c r="N1305" t="str">
        <f>"044727"</f>
        <v>044727</v>
      </c>
      <c r="O1305" t="s">
        <v>2220</v>
      </c>
      <c r="P1305" t="s">
        <v>68</v>
      </c>
      <c r="Q1305">
        <v>40.9</v>
      </c>
      <c r="R1305">
        <v>10.700000000000003</v>
      </c>
      <c r="S1305" t="s">
        <v>156</v>
      </c>
    </row>
    <row r="1306" spans="1:19" x14ac:dyDescent="0.35">
      <c r="A1306">
        <v>9324</v>
      </c>
      <c r="B1306" t="str">
        <f>"009324"</f>
        <v>009324</v>
      </c>
      <c r="C1306" t="s">
        <v>4874</v>
      </c>
      <c r="D1306" t="s">
        <v>3400</v>
      </c>
      <c r="E1306" t="s">
        <v>3395</v>
      </c>
      <c r="F1306" t="s">
        <v>3396</v>
      </c>
      <c r="G1306" t="s">
        <v>423</v>
      </c>
      <c r="H1306" t="s">
        <v>4875</v>
      </c>
      <c r="I1306" t="s">
        <v>4876</v>
      </c>
      <c r="J1306" t="s">
        <v>2587</v>
      </c>
      <c r="K1306" t="s">
        <v>55</v>
      </c>
      <c r="L1306" t="s">
        <v>2588</v>
      </c>
      <c r="M1306" t="s">
        <v>57</v>
      </c>
      <c r="N1306" t="str">
        <f>"048595"</f>
        <v>048595</v>
      </c>
      <c r="O1306" t="s">
        <v>2584</v>
      </c>
      <c r="P1306" t="s">
        <v>68</v>
      </c>
      <c r="Q1306">
        <v>11.8</v>
      </c>
      <c r="R1306">
        <v>3.2000000000000028</v>
      </c>
      <c r="S1306" t="s">
        <v>156</v>
      </c>
    </row>
    <row r="1307" spans="1:19" x14ac:dyDescent="0.35">
      <c r="A1307">
        <v>9340</v>
      </c>
      <c r="B1307" t="str">
        <f>"009340"</f>
        <v>009340</v>
      </c>
      <c r="C1307" t="s">
        <v>4877</v>
      </c>
      <c r="D1307" t="s">
        <v>3394</v>
      </c>
      <c r="E1307" t="s">
        <v>3395</v>
      </c>
      <c r="F1307" t="s">
        <v>3396</v>
      </c>
      <c r="G1307" t="s">
        <v>92</v>
      </c>
      <c r="H1307" t="s">
        <v>4878</v>
      </c>
      <c r="I1307" t="s">
        <v>4879</v>
      </c>
      <c r="J1307" t="s">
        <v>1940</v>
      </c>
      <c r="K1307" t="s">
        <v>55</v>
      </c>
      <c r="L1307" t="s">
        <v>1941</v>
      </c>
      <c r="M1307" t="s">
        <v>57</v>
      </c>
      <c r="N1307" t="str">
        <f>"044206"</f>
        <v>044206</v>
      </c>
      <c r="O1307" t="s">
        <v>2980</v>
      </c>
      <c r="P1307" t="s">
        <v>68</v>
      </c>
      <c r="Q1307">
        <v>54</v>
      </c>
      <c r="R1307">
        <v>16.099999999999994</v>
      </c>
      <c r="S1307" t="s">
        <v>60</v>
      </c>
    </row>
    <row r="1308" spans="1:19" x14ac:dyDescent="0.35">
      <c r="A1308">
        <v>9365</v>
      </c>
      <c r="B1308" t="str">
        <f>"009365"</f>
        <v>009365</v>
      </c>
      <c r="C1308" t="s">
        <v>4880</v>
      </c>
      <c r="D1308" t="s">
        <v>3394</v>
      </c>
      <c r="E1308" t="s">
        <v>3395</v>
      </c>
      <c r="F1308" t="s">
        <v>3396</v>
      </c>
      <c r="G1308" t="s">
        <v>175</v>
      </c>
      <c r="H1308" t="s">
        <v>4881</v>
      </c>
      <c r="I1308" t="s">
        <v>4882</v>
      </c>
      <c r="J1308" t="s">
        <v>178</v>
      </c>
      <c r="K1308" t="s">
        <v>55</v>
      </c>
      <c r="L1308" t="s">
        <v>179</v>
      </c>
      <c r="M1308" t="s">
        <v>57</v>
      </c>
      <c r="N1308" t="str">
        <f>"044099"</f>
        <v>044099</v>
      </c>
      <c r="O1308" t="s">
        <v>174</v>
      </c>
      <c r="P1308" t="s">
        <v>68</v>
      </c>
      <c r="Q1308">
        <v>50.4</v>
      </c>
      <c r="R1308">
        <v>6.7000000000000028</v>
      </c>
      <c r="S1308" t="s">
        <v>180</v>
      </c>
    </row>
    <row r="1309" spans="1:19" x14ac:dyDescent="0.35">
      <c r="A1309">
        <v>9373</v>
      </c>
      <c r="B1309" t="str">
        <f>"009373"</f>
        <v>009373</v>
      </c>
      <c r="C1309" t="s">
        <v>4883</v>
      </c>
      <c r="D1309" t="s">
        <v>3400</v>
      </c>
      <c r="E1309" t="s">
        <v>3395</v>
      </c>
      <c r="F1309" t="s">
        <v>3396</v>
      </c>
      <c r="G1309" t="s">
        <v>1335</v>
      </c>
      <c r="H1309" t="s">
        <v>4884</v>
      </c>
      <c r="I1309" t="s">
        <v>4885</v>
      </c>
      <c r="J1309" t="s">
        <v>1338</v>
      </c>
      <c r="K1309" t="s">
        <v>55</v>
      </c>
      <c r="L1309" t="s">
        <v>1339</v>
      </c>
      <c r="M1309" t="s">
        <v>57</v>
      </c>
      <c r="N1309" t="str">
        <f>"045294"</f>
        <v>045294</v>
      </c>
      <c r="O1309" t="s">
        <v>3352</v>
      </c>
      <c r="P1309" t="s">
        <v>68</v>
      </c>
      <c r="Q1309">
        <v>47.2</v>
      </c>
      <c r="R1309">
        <v>5.2999999999999972</v>
      </c>
      <c r="S1309" t="s">
        <v>130</v>
      </c>
    </row>
    <row r="1310" spans="1:19" x14ac:dyDescent="0.35">
      <c r="A1310">
        <v>9381</v>
      </c>
      <c r="B1310" t="str">
        <f>"009381"</f>
        <v>009381</v>
      </c>
      <c r="C1310" t="s">
        <v>4886</v>
      </c>
      <c r="D1310" t="s">
        <v>3394</v>
      </c>
      <c r="E1310" t="s">
        <v>3395</v>
      </c>
      <c r="F1310" t="s">
        <v>3396</v>
      </c>
      <c r="G1310" t="s">
        <v>423</v>
      </c>
      <c r="H1310" t="s">
        <v>4887</v>
      </c>
      <c r="I1310" t="s">
        <v>4888</v>
      </c>
      <c r="J1310" t="s">
        <v>426</v>
      </c>
      <c r="K1310" t="s">
        <v>55</v>
      </c>
      <c r="L1310" t="s">
        <v>427</v>
      </c>
      <c r="M1310" t="s">
        <v>57</v>
      </c>
      <c r="N1310" t="str">
        <f>"043729"</f>
        <v>043729</v>
      </c>
      <c r="O1310" t="s">
        <v>1485</v>
      </c>
      <c r="P1310" t="s">
        <v>68</v>
      </c>
      <c r="Q1310">
        <v>52.5</v>
      </c>
      <c r="R1310">
        <v>17.299999999999997</v>
      </c>
      <c r="S1310" t="s">
        <v>156</v>
      </c>
    </row>
    <row r="1311" spans="1:19" x14ac:dyDescent="0.35">
      <c r="A1311">
        <v>9407</v>
      </c>
      <c r="B1311" t="str">
        <f>"009407"</f>
        <v>009407</v>
      </c>
      <c r="C1311" t="s">
        <v>4889</v>
      </c>
      <c r="D1311" t="s">
        <v>3394</v>
      </c>
      <c r="E1311" t="s">
        <v>3395</v>
      </c>
      <c r="F1311" t="s">
        <v>3396</v>
      </c>
      <c r="G1311" t="s">
        <v>194</v>
      </c>
      <c r="H1311" t="s">
        <v>4890</v>
      </c>
      <c r="I1311" t="s">
        <v>4891</v>
      </c>
      <c r="J1311" t="s">
        <v>1225</v>
      </c>
      <c r="K1311" t="s">
        <v>55</v>
      </c>
      <c r="L1311" t="s">
        <v>1226</v>
      </c>
      <c r="M1311" t="s">
        <v>57</v>
      </c>
      <c r="N1311" t="str">
        <f>"049148"</f>
        <v>049148</v>
      </c>
      <c r="O1311" t="s">
        <v>1222</v>
      </c>
      <c r="P1311" t="s">
        <v>68</v>
      </c>
      <c r="Q1311">
        <v>100</v>
      </c>
      <c r="R1311">
        <v>4.5999999999999943</v>
      </c>
      <c r="S1311" t="s">
        <v>130</v>
      </c>
    </row>
    <row r="1312" spans="1:19" x14ac:dyDescent="0.35">
      <c r="A1312">
        <v>9423</v>
      </c>
      <c r="B1312" t="str">
        <f>"009423"</f>
        <v>009423</v>
      </c>
      <c r="C1312" t="s">
        <v>4892</v>
      </c>
      <c r="D1312" t="s">
        <v>3394</v>
      </c>
      <c r="E1312" t="s">
        <v>3395</v>
      </c>
      <c r="F1312" t="s">
        <v>3396</v>
      </c>
      <c r="G1312" t="s">
        <v>206</v>
      </c>
      <c r="H1312" t="s">
        <v>4893</v>
      </c>
      <c r="I1312" t="s">
        <v>4894</v>
      </c>
      <c r="J1312" t="s">
        <v>209</v>
      </c>
      <c r="K1312" t="s">
        <v>55</v>
      </c>
      <c r="L1312" t="s">
        <v>210</v>
      </c>
      <c r="M1312" t="s">
        <v>57</v>
      </c>
      <c r="N1312" t="str">
        <f>"044941"</f>
        <v>044941</v>
      </c>
      <c r="O1312" t="s">
        <v>205</v>
      </c>
      <c r="P1312" t="s">
        <v>68</v>
      </c>
      <c r="Q1312">
        <v>57.7</v>
      </c>
      <c r="R1312">
        <v>18.400000000000006</v>
      </c>
      <c r="S1312" t="s">
        <v>180</v>
      </c>
    </row>
    <row r="1313" spans="1:19" x14ac:dyDescent="0.35">
      <c r="A1313">
        <v>9431</v>
      </c>
      <c r="B1313" t="str">
        <f>"009431"</f>
        <v>009431</v>
      </c>
      <c r="C1313" t="s">
        <v>4814</v>
      </c>
      <c r="D1313" t="s">
        <v>3394</v>
      </c>
      <c r="E1313" t="s">
        <v>3395</v>
      </c>
      <c r="F1313" t="s">
        <v>3396</v>
      </c>
      <c r="G1313" t="s">
        <v>493</v>
      </c>
      <c r="H1313" t="s">
        <v>4895</v>
      </c>
      <c r="I1313" t="s">
        <v>4896</v>
      </c>
      <c r="J1313" t="s">
        <v>493</v>
      </c>
      <c r="K1313" t="s">
        <v>55</v>
      </c>
      <c r="L1313" t="s">
        <v>4897</v>
      </c>
      <c r="M1313" t="s">
        <v>57</v>
      </c>
      <c r="N1313" t="str">
        <f>"043521"</f>
        <v>043521</v>
      </c>
      <c r="O1313" t="s">
        <v>1104</v>
      </c>
      <c r="P1313" t="s">
        <v>68</v>
      </c>
      <c r="Q1313">
        <v>49.5</v>
      </c>
      <c r="R1313">
        <v>15.400000000000006</v>
      </c>
      <c r="S1313" t="s">
        <v>130</v>
      </c>
    </row>
    <row r="1314" spans="1:19" x14ac:dyDescent="0.35">
      <c r="A1314">
        <v>9464</v>
      </c>
      <c r="B1314" t="str">
        <f>"009464"</f>
        <v>009464</v>
      </c>
      <c r="C1314" t="s">
        <v>4814</v>
      </c>
      <c r="D1314" t="s">
        <v>3394</v>
      </c>
      <c r="E1314" t="s">
        <v>3395</v>
      </c>
      <c r="F1314" t="s">
        <v>3396</v>
      </c>
      <c r="G1314" t="s">
        <v>71</v>
      </c>
      <c r="H1314" t="s">
        <v>4898</v>
      </c>
      <c r="I1314" t="s">
        <v>4899</v>
      </c>
      <c r="J1314" t="s">
        <v>88</v>
      </c>
      <c r="K1314" t="s">
        <v>55</v>
      </c>
      <c r="L1314" t="s">
        <v>89</v>
      </c>
      <c r="M1314" t="s">
        <v>57</v>
      </c>
      <c r="N1314" t="str">
        <f>"045542"</f>
        <v>045542</v>
      </c>
      <c r="O1314" t="s">
        <v>85</v>
      </c>
      <c r="P1314" t="s">
        <v>68</v>
      </c>
      <c r="Q1314">
        <v>100</v>
      </c>
      <c r="R1314">
        <v>8.2000000000000028</v>
      </c>
      <c r="S1314" t="s">
        <v>77</v>
      </c>
    </row>
    <row r="1315" spans="1:19" x14ac:dyDescent="0.35">
      <c r="A1315">
        <v>9498</v>
      </c>
      <c r="B1315" t="str">
        <f>"009498"</f>
        <v>009498</v>
      </c>
      <c r="C1315" t="s">
        <v>4900</v>
      </c>
      <c r="D1315" t="s">
        <v>3398</v>
      </c>
      <c r="E1315" t="s">
        <v>3395</v>
      </c>
      <c r="F1315" t="s">
        <v>3396</v>
      </c>
      <c r="G1315" t="s">
        <v>264</v>
      </c>
      <c r="H1315" t="s">
        <v>4901</v>
      </c>
      <c r="I1315" t="s">
        <v>4902</v>
      </c>
      <c r="J1315" t="s">
        <v>267</v>
      </c>
      <c r="K1315" t="s">
        <v>55</v>
      </c>
      <c r="L1315" t="s">
        <v>3658</v>
      </c>
      <c r="M1315" t="s">
        <v>57</v>
      </c>
      <c r="N1315" t="str">
        <f>"043489"</f>
        <v>043489</v>
      </c>
      <c r="O1315" t="s">
        <v>3176</v>
      </c>
      <c r="P1315" t="s">
        <v>68</v>
      </c>
      <c r="Q1315">
        <v>100</v>
      </c>
      <c r="R1315">
        <v>81.8</v>
      </c>
      <c r="S1315" t="s">
        <v>77</v>
      </c>
    </row>
    <row r="1316" spans="1:19" x14ac:dyDescent="0.35">
      <c r="A1316">
        <v>9514</v>
      </c>
      <c r="B1316" t="str">
        <f>"009514"</f>
        <v>009514</v>
      </c>
      <c r="C1316" t="s">
        <v>4903</v>
      </c>
      <c r="D1316" t="s">
        <v>3398</v>
      </c>
      <c r="E1316" t="s">
        <v>3395</v>
      </c>
      <c r="F1316" t="s">
        <v>3396</v>
      </c>
      <c r="G1316" t="s">
        <v>600</v>
      </c>
      <c r="H1316" t="s">
        <v>4904</v>
      </c>
      <c r="I1316" t="s">
        <v>4905</v>
      </c>
      <c r="J1316" t="s">
        <v>1348</v>
      </c>
      <c r="K1316" t="s">
        <v>55</v>
      </c>
      <c r="L1316" t="s">
        <v>4906</v>
      </c>
      <c r="M1316" t="s">
        <v>57</v>
      </c>
      <c r="N1316" t="str">
        <f>"043802"</f>
        <v>043802</v>
      </c>
      <c r="O1316" t="s">
        <v>3171</v>
      </c>
      <c r="P1316" t="s">
        <v>68</v>
      </c>
      <c r="Q1316">
        <v>100</v>
      </c>
      <c r="R1316">
        <v>93.9</v>
      </c>
      <c r="S1316" t="s">
        <v>60</v>
      </c>
    </row>
    <row r="1317" spans="1:19" x14ac:dyDescent="0.35">
      <c r="A1317">
        <v>9522</v>
      </c>
      <c r="B1317" t="str">
        <f>"009522"</f>
        <v>009522</v>
      </c>
      <c r="C1317" t="s">
        <v>4907</v>
      </c>
      <c r="D1317" t="s">
        <v>3400</v>
      </c>
      <c r="E1317" t="s">
        <v>3395</v>
      </c>
      <c r="F1317" t="s">
        <v>3396</v>
      </c>
      <c r="G1317" t="s">
        <v>63</v>
      </c>
      <c r="H1317" t="s">
        <v>4908</v>
      </c>
      <c r="I1317" t="s">
        <v>4909</v>
      </c>
      <c r="J1317" t="s">
        <v>842</v>
      </c>
      <c r="K1317" t="s">
        <v>55</v>
      </c>
      <c r="L1317" t="s">
        <v>843</v>
      </c>
      <c r="M1317" t="s">
        <v>57</v>
      </c>
      <c r="N1317" t="str">
        <f>"044305"</f>
        <v>044305</v>
      </c>
      <c r="O1317" t="s">
        <v>839</v>
      </c>
      <c r="P1317" t="s">
        <v>68</v>
      </c>
      <c r="Q1317">
        <v>99.6</v>
      </c>
      <c r="R1317">
        <v>100</v>
      </c>
      <c r="S1317" t="s">
        <v>69</v>
      </c>
    </row>
    <row r="1318" spans="1:19" x14ac:dyDescent="0.35">
      <c r="A1318">
        <v>9555</v>
      </c>
      <c r="B1318" t="str">
        <f>"009555"</f>
        <v>009555</v>
      </c>
      <c r="C1318" t="s">
        <v>4910</v>
      </c>
      <c r="D1318" t="s">
        <v>3398</v>
      </c>
      <c r="E1318" t="s">
        <v>3395</v>
      </c>
      <c r="F1318" t="s">
        <v>3396</v>
      </c>
      <c r="G1318" t="s">
        <v>63</v>
      </c>
      <c r="H1318" t="s">
        <v>4911</v>
      </c>
      <c r="I1318" t="s">
        <v>4912</v>
      </c>
      <c r="J1318" t="s">
        <v>285</v>
      </c>
      <c r="K1318" t="s">
        <v>55</v>
      </c>
      <c r="L1318" t="s">
        <v>3525</v>
      </c>
      <c r="M1318" t="s">
        <v>57</v>
      </c>
      <c r="N1318" t="str">
        <f>"043786"</f>
        <v>043786</v>
      </c>
      <c r="O1318" t="s">
        <v>1340</v>
      </c>
      <c r="P1318" t="s">
        <v>68</v>
      </c>
      <c r="Q1318">
        <v>100</v>
      </c>
      <c r="R1318">
        <v>93.9</v>
      </c>
      <c r="S1318" t="s">
        <v>69</v>
      </c>
    </row>
    <row r="1319" spans="1:19" x14ac:dyDescent="0.35">
      <c r="A1319">
        <v>9571</v>
      </c>
      <c r="B1319" t="str">
        <f>"009571"</f>
        <v>009571</v>
      </c>
      <c r="C1319" t="s">
        <v>4913</v>
      </c>
      <c r="D1319" t="s">
        <v>3398</v>
      </c>
      <c r="E1319" t="s">
        <v>3395</v>
      </c>
      <c r="F1319" t="s">
        <v>3396</v>
      </c>
      <c r="G1319" t="s">
        <v>966</v>
      </c>
      <c r="H1319" t="s">
        <v>4914</v>
      </c>
      <c r="I1319" t="s">
        <v>4915</v>
      </c>
      <c r="J1319" t="s">
        <v>3303</v>
      </c>
      <c r="K1319" t="s">
        <v>55</v>
      </c>
      <c r="L1319" t="s">
        <v>3304</v>
      </c>
      <c r="M1319" t="s">
        <v>57</v>
      </c>
      <c r="N1319" t="str">
        <f>"048512"</f>
        <v>048512</v>
      </c>
      <c r="O1319" t="s">
        <v>3300</v>
      </c>
      <c r="P1319" t="s">
        <v>68</v>
      </c>
      <c r="Q1319">
        <v>35.799999999999997</v>
      </c>
      <c r="R1319">
        <v>3</v>
      </c>
      <c r="S1319" t="s">
        <v>130</v>
      </c>
    </row>
    <row r="1320" spans="1:19" x14ac:dyDescent="0.35">
      <c r="A1320">
        <v>9589</v>
      </c>
      <c r="B1320" t="str">
        <f>"009589"</f>
        <v>009589</v>
      </c>
      <c r="C1320" t="s">
        <v>4913</v>
      </c>
      <c r="D1320" t="s">
        <v>3398</v>
      </c>
      <c r="E1320" t="s">
        <v>3395</v>
      </c>
      <c r="F1320" t="s">
        <v>3396</v>
      </c>
      <c r="G1320" t="s">
        <v>194</v>
      </c>
      <c r="H1320" t="s">
        <v>915</v>
      </c>
      <c r="I1320" t="s">
        <v>916</v>
      </c>
      <c r="J1320" t="s">
        <v>917</v>
      </c>
      <c r="K1320" t="s">
        <v>55</v>
      </c>
      <c r="L1320" t="s">
        <v>918</v>
      </c>
      <c r="M1320" t="s">
        <v>57</v>
      </c>
      <c r="N1320" t="str">
        <f>"049122"</f>
        <v>049122</v>
      </c>
      <c r="O1320" t="s">
        <v>844</v>
      </c>
      <c r="P1320" t="s">
        <v>68</v>
      </c>
      <c r="Q1320">
        <v>97.4</v>
      </c>
      <c r="R1320">
        <v>5.0999999999999943</v>
      </c>
      <c r="S1320" t="s">
        <v>130</v>
      </c>
    </row>
    <row r="1321" spans="1:19" x14ac:dyDescent="0.35">
      <c r="A1321">
        <v>9613</v>
      </c>
      <c r="B1321" t="str">
        <f>"009613"</f>
        <v>009613</v>
      </c>
      <c r="C1321" t="s">
        <v>4916</v>
      </c>
      <c r="D1321" t="s">
        <v>3394</v>
      </c>
      <c r="E1321" t="s">
        <v>3395</v>
      </c>
      <c r="F1321" t="s">
        <v>3396</v>
      </c>
      <c r="G1321" t="s">
        <v>600</v>
      </c>
      <c r="H1321" t="s">
        <v>4917</v>
      </c>
      <c r="I1321" t="s">
        <v>4918</v>
      </c>
      <c r="J1321" t="s">
        <v>1348</v>
      </c>
      <c r="K1321" t="s">
        <v>55</v>
      </c>
      <c r="L1321" t="s">
        <v>3568</v>
      </c>
      <c r="M1321" t="s">
        <v>57</v>
      </c>
      <c r="N1321" t="str">
        <f>"043802"</f>
        <v>043802</v>
      </c>
      <c r="O1321" t="s">
        <v>3171</v>
      </c>
      <c r="P1321" t="s">
        <v>68</v>
      </c>
      <c r="Q1321">
        <v>100</v>
      </c>
      <c r="R1321">
        <v>96.9</v>
      </c>
      <c r="S1321" t="s">
        <v>60</v>
      </c>
    </row>
    <row r="1322" spans="1:19" x14ac:dyDescent="0.35">
      <c r="A1322">
        <v>9621</v>
      </c>
      <c r="B1322" t="str">
        <f>"009621"</f>
        <v>009621</v>
      </c>
      <c r="C1322" t="s">
        <v>4919</v>
      </c>
      <c r="D1322" t="s">
        <v>3400</v>
      </c>
      <c r="E1322" t="s">
        <v>3395</v>
      </c>
      <c r="F1322" t="s">
        <v>3396</v>
      </c>
      <c r="G1322" t="s">
        <v>481</v>
      </c>
      <c r="H1322" t="s">
        <v>4920</v>
      </c>
      <c r="I1322" t="s">
        <v>4921</v>
      </c>
      <c r="J1322" t="s">
        <v>774</v>
      </c>
      <c r="K1322" t="s">
        <v>55</v>
      </c>
      <c r="L1322" t="s">
        <v>775</v>
      </c>
      <c r="M1322" t="s">
        <v>57</v>
      </c>
      <c r="N1322" t="str">
        <f>"045104"</f>
        <v>045104</v>
      </c>
      <c r="O1322" t="s">
        <v>771</v>
      </c>
      <c r="P1322" t="s">
        <v>68</v>
      </c>
      <c r="Q1322">
        <v>45.3</v>
      </c>
      <c r="R1322">
        <v>20.799999999999997</v>
      </c>
      <c r="S1322" t="s">
        <v>69</v>
      </c>
    </row>
    <row r="1323" spans="1:19" x14ac:dyDescent="0.35">
      <c r="A1323">
        <v>9647</v>
      </c>
      <c r="B1323" t="str">
        <f>"009647"</f>
        <v>009647</v>
      </c>
      <c r="C1323" t="s">
        <v>4922</v>
      </c>
      <c r="D1323" t="s">
        <v>3394</v>
      </c>
      <c r="E1323" t="s">
        <v>3395</v>
      </c>
      <c r="F1323" t="s">
        <v>3396</v>
      </c>
      <c r="G1323" t="s">
        <v>543</v>
      </c>
      <c r="H1323" t="s">
        <v>4923</v>
      </c>
      <c r="I1323" t="s">
        <v>4924</v>
      </c>
      <c r="J1323" t="s">
        <v>687</v>
      </c>
      <c r="K1323" t="s">
        <v>55</v>
      </c>
      <c r="L1323" t="s">
        <v>4925</v>
      </c>
      <c r="M1323" t="s">
        <v>57</v>
      </c>
      <c r="N1323" t="str">
        <f>"043844"</f>
        <v>043844</v>
      </c>
      <c r="O1323" t="s">
        <v>985</v>
      </c>
      <c r="P1323" t="s">
        <v>68</v>
      </c>
      <c r="Q1323">
        <v>99.4</v>
      </c>
      <c r="R1323">
        <v>36</v>
      </c>
      <c r="S1323" t="s">
        <v>180</v>
      </c>
    </row>
    <row r="1324" spans="1:19" x14ac:dyDescent="0.35">
      <c r="A1324">
        <v>9688</v>
      </c>
      <c r="B1324" t="str">
        <f>"009688"</f>
        <v>009688</v>
      </c>
      <c r="C1324" t="s">
        <v>4926</v>
      </c>
      <c r="D1324" t="s">
        <v>3394</v>
      </c>
      <c r="E1324" t="s">
        <v>3395</v>
      </c>
      <c r="F1324" t="s">
        <v>3396</v>
      </c>
      <c r="G1324" t="s">
        <v>71</v>
      </c>
      <c r="H1324" t="s">
        <v>4927</v>
      </c>
      <c r="I1324" t="s">
        <v>4928</v>
      </c>
      <c r="J1324" t="s">
        <v>4408</v>
      </c>
      <c r="K1324" t="s">
        <v>55</v>
      </c>
      <c r="L1324" t="s">
        <v>4409</v>
      </c>
      <c r="M1324" t="s">
        <v>57</v>
      </c>
      <c r="N1324" t="str">
        <f>"043778"</f>
        <v>043778</v>
      </c>
      <c r="O1324" t="s">
        <v>70</v>
      </c>
      <c r="P1324" t="s">
        <v>68</v>
      </c>
      <c r="Q1324">
        <v>100</v>
      </c>
      <c r="R1324">
        <v>7.9000000000000057</v>
      </c>
      <c r="S1324" t="s">
        <v>77</v>
      </c>
    </row>
    <row r="1325" spans="1:19" x14ac:dyDescent="0.35">
      <c r="A1325">
        <v>9704</v>
      </c>
      <c r="B1325" t="str">
        <f>"009704"</f>
        <v>009704</v>
      </c>
      <c r="C1325" t="s">
        <v>4929</v>
      </c>
      <c r="D1325" t="s">
        <v>3394</v>
      </c>
      <c r="E1325" t="s">
        <v>3395</v>
      </c>
      <c r="F1325" t="s">
        <v>3396</v>
      </c>
      <c r="G1325" t="s">
        <v>663</v>
      </c>
      <c r="H1325" t="s">
        <v>4930</v>
      </c>
      <c r="I1325" t="s">
        <v>4931</v>
      </c>
      <c r="J1325" t="s">
        <v>666</v>
      </c>
      <c r="K1325" t="s">
        <v>55</v>
      </c>
      <c r="L1325" t="s">
        <v>1994</v>
      </c>
      <c r="M1325" t="s">
        <v>57</v>
      </c>
      <c r="N1325" t="str">
        <f>"049452"</f>
        <v>049452</v>
      </c>
      <c r="O1325" t="s">
        <v>1934</v>
      </c>
      <c r="P1325" t="s">
        <v>68</v>
      </c>
      <c r="Q1325">
        <v>61.1</v>
      </c>
      <c r="R1325">
        <v>16.200000000000003</v>
      </c>
      <c r="S1325" t="s">
        <v>77</v>
      </c>
    </row>
    <row r="1326" spans="1:19" x14ac:dyDescent="0.35">
      <c r="A1326">
        <v>9712</v>
      </c>
      <c r="B1326" t="str">
        <f>"009712"</f>
        <v>009712</v>
      </c>
      <c r="C1326" t="s">
        <v>4929</v>
      </c>
      <c r="D1326" t="s">
        <v>3394</v>
      </c>
      <c r="E1326" t="s">
        <v>3395</v>
      </c>
      <c r="F1326" t="s">
        <v>3396</v>
      </c>
      <c r="G1326" t="s">
        <v>143</v>
      </c>
      <c r="H1326" t="s">
        <v>4932</v>
      </c>
      <c r="I1326" t="s">
        <v>4933</v>
      </c>
      <c r="J1326" t="s">
        <v>1152</v>
      </c>
      <c r="K1326" t="s">
        <v>55</v>
      </c>
      <c r="L1326" t="s">
        <v>1153</v>
      </c>
      <c r="M1326" t="s">
        <v>57</v>
      </c>
      <c r="N1326" t="str">
        <f>"048124"</f>
        <v>048124</v>
      </c>
      <c r="O1326" t="s">
        <v>1149</v>
      </c>
      <c r="P1326" t="s">
        <v>68</v>
      </c>
      <c r="Q1326">
        <v>6</v>
      </c>
      <c r="R1326">
        <v>13.299999999999997</v>
      </c>
      <c r="S1326" t="s">
        <v>69</v>
      </c>
    </row>
    <row r="1327" spans="1:19" x14ac:dyDescent="0.35">
      <c r="A1327">
        <v>9720</v>
      </c>
      <c r="B1327" t="str">
        <f>"009720"</f>
        <v>009720</v>
      </c>
      <c r="C1327" t="s">
        <v>4934</v>
      </c>
      <c r="D1327" t="s">
        <v>3400</v>
      </c>
      <c r="E1327" t="s">
        <v>3395</v>
      </c>
      <c r="F1327" t="s">
        <v>3396</v>
      </c>
      <c r="G1327" t="s">
        <v>264</v>
      </c>
      <c r="H1327" t="s">
        <v>4935</v>
      </c>
      <c r="I1327" t="s">
        <v>4936</v>
      </c>
      <c r="J1327" t="s">
        <v>267</v>
      </c>
      <c r="K1327" t="s">
        <v>55</v>
      </c>
      <c r="L1327" t="s">
        <v>3693</v>
      </c>
      <c r="M1327" t="s">
        <v>57</v>
      </c>
      <c r="N1327" t="str">
        <f>"050054"</f>
        <v>050054</v>
      </c>
      <c r="O1327" t="s">
        <v>2276</v>
      </c>
      <c r="P1327" t="s">
        <v>68</v>
      </c>
      <c r="Q1327">
        <v>4.4000000000000004</v>
      </c>
      <c r="R1327">
        <v>18.799999999999997</v>
      </c>
      <c r="S1327" t="s">
        <v>77</v>
      </c>
    </row>
    <row r="1328" spans="1:19" x14ac:dyDescent="0.35">
      <c r="A1328">
        <v>9738</v>
      </c>
      <c r="B1328" t="str">
        <f>"009738"</f>
        <v>009738</v>
      </c>
      <c r="C1328" t="s">
        <v>4937</v>
      </c>
      <c r="D1328" t="s">
        <v>3394</v>
      </c>
      <c r="E1328" t="s">
        <v>3395</v>
      </c>
      <c r="F1328" t="s">
        <v>3396</v>
      </c>
      <c r="G1328" t="s">
        <v>143</v>
      </c>
      <c r="H1328" t="s">
        <v>4938</v>
      </c>
      <c r="I1328" t="s">
        <v>4939</v>
      </c>
      <c r="J1328" t="s">
        <v>166</v>
      </c>
      <c r="K1328" t="s">
        <v>55</v>
      </c>
      <c r="L1328" t="s">
        <v>167</v>
      </c>
      <c r="M1328" t="s">
        <v>57</v>
      </c>
      <c r="N1328" t="str">
        <f>"044594"</f>
        <v>044594</v>
      </c>
      <c r="O1328" t="s">
        <v>993</v>
      </c>
      <c r="P1328" t="s">
        <v>68</v>
      </c>
      <c r="Q1328">
        <v>53.9</v>
      </c>
      <c r="R1328">
        <v>51.9</v>
      </c>
      <c r="S1328" t="s">
        <v>69</v>
      </c>
    </row>
    <row r="1329" spans="1:19" x14ac:dyDescent="0.35">
      <c r="A1329">
        <v>9779</v>
      </c>
      <c r="B1329" t="str">
        <f>"009779"</f>
        <v>009779</v>
      </c>
      <c r="C1329" t="s">
        <v>4940</v>
      </c>
      <c r="D1329" t="s">
        <v>3398</v>
      </c>
      <c r="E1329" t="s">
        <v>3395</v>
      </c>
      <c r="F1329" t="s">
        <v>3396</v>
      </c>
      <c r="G1329" t="s">
        <v>226</v>
      </c>
      <c r="H1329" t="s">
        <v>4941</v>
      </c>
      <c r="I1329" t="s">
        <v>4942</v>
      </c>
      <c r="J1329" t="s">
        <v>1257</v>
      </c>
      <c r="K1329" t="s">
        <v>55</v>
      </c>
      <c r="L1329" t="s">
        <v>1258</v>
      </c>
      <c r="M1329" t="s">
        <v>57</v>
      </c>
      <c r="N1329" t="str">
        <f>"050674"</f>
        <v>050674</v>
      </c>
      <c r="O1329" t="s">
        <v>1254</v>
      </c>
      <c r="P1329" t="s">
        <v>68</v>
      </c>
      <c r="Q1329">
        <v>16</v>
      </c>
      <c r="R1329">
        <v>7.7000000000000028</v>
      </c>
      <c r="S1329" t="s">
        <v>156</v>
      </c>
    </row>
    <row r="1330" spans="1:19" x14ac:dyDescent="0.35">
      <c r="A1330">
        <v>9787</v>
      </c>
      <c r="B1330" t="str">
        <f>"009787"</f>
        <v>009787</v>
      </c>
      <c r="C1330" t="s">
        <v>4943</v>
      </c>
      <c r="D1330" t="s">
        <v>3394</v>
      </c>
      <c r="E1330" t="s">
        <v>3395</v>
      </c>
      <c r="F1330" t="s">
        <v>3396</v>
      </c>
      <c r="G1330" t="s">
        <v>264</v>
      </c>
      <c r="H1330" t="s">
        <v>4944</v>
      </c>
      <c r="I1330" t="s">
        <v>4945</v>
      </c>
      <c r="J1330" t="s">
        <v>886</v>
      </c>
      <c r="K1330" t="s">
        <v>55</v>
      </c>
      <c r="L1330" t="s">
        <v>887</v>
      </c>
      <c r="M1330" t="s">
        <v>57</v>
      </c>
      <c r="N1330" t="str">
        <f>"050047"</f>
        <v>050047</v>
      </c>
      <c r="O1330" t="s">
        <v>883</v>
      </c>
      <c r="P1330" t="s">
        <v>68</v>
      </c>
      <c r="Q1330">
        <v>17.5</v>
      </c>
      <c r="R1330">
        <v>25.799999999999997</v>
      </c>
      <c r="S1330" t="s">
        <v>77</v>
      </c>
    </row>
    <row r="1331" spans="1:19" x14ac:dyDescent="0.35">
      <c r="A1331">
        <v>9803</v>
      </c>
      <c r="B1331" t="str">
        <f>"009803"</f>
        <v>009803</v>
      </c>
      <c r="C1331" t="s">
        <v>4946</v>
      </c>
      <c r="D1331" t="s">
        <v>3398</v>
      </c>
      <c r="E1331" t="s">
        <v>3395</v>
      </c>
      <c r="F1331" t="s">
        <v>3396</v>
      </c>
      <c r="G1331" t="s">
        <v>362</v>
      </c>
      <c r="H1331" t="s">
        <v>4947</v>
      </c>
      <c r="I1331" t="s">
        <v>4948</v>
      </c>
      <c r="J1331" t="s">
        <v>756</v>
      </c>
      <c r="K1331" t="s">
        <v>55</v>
      </c>
      <c r="L1331" t="s">
        <v>757</v>
      </c>
      <c r="M1331" t="s">
        <v>57</v>
      </c>
      <c r="N1331" t="str">
        <f>"043935"</f>
        <v>043935</v>
      </c>
      <c r="O1331" t="s">
        <v>753</v>
      </c>
      <c r="P1331" t="s">
        <v>68</v>
      </c>
      <c r="Q1331">
        <v>33.799999999999997</v>
      </c>
      <c r="R1331">
        <v>7.5</v>
      </c>
      <c r="S1331" t="s">
        <v>180</v>
      </c>
    </row>
    <row r="1332" spans="1:19" x14ac:dyDescent="0.35">
      <c r="A1332">
        <v>9829</v>
      </c>
      <c r="B1332" t="str">
        <f>"009829"</f>
        <v>009829</v>
      </c>
      <c r="C1332" t="s">
        <v>4949</v>
      </c>
      <c r="D1332" t="s">
        <v>3394</v>
      </c>
      <c r="E1332" t="s">
        <v>3395</v>
      </c>
      <c r="F1332" t="s">
        <v>3396</v>
      </c>
      <c r="G1332" t="s">
        <v>264</v>
      </c>
      <c r="H1332" t="s">
        <v>4950</v>
      </c>
      <c r="I1332" t="s">
        <v>4951</v>
      </c>
      <c r="J1332" t="s">
        <v>1210</v>
      </c>
      <c r="K1332" t="s">
        <v>55</v>
      </c>
      <c r="L1332" t="s">
        <v>1211</v>
      </c>
      <c r="M1332" t="s">
        <v>57</v>
      </c>
      <c r="N1332" t="str">
        <f>"044834"</f>
        <v>044834</v>
      </c>
      <c r="O1332" t="s">
        <v>1207</v>
      </c>
      <c r="P1332" t="s">
        <v>68</v>
      </c>
      <c r="Q1332">
        <v>33.1</v>
      </c>
      <c r="R1332">
        <v>22.099999999999994</v>
      </c>
      <c r="S1332" t="s">
        <v>77</v>
      </c>
    </row>
    <row r="1333" spans="1:19" x14ac:dyDescent="0.35">
      <c r="A1333">
        <v>9886</v>
      </c>
      <c r="B1333" t="str">
        <f>"009886"</f>
        <v>009886</v>
      </c>
      <c r="C1333" t="s">
        <v>4952</v>
      </c>
      <c r="D1333" t="s">
        <v>3394</v>
      </c>
      <c r="E1333" t="s">
        <v>3395</v>
      </c>
      <c r="F1333" t="s">
        <v>3396</v>
      </c>
      <c r="G1333" t="s">
        <v>1118</v>
      </c>
      <c r="H1333" t="s">
        <v>2476</v>
      </c>
      <c r="I1333" t="s">
        <v>2477</v>
      </c>
      <c r="J1333" t="s">
        <v>2478</v>
      </c>
      <c r="K1333" t="s">
        <v>55</v>
      </c>
      <c r="L1333" t="s">
        <v>2479</v>
      </c>
      <c r="M1333" t="s">
        <v>57</v>
      </c>
      <c r="N1333" t="str">
        <f>"050617"</f>
        <v>050617</v>
      </c>
      <c r="O1333" t="s">
        <v>2475</v>
      </c>
      <c r="P1333" t="s">
        <v>68</v>
      </c>
      <c r="Q1333">
        <v>36</v>
      </c>
      <c r="R1333">
        <v>8.7999999999999972</v>
      </c>
      <c r="S1333" t="s">
        <v>156</v>
      </c>
    </row>
    <row r="1334" spans="1:19" x14ac:dyDescent="0.35">
      <c r="A1334">
        <v>9894</v>
      </c>
      <c r="B1334" t="str">
        <f>"009894"</f>
        <v>009894</v>
      </c>
      <c r="C1334" t="s">
        <v>4953</v>
      </c>
      <c r="D1334" t="s">
        <v>3398</v>
      </c>
      <c r="E1334" t="s">
        <v>3395</v>
      </c>
      <c r="F1334" t="s">
        <v>3396</v>
      </c>
      <c r="G1334" t="s">
        <v>1118</v>
      </c>
      <c r="H1334" t="s">
        <v>2476</v>
      </c>
      <c r="I1334" t="s">
        <v>2477</v>
      </c>
      <c r="J1334" t="s">
        <v>2478</v>
      </c>
      <c r="K1334" t="s">
        <v>55</v>
      </c>
      <c r="L1334" t="s">
        <v>2479</v>
      </c>
      <c r="M1334" t="s">
        <v>57</v>
      </c>
      <c r="N1334" t="str">
        <f>"050617"</f>
        <v>050617</v>
      </c>
      <c r="O1334" t="s">
        <v>2475</v>
      </c>
      <c r="P1334" t="s">
        <v>68</v>
      </c>
      <c r="Q1334">
        <v>32.799999999999997</v>
      </c>
      <c r="R1334">
        <v>7.5999999999999943</v>
      </c>
      <c r="S1334" t="s">
        <v>156</v>
      </c>
    </row>
    <row r="1335" spans="1:19" x14ac:dyDescent="0.35">
      <c r="A1335">
        <v>9902</v>
      </c>
      <c r="B1335" t="str">
        <f>"009902"</f>
        <v>009902</v>
      </c>
      <c r="C1335" t="s">
        <v>4954</v>
      </c>
      <c r="D1335" t="s">
        <v>3394</v>
      </c>
      <c r="E1335" t="s">
        <v>3395</v>
      </c>
      <c r="F1335" t="s">
        <v>3396</v>
      </c>
      <c r="G1335" t="s">
        <v>200</v>
      </c>
      <c r="H1335" t="s">
        <v>4955</v>
      </c>
      <c r="I1335" t="s">
        <v>4956</v>
      </c>
      <c r="J1335" t="s">
        <v>304</v>
      </c>
      <c r="K1335" t="s">
        <v>55</v>
      </c>
      <c r="L1335" t="s">
        <v>4350</v>
      </c>
      <c r="M1335" t="s">
        <v>57</v>
      </c>
      <c r="N1335" t="str">
        <f>"044909"</f>
        <v>044909</v>
      </c>
      <c r="O1335" t="s">
        <v>3318</v>
      </c>
      <c r="P1335" t="s">
        <v>68</v>
      </c>
      <c r="Q1335">
        <v>86.2</v>
      </c>
      <c r="R1335">
        <v>31.400000000000006</v>
      </c>
      <c r="S1335" t="s">
        <v>156</v>
      </c>
    </row>
    <row r="1336" spans="1:19" x14ac:dyDescent="0.35">
      <c r="A1336">
        <v>9910</v>
      </c>
      <c r="B1336" t="str">
        <f>"009910"</f>
        <v>009910</v>
      </c>
      <c r="C1336" t="s">
        <v>4957</v>
      </c>
      <c r="D1336" t="s">
        <v>3400</v>
      </c>
      <c r="E1336" t="s">
        <v>3395</v>
      </c>
      <c r="F1336" t="s">
        <v>3396</v>
      </c>
      <c r="G1336" t="s">
        <v>187</v>
      </c>
      <c r="H1336" t="s">
        <v>4958</v>
      </c>
      <c r="I1336" t="s">
        <v>4959</v>
      </c>
      <c r="J1336" t="s">
        <v>309</v>
      </c>
      <c r="K1336" t="s">
        <v>55</v>
      </c>
      <c r="L1336" t="s">
        <v>310</v>
      </c>
      <c r="M1336" t="s">
        <v>57</v>
      </c>
      <c r="N1336" t="str">
        <f>"045120"</f>
        <v>045120</v>
      </c>
      <c r="O1336" t="s">
        <v>306</v>
      </c>
      <c r="P1336" t="s">
        <v>68</v>
      </c>
      <c r="Q1336">
        <v>43.6</v>
      </c>
      <c r="R1336">
        <v>16.700000000000003</v>
      </c>
      <c r="S1336" t="s">
        <v>77</v>
      </c>
    </row>
    <row r="1337" spans="1:19" x14ac:dyDescent="0.35">
      <c r="A1337">
        <v>9928</v>
      </c>
      <c r="B1337" t="str">
        <f>"009928"</f>
        <v>009928</v>
      </c>
      <c r="C1337" t="s">
        <v>4960</v>
      </c>
      <c r="D1337" t="s">
        <v>3394</v>
      </c>
      <c r="E1337" t="s">
        <v>3395</v>
      </c>
      <c r="F1337" t="s">
        <v>3396</v>
      </c>
      <c r="G1337" t="s">
        <v>1948</v>
      </c>
      <c r="H1337" t="s">
        <v>4961</v>
      </c>
      <c r="I1337" t="s">
        <v>4962</v>
      </c>
      <c r="J1337" t="s">
        <v>1951</v>
      </c>
      <c r="K1337" t="s">
        <v>55</v>
      </c>
      <c r="L1337" t="s">
        <v>1952</v>
      </c>
      <c r="M1337" t="s">
        <v>57</v>
      </c>
      <c r="N1337" t="str">
        <f>"045476"</f>
        <v>045476</v>
      </c>
      <c r="O1337" t="s">
        <v>1947</v>
      </c>
      <c r="P1337" t="s">
        <v>68</v>
      </c>
      <c r="Q1337">
        <v>25.7</v>
      </c>
      <c r="R1337">
        <v>21.5</v>
      </c>
      <c r="S1337" t="s">
        <v>60</v>
      </c>
    </row>
    <row r="1338" spans="1:19" x14ac:dyDescent="0.35">
      <c r="A1338">
        <v>9936</v>
      </c>
      <c r="B1338" t="str">
        <f>"009936"</f>
        <v>009936</v>
      </c>
      <c r="C1338" t="s">
        <v>4963</v>
      </c>
      <c r="D1338" t="s">
        <v>3398</v>
      </c>
      <c r="E1338" t="s">
        <v>3395</v>
      </c>
      <c r="F1338" t="s">
        <v>3396</v>
      </c>
      <c r="G1338" t="s">
        <v>132</v>
      </c>
      <c r="H1338" t="s">
        <v>4964</v>
      </c>
      <c r="I1338" t="s">
        <v>4965</v>
      </c>
      <c r="J1338" t="s">
        <v>132</v>
      </c>
      <c r="K1338" t="s">
        <v>55</v>
      </c>
      <c r="L1338" t="s">
        <v>184</v>
      </c>
      <c r="M1338" t="s">
        <v>57</v>
      </c>
      <c r="N1338" t="str">
        <f>"045856"</f>
        <v>045856</v>
      </c>
      <c r="O1338" t="s">
        <v>181</v>
      </c>
      <c r="P1338" t="s">
        <v>68</v>
      </c>
      <c r="Q1338">
        <v>45.5</v>
      </c>
      <c r="R1338">
        <v>15.700000000000003</v>
      </c>
      <c r="S1338" t="s">
        <v>69</v>
      </c>
    </row>
    <row r="1339" spans="1:19" x14ac:dyDescent="0.35">
      <c r="A1339">
        <v>9944</v>
      </c>
      <c r="B1339" t="str">
        <f>"009944"</f>
        <v>009944</v>
      </c>
      <c r="C1339" t="s">
        <v>4966</v>
      </c>
      <c r="D1339" t="s">
        <v>3400</v>
      </c>
      <c r="E1339" t="s">
        <v>3395</v>
      </c>
      <c r="F1339" t="s">
        <v>3396</v>
      </c>
      <c r="G1339" t="s">
        <v>132</v>
      </c>
      <c r="H1339" t="s">
        <v>182</v>
      </c>
      <c r="I1339" t="s">
        <v>183</v>
      </c>
      <c r="J1339" t="s">
        <v>132</v>
      </c>
      <c r="K1339" t="s">
        <v>55</v>
      </c>
      <c r="L1339" t="s">
        <v>184</v>
      </c>
      <c r="M1339" t="s">
        <v>57</v>
      </c>
      <c r="N1339" t="str">
        <f>"045856"</f>
        <v>045856</v>
      </c>
      <c r="O1339" t="s">
        <v>181</v>
      </c>
      <c r="P1339" t="s">
        <v>68</v>
      </c>
      <c r="Q1339">
        <v>49.9</v>
      </c>
      <c r="R1339">
        <v>19.099999999999994</v>
      </c>
      <c r="S1339" t="s">
        <v>69</v>
      </c>
    </row>
    <row r="1340" spans="1:19" x14ac:dyDescent="0.35">
      <c r="A1340">
        <v>9985</v>
      </c>
      <c r="B1340" t="str">
        <f>"009985"</f>
        <v>009985</v>
      </c>
      <c r="C1340" t="s">
        <v>4967</v>
      </c>
      <c r="D1340" t="s">
        <v>3394</v>
      </c>
      <c r="E1340" t="s">
        <v>3395</v>
      </c>
      <c r="F1340" t="s">
        <v>3396</v>
      </c>
      <c r="G1340" t="s">
        <v>481</v>
      </c>
      <c r="H1340" t="s">
        <v>4968</v>
      </c>
      <c r="I1340" t="s">
        <v>4969</v>
      </c>
      <c r="J1340" t="s">
        <v>4970</v>
      </c>
      <c r="K1340" t="s">
        <v>55</v>
      </c>
      <c r="L1340" t="s">
        <v>1822</v>
      </c>
      <c r="M1340" t="s">
        <v>57</v>
      </c>
      <c r="N1340" t="str">
        <f>"045104"</f>
        <v>045104</v>
      </c>
      <c r="O1340" t="s">
        <v>771</v>
      </c>
      <c r="P1340" t="s">
        <v>68</v>
      </c>
      <c r="Q1340">
        <v>38.9</v>
      </c>
      <c r="R1340">
        <v>43.5</v>
      </c>
      <c r="S1340" t="s">
        <v>69</v>
      </c>
    </row>
    <row r="1341" spans="1:19" x14ac:dyDescent="0.35">
      <c r="A1341">
        <v>10025</v>
      </c>
      <c r="B1341" t="str">
        <f>"010025"</f>
        <v>010025</v>
      </c>
      <c r="C1341" t="s">
        <v>4967</v>
      </c>
      <c r="D1341" t="s">
        <v>3394</v>
      </c>
      <c r="E1341" t="s">
        <v>3395</v>
      </c>
      <c r="F1341" t="s">
        <v>3396</v>
      </c>
      <c r="G1341" t="s">
        <v>855</v>
      </c>
      <c r="H1341" t="s">
        <v>4971</v>
      </c>
      <c r="I1341" t="s">
        <v>4972</v>
      </c>
      <c r="J1341" t="s">
        <v>855</v>
      </c>
      <c r="K1341" t="s">
        <v>55</v>
      </c>
      <c r="L1341" t="s">
        <v>1457</v>
      </c>
      <c r="M1341" t="s">
        <v>57</v>
      </c>
      <c r="N1341" t="str">
        <f>"043505"</f>
        <v>043505</v>
      </c>
      <c r="O1341" t="s">
        <v>3139</v>
      </c>
      <c r="P1341" t="s">
        <v>68</v>
      </c>
      <c r="Q1341">
        <v>52.3</v>
      </c>
      <c r="R1341">
        <v>7.2999999999999972</v>
      </c>
      <c r="S1341" t="s">
        <v>77</v>
      </c>
    </row>
    <row r="1342" spans="1:19" x14ac:dyDescent="0.35">
      <c r="A1342">
        <v>10033</v>
      </c>
      <c r="B1342" t="str">
        <f>"010033"</f>
        <v>010033</v>
      </c>
      <c r="C1342" t="s">
        <v>4967</v>
      </c>
      <c r="D1342" t="s">
        <v>3394</v>
      </c>
      <c r="E1342" t="s">
        <v>3395</v>
      </c>
      <c r="F1342" t="s">
        <v>3396</v>
      </c>
      <c r="G1342" t="s">
        <v>543</v>
      </c>
      <c r="H1342" t="s">
        <v>4973</v>
      </c>
      <c r="I1342" t="s">
        <v>4974</v>
      </c>
      <c r="J1342" t="s">
        <v>687</v>
      </c>
      <c r="K1342" t="s">
        <v>55</v>
      </c>
      <c r="L1342" t="s">
        <v>786</v>
      </c>
      <c r="M1342" t="s">
        <v>57</v>
      </c>
      <c r="N1342" t="str">
        <f>"043844"</f>
        <v>043844</v>
      </c>
      <c r="O1342" t="s">
        <v>985</v>
      </c>
      <c r="P1342" t="s">
        <v>68</v>
      </c>
      <c r="Q1342">
        <v>97.1</v>
      </c>
      <c r="R1342">
        <v>92</v>
      </c>
      <c r="S1342" t="s">
        <v>180</v>
      </c>
    </row>
    <row r="1343" spans="1:19" x14ac:dyDescent="0.35">
      <c r="A1343">
        <v>10041</v>
      </c>
      <c r="B1343" t="str">
        <f>"010041"</f>
        <v>010041</v>
      </c>
      <c r="C1343" t="s">
        <v>4975</v>
      </c>
      <c r="D1343" t="s">
        <v>3398</v>
      </c>
      <c r="E1343" t="s">
        <v>3395</v>
      </c>
      <c r="F1343" t="s">
        <v>3396</v>
      </c>
      <c r="G1343" t="s">
        <v>759</v>
      </c>
      <c r="H1343" t="s">
        <v>4976</v>
      </c>
      <c r="I1343" t="s">
        <v>4977</v>
      </c>
      <c r="J1343" t="s">
        <v>2766</v>
      </c>
      <c r="K1343" t="s">
        <v>55</v>
      </c>
      <c r="L1343" t="s">
        <v>2767</v>
      </c>
      <c r="M1343" t="s">
        <v>57</v>
      </c>
      <c r="N1343" t="str">
        <f>"046789"</f>
        <v>046789</v>
      </c>
      <c r="O1343" t="s">
        <v>2763</v>
      </c>
      <c r="P1343" t="s">
        <v>68</v>
      </c>
      <c r="Q1343">
        <v>29.1</v>
      </c>
      <c r="R1343">
        <v>12</v>
      </c>
      <c r="S1343" t="s">
        <v>69</v>
      </c>
    </row>
    <row r="1344" spans="1:19" x14ac:dyDescent="0.35">
      <c r="A1344">
        <v>10058</v>
      </c>
      <c r="B1344" t="str">
        <f>"010058"</f>
        <v>010058</v>
      </c>
      <c r="C1344" t="s">
        <v>4978</v>
      </c>
      <c r="D1344" t="s">
        <v>3506</v>
      </c>
      <c r="E1344" t="s">
        <v>3395</v>
      </c>
      <c r="F1344" t="s">
        <v>3396</v>
      </c>
      <c r="G1344" t="s">
        <v>117</v>
      </c>
      <c r="H1344" t="s">
        <v>2886</v>
      </c>
      <c r="I1344" t="s">
        <v>2887</v>
      </c>
      <c r="J1344" t="s">
        <v>977</v>
      </c>
      <c r="K1344" t="s">
        <v>55</v>
      </c>
      <c r="L1344" t="s">
        <v>978</v>
      </c>
      <c r="M1344" t="s">
        <v>57</v>
      </c>
      <c r="N1344" t="str">
        <f>"049924"</f>
        <v>049924</v>
      </c>
      <c r="O1344" t="s">
        <v>1548</v>
      </c>
      <c r="P1344" t="s">
        <v>68</v>
      </c>
      <c r="Q1344">
        <v>39.5</v>
      </c>
      <c r="R1344">
        <v>14.5</v>
      </c>
      <c r="S1344" t="s">
        <v>77</v>
      </c>
    </row>
    <row r="1345" spans="1:19" x14ac:dyDescent="0.35">
      <c r="A1345">
        <v>10074</v>
      </c>
      <c r="B1345" t="str">
        <f>"010074"</f>
        <v>010074</v>
      </c>
      <c r="C1345" t="s">
        <v>4979</v>
      </c>
      <c r="D1345" t="s">
        <v>3400</v>
      </c>
      <c r="E1345" t="s">
        <v>3395</v>
      </c>
      <c r="F1345" t="s">
        <v>3396</v>
      </c>
      <c r="G1345" t="s">
        <v>169</v>
      </c>
      <c r="H1345" t="s">
        <v>4980</v>
      </c>
      <c r="I1345" t="s">
        <v>4981</v>
      </c>
      <c r="J1345" t="s">
        <v>2973</v>
      </c>
      <c r="K1345" t="s">
        <v>55</v>
      </c>
      <c r="L1345" t="s">
        <v>2974</v>
      </c>
      <c r="M1345" t="s">
        <v>57</v>
      </c>
      <c r="N1345" t="str">
        <f>"044495"</f>
        <v>044495</v>
      </c>
      <c r="O1345" t="s">
        <v>2970</v>
      </c>
      <c r="P1345" t="s">
        <v>68</v>
      </c>
      <c r="Q1345">
        <v>66.099999999999994</v>
      </c>
      <c r="R1345">
        <v>22.200000000000003</v>
      </c>
      <c r="S1345" t="s">
        <v>77</v>
      </c>
    </row>
    <row r="1346" spans="1:19" x14ac:dyDescent="0.35">
      <c r="A1346">
        <v>10082</v>
      </c>
      <c r="B1346" t="str">
        <f>"010082"</f>
        <v>010082</v>
      </c>
      <c r="C1346" t="s">
        <v>4982</v>
      </c>
      <c r="D1346" t="s">
        <v>3400</v>
      </c>
      <c r="E1346" t="s">
        <v>3395</v>
      </c>
      <c r="F1346" t="s">
        <v>3396</v>
      </c>
      <c r="G1346" t="s">
        <v>1193</v>
      </c>
      <c r="H1346" t="s">
        <v>4983</v>
      </c>
      <c r="I1346" t="s">
        <v>4984</v>
      </c>
      <c r="J1346" t="s">
        <v>2728</v>
      </c>
      <c r="K1346" t="s">
        <v>55</v>
      </c>
      <c r="L1346" t="s">
        <v>2729</v>
      </c>
      <c r="M1346" t="s">
        <v>57</v>
      </c>
      <c r="N1346" t="str">
        <f>"045773"</f>
        <v>045773</v>
      </c>
      <c r="O1346" t="s">
        <v>2725</v>
      </c>
      <c r="P1346" t="s">
        <v>68</v>
      </c>
      <c r="Q1346">
        <v>53.6</v>
      </c>
      <c r="R1346">
        <v>34.5</v>
      </c>
      <c r="S1346" t="s">
        <v>156</v>
      </c>
    </row>
    <row r="1347" spans="1:19" x14ac:dyDescent="0.35">
      <c r="A1347">
        <v>10090</v>
      </c>
      <c r="B1347" t="str">
        <f>"010090"</f>
        <v>010090</v>
      </c>
      <c r="C1347" t="s">
        <v>4985</v>
      </c>
      <c r="D1347" t="s">
        <v>3398</v>
      </c>
      <c r="E1347" t="s">
        <v>3395</v>
      </c>
      <c r="F1347" t="s">
        <v>3396</v>
      </c>
      <c r="G1347" t="s">
        <v>1118</v>
      </c>
      <c r="H1347" t="s">
        <v>1607</v>
      </c>
      <c r="I1347" t="s">
        <v>1608</v>
      </c>
      <c r="J1347" t="s">
        <v>1609</v>
      </c>
      <c r="K1347" t="s">
        <v>55</v>
      </c>
      <c r="L1347" t="s">
        <v>1610</v>
      </c>
      <c r="M1347" t="s">
        <v>57</v>
      </c>
      <c r="N1347" t="str">
        <f>"050625"</f>
        <v>050625</v>
      </c>
      <c r="O1347" t="s">
        <v>1606</v>
      </c>
      <c r="P1347" t="s">
        <v>68</v>
      </c>
      <c r="Q1347">
        <v>26.9</v>
      </c>
      <c r="R1347">
        <v>6.7000000000000028</v>
      </c>
      <c r="S1347" t="s">
        <v>156</v>
      </c>
    </row>
    <row r="1348" spans="1:19" x14ac:dyDescent="0.35">
      <c r="A1348">
        <v>10108</v>
      </c>
      <c r="B1348" t="str">
        <f>"010108"</f>
        <v>010108</v>
      </c>
      <c r="C1348" t="s">
        <v>4986</v>
      </c>
      <c r="D1348" t="s">
        <v>3394</v>
      </c>
      <c r="E1348" t="s">
        <v>3395</v>
      </c>
      <c r="F1348" t="s">
        <v>3396</v>
      </c>
      <c r="G1348" t="s">
        <v>1118</v>
      </c>
      <c r="H1348" t="s">
        <v>1607</v>
      </c>
      <c r="I1348" t="s">
        <v>1608</v>
      </c>
      <c r="J1348" t="s">
        <v>1609</v>
      </c>
      <c r="K1348" t="s">
        <v>55</v>
      </c>
      <c r="L1348" t="s">
        <v>1610</v>
      </c>
      <c r="M1348" t="s">
        <v>57</v>
      </c>
      <c r="N1348" t="str">
        <f>"050625"</f>
        <v>050625</v>
      </c>
      <c r="O1348" t="s">
        <v>1606</v>
      </c>
      <c r="P1348" t="s">
        <v>68</v>
      </c>
      <c r="Q1348">
        <v>36.5</v>
      </c>
      <c r="R1348">
        <v>7.0999999999999943</v>
      </c>
      <c r="S1348" t="s">
        <v>156</v>
      </c>
    </row>
    <row r="1349" spans="1:19" x14ac:dyDescent="0.35">
      <c r="A1349">
        <v>10157</v>
      </c>
      <c r="B1349" t="str">
        <f>"010157"</f>
        <v>010157</v>
      </c>
      <c r="C1349" t="s">
        <v>4987</v>
      </c>
      <c r="D1349" t="s">
        <v>3394</v>
      </c>
      <c r="E1349" t="s">
        <v>3395</v>
      </c>
      <c r="F1349" t="s">
        <v>3396</v>
      </c>
      <c r="G1349" t="s">
        <v>244</v>
      </c>
      <c r="H1349" t="s">
        <v>4988</v>
      </c>
      <c r="I1349" t="s">
        <v>4989</v>
      </c>
      <c r="J1349" t="s">
        <v>212</v>
      </c>
      <c r="K1349" t="s">
        <v>55</v>
      </c>
      <c r="L1349" t="s">
        <v>2312</v>
      </c>
      <c r="M1349" t="s">
        <v>57</v>
      </c>
      <c r="N1349" t="str">
        <f>"046144"</f>
        <v>046144</v>
      </c>
      <c r="O1349" t="s">
        <v>2309</v>
      </c>
      <c r="P1349" t="s">
        <v>68</v>
      </c>
      <c r="Q1349">
        <v>28.6</v>
      </c>
      <c r="R1349">
        <v>5.4000000000000057</v>
      </c>
      <c r="S1349" t="s">
        <v>217</v>
      </c>
    </row>
    <row r="1350" spans="1:19" x14ac:dyDescent="0.35">
      <c r="A1350">
        <v>10173</v>
      </c>
      <c r="B1350" t="str">
        <f>"010173"</f>
        <v>010173</v>
      </c>
      <c r="C1350" t="s">
        <v>4990</v>
      </c>
      <c r="D1350" t="s">
        <v>3398</v>
      </c>
      <c r="E1350" t="s">
        <v>3395</v>
      </c>
      <c r="F1350" t="s">
        <v>3396</v>
      </c>
      <c r="G1350" t="s">
        <v>312</v>
      </c>
      <c r="H1350" t="s">
        <v>4991</v>
      </c>
      <c r="I1350" t="s">
        <v>4992</v>
      </c>
      <c r="J1350" t="s">
        <v>312</v>
      </c>
      <c r="K1350" t="s">
        <v>55</v>
      </c>
      <c r="L1350" t="s">
        <v>315</v>
      </c>
      <c r="M1350" t="s">
        <v>57</v>
      </c>
      <c r="N1350" t="str">
        <f>"048413"</f>
        <v>048413</v>
      </c>
      <c r="O1350" t="s">
        <v>1918</v>
      </c>
      <c r="P1350" t="s">
        <v>68</v>
      </c>
      <c r="Q1350">
        <v>48.2</v>
      </c>
      <c r="R1350">
        <v>7.5</v>
      </c>
      <c r="S1350" t="s">
        <v>156</v>
      </c>
    </row>
    <row r="1351" spans="1:19" x14ac:dyDescent="0.35">
      <c r="A1351">
        <v>10199</v>
      </c>
      <c r="B1351" t="str">
        <f>"010199"</f>
        <v>010199</v>
      </c>
      <c r="C1351" t="s">
        <v>4993</v>
      </c>
      <c r="D1351" t="s">
        <v>3398</v>
      </c>
      <c r="E1351" t="s">
        <v>3395</v>
      </c>
      <c r="F1351" t="s">
        <v>3396</v>
      </c>
      <c r="G1351" t="s">
        <v>1193</v>
      </c>
      <c r="H1351" t="s">
        <v>4994</v>
      </c>
      <c r="I1351" t="s">
        <v>4995</v>
      </c>
      <c r="J1351" t="s">
        <v>2728</v>
      </c>
      <c r="K1351" t="s">
        <v>55</v>
      </c>
      <c r="L1351" t="s">
        <v>2729</v>
      </c>
      <c r="M1351" t="s">
        <v>57</v>
      </c>
      <c r="N1351" t="str">
        <f>"045773"</f>
        <v>045773</v>
      </c>
      <c r="O1351" t="s">
        <v>2725</v>
      </c>
      <c r="P1351" t="s">
        <v>68</v>
      </c>
      <c r="Q1351">
        <v>38.6</v>
      </c>
      <c r="R1351">
        <v>31.700000000000003</v>
      </c>
      <c r="S1351" t="s">
        <v>156</v>
      </c>
    </row>
    <row r="1352" spans="1:19" x14ac:dyDescent="0.35">
      <c r="A1352">
        <v>10207</v>
      </c>
      <c r="B1352" t="str">
        <f>"010207"</f>
        <v>010207</v>
      </c>
      <c r="C1352" t="s">
        <v>4996</v>
      </c>
      <c r="D1352" t="s">
        <v>3394</v>
      </c>
      <c r="E1352" t="s">
        <v>3395</v>
      </c>
      <c r="F1352" t="s">
        <v>3396</v>
      </c>
      <c r="G1352" t="s">
        <v>325</v>
      </c>
      <c r="H1352" t="s">
        <v>4997</v>
      </c>
      <c r="I1352" t="s">
        <v>4998</v>
      </c>
      <c r="J1352" t="s">
        <v>3341</v>
      </c>
      <c r="K1352" t="s">
        <v>55</v>
      </c>
      <c r="L1352" t="s">
        <v>3342</v>
      </c>
      <c r="M1352" t="s">
        <v>57</v>
      </c>
      <c r="N1352" t="str">
        <f>"048629"</f>
        <v>048629</v>
      </c>
      <c r="O1352" t="s">
        <v>3338</v>
      </c>
      <c r="P1352" t="s">
        <v>68</v>
      </c>
      <c r="Q1352">
        <v>15.1</v>
      </c>
      <c r="R1352">
        <v>4</v>
      </c>
      <c r="S1352" t="s">
        <v>180</v>
      </c>
    </row>
    <row r="1353" spans="1:19" x14ac:dyDescent="0.35">
      <c r="A1353">
        <v>10215</v>
      </c>
      <c r="B1353" t="str">
        <f>"010215"</f>
        <v>010215</v>
      </c>
      <c r="C1353" t="s">
        <v>4999</v>
      </c>
      <c r="D1353" t="s">
        <v>3394</v>
      </c>
      <c r="E1353" t="s">
        <v>3395</v>
      </c>
      <c r="F1353" t="s">
        <v>3396</v>
      </c>
      <c r="G1353" t="s">
        <v>264</v>
      </c>
      <c r="H1353" t="s">
        <v>5000</v>
      </c>
      <c r="I1353" t="s">
        <v>5001</v>
      </c>
      <c r="J1353" t="s">
        <v>2497</v>
      </c>
      <c r="K1353" t="s">
        <v>55</v>
      </c>
      <c r="L1353" t="s">
        <v>2498</v>
      </c>
      <c r="M1353" t="s">
        <v>57</v>
      </c>
      <c r="N1353" t="str">
        <f>"043836"</f>
        <v>043836</v>
      </c>
      <c r="O1353" t="s">
        <v>2494</v>
      </c>
      <c r="P1353" t="s">
        <v>68</v>
      </c>
      <c r="Q1353">
        <v>61.7</v>
      </c>
      <c r="R1353">
        <v>40.200000000000003</v>
      </c>
      <c r="S1353" t="s">
        <v>77</v>
      </c>
    </row>
    <row r="1354" spans="1:19" x14ac:dyDescent="0.35">
      <c r="A1354">
        <v>10249</v>
      </c>
      <c r="B1354" t="str">
        <f>"010249"</f>
        <v>010249</v>
      </c>
      <c r="C1354" t="s">
        <v>5002</v>
      </c>
      <c r="D1354" t="s">
        <v>3394</v>
      </c>
      <c r="E1354" t="s">
        <v>3395</v>
      </c>
      <c r="F1354" t="s">
        <v>3396</v>
      </c>
      <c r="G1354" t="s">
        <v>406</v>
      </c>
      <c r="H1354" t="s">
        <v>5003</v>
      </c>
      <c r="I1354" t="s">
        <v>5004</v>
      </c>
      <c r="J1354" t="s">
        <v>406</v>
      </c>
      <c r="K1354" t="s">
        <v>55</v>
      </c>
      <c r="L1354" t="s">
        <v>409</v>
      </c>
      <c r="M1354" t="s">
        <v>57</v>
      </c>
      <c r="N1354" t="str">
        <f>"044388"</f>
        <v>044388</v>
      </c>
      <c r="O1354" t="s">
        <v>3325</v>
      </c>
      <c r="P1354" t="s">
        <v>68</v>
      </c>
      <c r="Q1354">
        <v>22.1</v>
      </c>
      <c r="R1354">
        <v>15.400000000000006</v>
      </c>
      <c r="S1354" t="s">
        <v>77</v>
      </c>
    </row>
    <row r="1355" spans="1:19" x14ac:dyDescent="0.35">
      <c r="A1355">
        <v>10272</v>
      </c>
      <c r="B1355" t="str">
        <f>"010272"</f>
        <v>010272</v>
      </c>
      <c r="C1355" t="s">
        <v>5005</v>
      </c>
      <c r="D1355" t="s">
        <v>3398</v>
      </c>
      <c r="E1355" t="s">
        <v>3395</v>
      </c>
      <c r="F1355" t="s">
        <v>3396</v>
      </c>
      <c r="G1355" t="s">
        <v>264</v>
      </c>
      <c r="H1355" t="s">
        <v>5006</v>
      </c>
      <c r="I1355" t="s">
        <v>5007</v>
      </c>
      <c r="J1355" t="s">
        <v>267</v>
      </c>
      <c r="K1355" t="s">
        <v>55</v>
      </c>
      <c r="L1355" t="s">
        <v>268</v>
      </c>
      <c r="M1355" t="s">
        <v>57</v>
      </c>
      <c r="N1355" t="str">
        <f>"043489"</f>
        <v>043489</v>
      </c>
      <c r="O1355" t="s">
        <v>3176</v>
      </c>
      <c r="P1355" t="s">
        <v>68</v>
      </c>
      <c r="Q1355">
        <v>100</v>
      </c>
      <c r="R1355">
        <v>37.200000000000003</v>
      </c>
      <c r="S1355" t="s">
        <v>77</v>
      </c>
    </row>
    <row r="1356" spans="1:19" x14ac:dyDescent="0.35">
      <c r="A1356">
        <v>10298</v>
      </c>
      <c r="B1356" t="str">
        <f>"010298"</f>
        <v>010298</v>
      </c>
      <c r="C1356" t="s">
        <v>5008</v>
      </c>
      <c r="D1356" t="s">
        <v>3394</v>
      </c>
      <c r="E1356" t="s">
        <v>3395</v>
      </c>
      <c r="F1356" t="s">
        <v>3396</v>
      </c>
      <c r="G1356" t="s">
        <v>383</v>
      </c>
      <c r="H1356" t="s">
        <v>1665</v>
      </c>
      <c r="I1356" t="s">
        <v>1666</v>
      </c>
      <c r="J1356" t="s">
        <v>1667</v>
      </c>
      <c r="K1356" t="s">
        <v>55</v>
      </c>
      <c r="L1356" t="s">
        <v>1668</v>
      </c>
      <c r="M1356" t="s">
        <v>57</v>
      </c>
      <c r="N1356" t="str">
        <f>"048397"</f>
        <v>048397</v>
      </c>
      <c r="O1356" t="s">
        <v>467</v>
      </c>
      <c r="P1356" t="s">
        <v>68</v>
      </c>
      <c r="Q1356">
        <v>19.399999999999999</v>
      </c>
      <c r="R1356">
        <v>3.7999999999999972</v>
      </c>
      <c r="S1356" t="s">
        <v>77</v>
      </c>
    </row>
    <row r="1357" spans="1:19" x14ac:dyDescent="0.35">
      <c r="A1357">
        <v>10306</v>
      </c>
      <c r="B1357" t="str">
        <f>"010306"</f>
        <v>010306</v>
      </c>
      <c r="C1357" t="s">
        <v>5009</v>
      </c>
      <c r="D1357" t="s">
        <v>3394</v>
      </c>
      <c r="E1357" t="s">
        <v>3395</v>
      </c>
      <c r="F1357" t="s">
        <v>3396</v>
      </c>
      <c r="G1357" t="s">
        <v>212</v>
      </c>
      <c r="H1357" t="s">
        <v>5010</v>
      </c>
      <c r="I1357" t="s">
        <v>5011</v>
      </c>
      <c r="J1357" t="s">
        <v>1697</v>
      </c>
      <c r="K1357" t="s">
        <v>55</v>
      </c>
      <c r="L1357" t="s">
        <v>954</v>
      </c>
      <c r="M1357" t="s">
        <v>57</v>
      </c>
      <c r="N1357" t="str">
        <f>"045146"</f>
        <v>045146</v>
      </c>
      <c r="O1357" t="s">
        <v>1694</v>
      </c>
      <c r="P1357" t="s">
        <v>68</v>
      </c>
      <c r="Q1357">
        <v>6.1</v>
      </c>
      <c r="R1357">
        <v>15.299999999999997</v>
      </c>
      <c r="S1357" t="s">
        <v>217</v>
      </c>
    </row>
    <row r="1358" spans="1:19" x14ac:dyDescent="0.35">
      <c r="A1358">
        <v>10314</v>
      </c>
      <c r="B1358" t="str">
        <f>"010314"</f>
        <v>010314</v>
      </c>
      <c r="C1358" t="s">
        <v>5012</v>
      </c>
      <c r="D1358" t="s">
        <v>3400</v>
      </c>
      <c r="E1358" t="s">
        <v>3395</v>
      </c>
      <c r="F1358" t="s">
        <v>3396</v>
      </c>
      <c r="G1358" t="s">
        <v>233</v>
      </c>
      <c r="H1358" t="s">
        <v>5013</v>
      </c>
      <c r="I1358" t="s">
        <v>5014</v>
      </c>
      <c r="J1358" t="s">
        <v>3272</v>
      </c>
      <c r="K1358" t="s">
        <v>55</v>
      </c>
      <c r="L1358" t="s">
        <v>3273</v>
      </c>
      <c r="M1358" t="s">
        <v>57</v>
      </c>
      <c r="N1358" t="str">
        <f>"044347"</f>
        <v>044347</v>
      </c>
      <c r="O1358" t="s">
        <v>3269</v>
      </c>
      <c r="P1358" t="s">
        <v>68</v>
      </c>
      <c r="Q1358">
        <v>63</v>
      </c>
      <c r="R1358">
        <v>13.599999999999994</v>
      </c>
      <c r="S1358" t="s">
        <v>130</v>
      </c>
    </row>
    <row r="1359" spans="1:19" x14ac:dyDescent="0.35">
      <c r="A1359">
        <v>10348</v>
      </c>
      <c r="B1359" t="str">
        <f>"010348"</f>
        <v>010348</v>
      </c>
      <c r="C1359" t="s">
        <v>5015</v>
      </c>
      <c r="D1359" t="s">
        <v>3394</v>
      </c>
      <c r="E1359" t="s">
        <v>3395</v>
      </c>
      <c r="F1359" t="s">
        <v>3396</v>
      </c>
      <c r="G1359" t="s">
        <v>344</v>
      </c>
      <c r="H1359" t="s">
        <v>5016</v>
      </c>
      <c r="I1359" t="s">
        <v>5017</v>
      </c>
      <c r="J1359" t="s">
        <v>3376</v>
      </c>
      <c r="K1359" t="s">
        <v>55</v>
      </c>
      <c r="L1359" t="s">
        <v>3377</v>
      </c>
      <c r="M1359" t="s">
        <v>57</v>
      </c>
      <c r="N1359" t="str">
        <f>"045641"</f>
        <v>045641</v>
      </c>
      <c r="O1359" t="s">
        <v>3373</v>
      </c>
      <c r="P1359" t="s">
        <v>68</v>
      </c>
      <c r="Q1359">
        <v>39.4</v>
      </c>
      <c r="R1359">
        <v>30.200000000000003</v>
      </c>
      <c r="S1359" t="s">
        <v>156</v>
      </c>
    </row>
    <row r="1360" spans="1:19" x14ac:dyDescent="0.35">
      <c r="A1360">
        <v>10355</v>
      </c>
      <c r="B1360" t="str">
        <f>"010355"</f>
        <v>010355</v>
      </c>
      <c r="C1360" t="s">
        <v>5018</v>
      </c>
      <c r="D1360" t="s">
        <v>3394</v>
      </c>
      <c r="E1360" t="s">
        <v>3395</v>
      </c>
      <c r="F1360" t="s">
        <v>3396</v>
      </c>
      <c r="G1360" t="s">
        <v>226</v>
      </c>
      <c r="H1360" t="s">
        <v>5019</v>
      </c>
      <c r="I1360" t="s">
        <v>5020</v>
      </c>
      <c r="J1360" t="s">
        <v>944</v>
      </c>
      <c r="K1360" t="s">
        <v>55</v>
      </c>
      <c r="L1360" t="s">
        <v>945</v>
      </c>
      <c r="M1360" t="s">
        <v>57</v>
      </c>
      <c r="N1360" t="str">
        <f>"045583"</f>
        <v>045583</v>
      </c>
      <c r="O1360" t="s">
        <v>1899</v>
      </c>
      <c r="P1360" t="s">
        <v>68</v>
      </c>
      <c r="Q1360">
        <v>12.5</v>
      </c>
      <c r="R1360">
        <v>24.599999999999994</v>
      </c>
      <c r="S1360" t="s">
        <v>156</v>
      </c>
    </row>
    <row r="1361" spans="1:19" x14ac:dyDescent="0.35">
      <c r="A1361">
        <v>10371</v>
      </c>
      <c r="B1361" t="str">
        <f>"010371"</f>
        <v>010371</v>
      </c>
      <c r="C1361" t="s">
        <v>5021</v>
      </c>
      <c r="D1361" t="s">
        <v>3394</v>
      </c>
      <c r="E1361" t="s">
        <v>3395</v>
      </c>
      <c r="F1361" t="s">
        <v>3396</v>
      </c>
      <c r="G1361" t="s">
        <v>200</v>
      </c>
      <c r="H1361" t="s">
        <v>5022</v>
      </c>
      <c r="I1361" t="s">
        <v>5023</v>
      </c>
      <c r="J1361" t="s">
        <v>304</v>
      </c>
      <c r="K1361" t="s">
        <v>55</v>
      </c>
      <c r="L1361" t="s">
        <v>4721</v>
      </c>
      <c r="M1361" t="s">
        <v>57</v>
      </c>
      <c r="N1361" t="str">
        <f>"044909"</f>
        <v>044909</v>
      </c>
      <c r="O1361" t="s">
        <v>3318</v>
      </c>
      <c r="P1361" t="s">
        <v>68</v>
      </c>
      <c r="Q1361">
        <v>39.9</v>
      </c>
      <c r="R1361">
        <v>41.7</v>
      </c>
      <c r="S1361" t="s">
        <v>156</v>
      </c>
    </row>
    <row r="1362" spans="1:19" x14ac:dyDescent="0.35">
      <c r="A1362">
        <v>10413</v>
      </c>
      <c r="B1362" t="str">
        <f>"010413"</f>
        <v>010413</v>
      </c>
      <c r="C1362" t="s">
        <v>5024</v>
      </c>
      <c r="D1362" t="s">
        <v>3394</v>
      </c>
      <c r="E1362" t="s">
        <v>3395</v>
      </c>
      <c r="F1362" t="s">
        <v>3396</v>
      </c>
      <c r="G1362" t="s">
        <v>63</v>
      </c>
      <c r="H1362" t="s">
        <v>5025</v>
      </c>
      <c r="I1362" t="s">
        <v>5026</v>
      </c>
      <c r="J1362" t="s">
        <v>2834</v>
      </c>
      <c r="K1362" t="s">
        <v>55</v>
      </c>
      <c r="L1362" t="s">
        <v>508</v>
      </c>
      <c r="M1362" t="s">
        <v>57</v>
      </c>
      <c r="N1362" t="str">
        <f>"044040"</f>
        <v>044040</v>
      </c>
      <c r="O1362" t="s">
        <v>2831</v>
      </c>
      <c r="P1362" t="s">
        <v>68</v>
      </c>
      <c r="Q1362">
        <v>99.7</v>
      </c>
      <c r="R1362">
        <v>94.2</v>
      </c>
      <c r="S1362" t="s">
        <v>69</v>
      </c>
    </row>
    <row r="1363" spans="1:19" x14ac:dyDescent="0.35">
      <c r="A1363">
        <v>10421</v>
      </c>
      <c r="B1363" t="str">
        <f>"010421"</f>
        <v>010421</v>
      </c>
      <c r="C1363" t="s">
        <v>5027</v>
      </c>
      <c r="D1363" t="s">
        <v>3398</v>
      </c>
      <c r="E1363" t="s">
        <v>3395</v>
      </c>
      <c r="F1363" t="s">
        <v>3396</v>
      </c>
      <c r="G1363" t="s">
        <v>777</v>
      </c>
      <c r="H1363" t="s">
        <v>5028</v>
      </c>
      <c r="I1363" t="s">
        <v>5029</v>
      </c>
      <c r="J1363" t="s">
        <v>780</v>
      </c>
      <c r="K1363" t="s">
        <v>55</v>
      </c>
      <c r="L1363" t="s">
        <v>894</v>
      </c>
      <c r="M1363" t="s">
        <v>57</v>
      </c>
      <c r="N1363" t="str">
        <f>"044818"</f>
        <v>044818</v>
      </c>
      <c r="O1363" t="s">
        <v>2812</v>
      </c>
      <c r="P1363" t="s">
        <v>68</v>
      </c>
      <c r="Q1363">
        <v>100</v>
      </c>
      <c r="R1363">
        <v>43.3</v>
      </c>
      <c r="S1363" t="s">
        <v>180</v>
      </c>
    </row>
    <row r="1364" spans="1:19" x14ac:dyDescent="0.35">
      <c r="A1364">
        <v>10439</v>
      </c>
      <c r="B1364" t="str">
        <f>"010439"</f>
        <v>010439</v>
      </c>
      <c r="C1364" t="s">
        <v>5030</v>
      </c>
      <c r="D1364" t="s">
        <v>3398</v>
      </c>
      <c r="E1364" t="s">
        <v>3395</v>
      </c>
      <c r="F1364" t="s">
        <v>3396</v>
      </c>
      <c r="G1364" t="s">
        <v>226</v>
      </c>
      <c r="H1364" t="s">
        <v>227</v>
      </c>
      <c r="I1364" t="s">
        <v>228</v>
      </c>
      <c r="J1364" t="s">
        <v>229</v>
      </c>
      <c r="K1364" t="s">
        <v>55</v>
      </c>
      <c r="L1364" t="s">
        <v>230</v>
      </c>
      <c r="M1364" t="s">
        <v>57</v>
      </c>
      <c r="N1364" t="str">
        <f>"050682"</f>
        <v>050682</v>
      </c>
      <c r="O1364" t="s">
        <v>225</v>
      </c>
      <c r="P1364" t="s">
        <v>68</v>
      </c>
      <c r="Q1364">
        <v>21.1</v>
      </c>
      <c r="R1364">
        <v>10.200000000000003</v>
      </c>
      <c r="S1364" t="s">
        <v>156</v>
      </c>
    </row>
    <row r="1365" spans="1:19" x14ac:dyDescent="0.35">
      <c r="A1365">
        <v>10447</v>
      </c>
      <c r="B1365" t="str">
        <f>"010447"</f>
        <v>010447</v>
      </c>
      <c r="C1365" t="s">
        <v>5031</v>
      </c>
      <c r="D1365" t="s">
        <v>3394</v>
      </c>
      <c r="E1365" t="s">
        <v>3395</v>
      </c>
      <c r="F1365" t="s">
        <v>3396</v>
      </c>
      <c r="G1365" t="s">
        <v>212</v>
      </c>
      <c r="H1365" t="s">
        <v>5032</v>
      </c>
      <c r="I1365" t="s">
        <v>5033</v>
      </c>
      <c r="J1365" t="s">
        <v>215</v>
      </c>
      <c r="K1365" t="s">
        <v>55</v>
      </c>
      <c r="L1365" t="s">
        <v>5034</v>
      </c>
      <c r="M1365" t="s">
        <v>57</v>
      </c>
      <c r="N1365" t="str">
        <f>"044719"</f>
        <v>044719</v>
      </c>
      <c r="O1365" t="s">
        <v>732</v>
      </c>
      <c r="P1365" t="s">
        <v>68</v>
      </c>
      <c r="Q1365">
        <v>89.6</v>
      </c>
      <c r="R1365">
        <v>63.4</v>
      </c>
      <c r="S1365" t="s">
        <v>217</v>
      </c>
    </row>
    <row r="1366" spans="1:19" x14ac:dyDescent="0.35">
      <c r="A1366">
        <v>10454</v>
      </c>
      <c r="B1366" t="str">
        <f>"010454"</f>
        <v>010454</v>
      </c>
      <c r="C1366" t="s">
        <v>5035</v>
      </c>
      <c r="D1366" t="s">
        <v>3394</v>
      </c>
      <c r="E1366" t="s">
        <v>3395</v>
      </c>
      <c r="F1366" t="s">
        <v>3396</v>
      </c>
      <c r="G1366" t="s">
        <v>143</v>
      </c>
      <c r="H1366" t="s">
        <v>5036</v>
      </c>
      <c r="I1366" t="s">
        <v>5037</v>
      </c>
      <c r="J1366" t="s">
        <v>528</v>
      </c>
      <c r="K1366" t="s">
        <v>55</v>
      </c>
      <c r="L1366" t="s">
        <v>529</v>
      </c>
      <c r="M1366" t="s">
        <v>57</v>
      </c>
      <c r="N1366" t="str">
        <f>"043943"</f>
        <v>043943</v>
      </c>
      <c r="O1366" t="s">
        <v>525</v>
      </c>
      <c r="P1366" t="s">
        <v>68</v>
      </c>
      <c r="Q1366">
        <v>74.400000000000006</v>
      </c>
      <c r="R1366">
        <v>52.5</v>
      </c>
      <c r="S1366" t="s">
        <v>69</v>
      </c>
    </row>
    <row r="1367" spans="1:19" x14ac:dyDescent="0.35">
      <c r="A1367">
        <v>10462</v>
      </c>
      <c r="B1367" t="str">
        <f>"010462"</f>
        <v>010462</v>
      </c>
      <c r="C1367" t="s">
        <v>5038</v>
      </c>
      <c r="D1367" t="s">
        <v>3398</v>
      </c>
      <c r="E1367" t="s">
        <v>3395</v>
      </c>
      <c r="F1367" t="s">
        <v>3396</v>
      </c>
      <c r="G1367" t="s">
        <v>143</v>
      </c>
      <c r="H1367" t="s">
        <v>5039</v>
      </c>
      <c r="I1367" t="s">
        <v>5040</v>
      </c>
      <c r="J1367" t="s">
        <v>528</v>
      </c>
      <c r="K1367" t="s">
        <v>55</v>
      </c>
      <c r="L1367" t="s">
        <v>529</v>
      </c>
      <c r="M1367" t="s">
        <v>57</v>
      </c>
      <c r="N1367" t="str">
        <f>"043943"</f>
        <v>043943</v>
      </c>
      <c r="O1367" t="s">
        <v>525</v>
      </c>
      <c r="P1367" t="s">
        <v>68</v>
      </c>
      <c r="Q1367">
        <v>58.6</v>
      </c>
      <c r="R1367">
        <v>53.1</v>
      </c>
      <c r="S1367" t="s">
        <v>69</v>
      </c>
    </row>
    <row r="1368" spans="1:19" x14ac:dyDescent="0.35">
      <c r="A1368">
        <v>10504</v>
      </c>
      <c r="B1368" t="str">
        <f>"010504"</f>
        <v>010504</v>
      </c>
      <c r="C1368" t="s">
        <v>5041</v>
      </c>
      <c r="D1368" t="s">
        <v>3394</v>
      </c>
      <c r="E1368" t="s">
        <v>3395</v>
      </c>
      <c r="F1368" t="s">
        <v>3396</v>
      </c>
      <c r="G1368" t="s">
        <v>600</v>
      </c>
      <c r="H1368" t="s">
        <v>5042</v>
      </c>
      <c r="I1368" t="s">
        <v>5043</v>
      </c>
      <c r="J1368" t="s">
        <v>2690</v>
      </c>
      <c r="K1368" t="s">
        <v>55</v>
      </c>
      <c r="L1368" t="s">
        <v>2691</v>
      </c>
      <c r="M1368" t="s">
        <v>57</v>
      </c>
      <c r="N1368" t="str">
        <f>"045047"</f>
        <v>045047</v>
      </c>
      <c r="O1368" t="s">
        <v>2687</v>
      </c>
      <c r="P1368" t="s">
        <v>68</v>
      </c>
      <c r="Q1368">
        <v>22.7</v>
      </c>
      <c r="R1368">
        <v>40.6</v>
      </c>
      <c r="S1368" t="s">
        <v>60</v>
      </c>
    </row>
    <row r="1369" spans="1:19" x14ac:dyDescent="0.35">
      <c r="A1369">
        <v>10512</v>
      </c>
      <c r="B1369" t="str">
        <f>"010512"</f>
        <v>010512</v>
      </c>
      <c r="C1369" t="s">
        <v>5044</v>
      </c>
      <c r="D1369" t="s">
        <v>3394</v>
      </c>
      <c r="E1369" t="s">
        <v>3395</v>
      </c>
      <c r="F1369" t="s">
        <v>3396</v>
      </c>
      <c r="G1369" t="s">
        <v>572</v>
      </c>
      <c r="H1369" t="s">
        <v>5045</v>
      </c>
      <c r="I1369" t="s">
        <v>5046</v>
      </c>
      <c r="J1369" t="s">
        <v>2954</v>
      </c>
      <c r="K1369" t="s">
        <v>55</v>
      </c>
      <c r="L1369" t="s">
        <v>2955</v>
      </c>
      <c r="M1369" t="s">
        <v>57</v>
      </c>
      <c r="N1369" t="str">
        <f>"044784"</f>
        <v>044784</v>
      </c>
      <c r="O1369" t="s">
        <v>2951</v>
      </c>
      <c r="P1369" t="s">
        <v>68</v>
      </c>
      <c r="Q1369">
        <v>55.9</v>
      </c>
      <c r="R1369">
        <v>23.700000000000003</v>
      </c>
      <c r="S1369" t="s">
        <v>180</v>
      </c>
    </row>
    <row r="1370" spans="1:19" x14ac:dyDescent="0.35">
      <c r="A1370">
        <v>10603</v>
      </c>
      <c r="B1370" t="str">
        <f>"010603"</f>
        <v>010603</v>
      </c>
      <c r="C1370" t="s">
        <v>5047</v>
      </c>
      <c r="D1370" t="s">
        <v>3394</v>
      </c>
      <c r="E1370" t="s">
        <v>3395</v>
      </c>
      <c r="F1370" t="s">
        <v>3396</v>
      </c>
      <c r="G1370" t="s">
        <v>543</v>
      </c>
      <c r="H1370" t="s">
        <v>5048</v>
      </c>
      <c r="I1370" t="s">
        <v>5049</v>
      </c>
      <c r="J1370" t="s">
        <v>1447</v>
      </c>
      <c r="K1370" t="s">
        <v>55</v>
      </c>
      <c r="L1370" t="s">
        <v>2879</v>
      </c>
      <c r="M1370" t="s">
        <v>57</v>
      </c>
      <c r="N1370" t="str">
        <f>"048728"</f>
        <v>048728</v>
      </c>
      <c r="O1370" t="s">
        <v>2876</v>
      </c>
      <c r="P1370" t="s">
        <v>68</v>
      </c>
      <c r="Q1370">
        <v>50.2</v>
      </c>
      <c r="R1370">
        <v>49</v>
      </c>
      <c r="S1370" t="s">
        <v>180</v>
      </c>
    </row>
    <row r="1371" spans="1:19" x14ac:dyDescent="0.35">
      <c r="A1371">
        <v>10611</v>
      </c>
      <c r="B1371" t="str">
        <f>"010611"</f>
        <v>010611</v>
      </c>
      <c r="C1371" t="s">
        <v>5050</v>
      </c>
      <c r="D1371" t="s">
        <v>3394</v>
      </c>
      <c r="E1371" t="s">
        <v>3395</v>
      </c>
      <c r="F1371" t="s">
        <v>3396</v>
      </c>
      <c r="G1371" t="s">
        <v>777</v>
      </c>
      <c r="H1371" t="s">
        <v>5051</v>
      </c>
      <c r="I1371" t="s">
        <v>5052</v>
      </c>
      <c r="J1371" t="s">
        <v>2924</v>
      </c>
      <c r="K1371" t="s">
        <v>55</v>
      </c>
      <c r="L1371" t="s">
        <v>2925</v>
      </c>
      <c r="M1371" t="s">
        <v>57</v>
      </c>
      <c r="N1371" t="str">
        <f>"046235"</f>
        <v>046235</v>
      </c>
      <c r="O1371" t="s">
        <v>2921</v>
      </c>
      <c r="P1371" t="s">
        <v>68</v>
      </c>
      <c r="Q1371">
        <v>39.299999999999997</v>
      </c>
      <c r="R1371">
        <v>11</v>
      </c>
      <c r="S1371" t="s">
        <v>180</v>
      </c>
    </row>
    <row r="1372" spans="1:19" x14ac:dyDescent="0.35">
      <c r="A1372">
        <v>10652</v>
      </c>
      <c r="B1372" t="str">
        <f>"010652"</f>
        <v>010652</v>
      </c>
      <c r="C1372" t="s">
        <v>5053</v>
      </c>
      <c r="D1372" t="s">
        <v>3394</v>
      </c>
      <c r="E1372" t="s">
        <v>3395</v>
      </c>
      <c r="F1372" t="s">
        <v>3396</v>
      </c>
      <c r="G1372" t="s">
        <v>143</v>
      </c>
      <c r="H1372" t="s">
        <v>5054</v>
      </c>
      <c r="I1372" t="s">
        <v>5055</v>
      </c>
      <c r="J1372" t="s">
        <v>1152</v>
      </c>
      <c r="K1372" t="s">
        <v>55</v>
      </c>
      <c r="L1372" t="s">
        <v>1153</v>
      </c>
      <c r="M1372" t="s">
        <v>57</v>
      </c>
      <c r="N1372" t="str">
        <f>"048124"</f>
        <v>048124</v>
      </c>
      <c r="O1372" t="s">
        <v>1149</v>
      </c>
      <c r="P1372" t="s">
        <v>68</v>
      </c>
      <c r="Q1372">
        <v>6.8</v>
      </c>
      <c r="R1372">
        <v>8.2000000000000028</v>
      </c>
      <c r="S1372" t="s">
        <v>69</v>
      </c>
    </row>
    <row r="1373" spans="1:19" x14ac:dyDescent="0.35">
      <c r="A1373">
        <v>10660</v>
      </c>
      <c r="B1373" t="str">
        <f>"010660"</f>
        <v>010660</v>
      </c>
      <c r="C1373" t="s">
        <v>5056</v>
      </c>
      <c r="D1373" t="s">
        <v>3398</v>
      </c>
      <c r="E1373" t="s">
        <v>3395</v>
      </c>
      <c r="F1373" t="s">
        <v>3396</v>
      </c>
      <c r="G1373" t="s">
        <v>63</v>
      </c>
      <c r="H1373" t="s">
        <v>5057</v>
      </c>
      <c r="I1373" t="s">
        <v>5058</v>
      </c>
      <c r="J1373" t="s">
        <v>452</v>
      </c>
      <c r="K1373" t="s">
        <v>55</v>
      </c>
      <c r="L1373" t="s">
        <v>453</v>
      </c>
      <c r="M1373" t="s">
        <v>57</v>
      </c>
      <c r="N1373" t="str">
        <f>"044545"</f>
        <v>044545</v>
      </c>
      <c r="O1373" t="s">
        <v>449</v>
      </c>
      <c r="P1373" t="s">
        <v>68</v>
      </c>
      <c r="Q1373">
        <v>13.9</v>
      </c>
      <c r="R1373">
        <v>18.400000000000006</v>
      </c>
      <c r="S1373" t="s">
        <v>69</v>
      </c>
    </row>
    <row r="1374" spans="1:19" x14ac:dyDescent="0.35">
      <c r="A1374">
        <v>10686</v>
      </c>
      <c r="B1374" t="str">
        <f>"010686"</f>
        <v>010686</v>
      </c>
      <c r="C1374" t="s">
        <v>5059</v>
      </c>
      <c r="D1374" t="s">
        <v>3394</v>
      </c>
      <c r="E1374" t="s">
        <v>3395</v>
      </c>
      <c r="F1374" t="s">
        <v>3396</v>
      </c>
      <c r="G1374" t="s">
        <v>52</v>
      </c>
      <c r="H1374" t="s">
        <v>5060</v>
      </c>
      <c r="I1374" t="s">
        <v>5061</v>
      </c>
      <c r="J1374" t="s">
        <v>52</v>
      </c>
      <c r="K1374" t="s">
        <v>55</v>
      </c>
      <c r="L1374" t="s">
        <v>56</v>
      </c>
      <c r="M1374" t="s">
        <v>57</v>
      </c>
      <c r="N1374" t="str">
        <f>"043877"</f>
        <v>043877</v>
      </c>
      <c r="O1374" t="s">
        <v>48</v>
      </c>
      <c r="P1374" t="s">
        <v>68</v>
      </c>
      <c r="Q1374">
        <v>21</v>
      </c>
      <c r="R1374">
        <v>19.200000000000003</v>
      </c>
      <c r="S1374" t="s">
        <v>60</v>
      </c>
    </row>
    <row r="1375" spans="1:19" x14ac:dyDescent="0.35">
      <c r="A1375">
        <v>10702</v>
      </c>
      <c r="B1375" t="str">
        <f>"010702"</f>
        <v>010702</v>
      </c>
      <c r="C1375" t="s">
        <v>5062</v>
      </c>
      <c r="D1375" t="s">
        <v>3400</v>
      </c>
      <c r="E1375" t="s">
        <v>3395</v>
      </c>
      <c r="F1375" t="s">
        <v>3396</v>
      </c>
      <c r="G1375" t="s">
        <v>264</v>
      </c>
      <c r="H1375" t="s">
        <v>5063</v>
      </c>
      <c r="I1375" t="s">
        <v>1316</v>
      </c>
      <c r="J1375" t="s">
        <v>267</v>
      </c>
      <c r="K1375" t="s">
        <v>55</v>
      </c>
      <c r="L1375" t="s">
        <v>1318</v>
      </c>
      <c r="M1375" t="s">
        <v>57</v>
      </c>
      <c r="N1375" t="str">
        <f>"049999"</f>
        <v>049999</v>
      </c>
      <c r="O1375" t="s">
        <v>1314</v>
      </c>
      <c r="P1375" t="s">
        <v>68</v>
      </c>
      <c r="Q1375">
        <v>58.8</v>
      </c>
      <c r="R1375">
        <v>16.200000000000003</v>
      </c>
      <c r="S1375" t="s">
        <v>77</v>
      </c>
    </row>
    <row r="1376" spans="1:19" x14ac:dyDescent="0.35">
      <c r="A1376">
        <v>10751</v>
      </c>
      <c r="B1376" t="str">
        <f>"010751"</f>
        <v>010751</v>
      </c>
      <c r="C1376" t="s">
        <v>5064</v>
      </c>
      <c r="D1376" t="s">
        <v>3400</v>
      </c>
      <c r="E1376" t="s">
        <v>3395</v>
      </c>
      <c r="F1376" t="s">
        <v>3396</v>
      </c>
      <c r="G1376" t="s">
        <v>143</v>
      </c>
      <c r="H1376" t="s">
        <v>5065</v>
      </c>
      <c r="I1376" t="s">
        <v>5066</v>
      </c>
      <c r="J1376" t="s">
        <v>528</v>
      </c>
      <c r="K1376" t="s">
        <v>55</v>
      </c>
      <c r="L1376" t="s">
        <v>529</v>
      </c>
      <c r="M1376" t="s">
        <v>57</v>
      </c>
      <c r="N1376" t="str">
        <f>"043943"</f>
        <v>043943</v>
      </c>
      <c r="O1376" t="s">
        <v>525</v>
      </c>
      <c r="P1376" t="s">
        <v>68</v>
      </c>
      <c r="Q1376">
        <v>72.400000000000006</v>
      </c>
      <c r="R1376">
        <v>54.5</v>
      </c>
      <c r="S1376" t="s">
        <v>69</v>
      </c>
    </row>
    <row r="1377" spans="1:19" x14ac:dyDescent="0.35">
      <c r="A1377">
        <v>10769</v>
      </c>
      <c r="B1377" t="str">
        <f>"010769"</f>
        <v>010769</v>
      </c>
      <c r="C1377" t="s">
        <v>4913</v>
      </c>
      <c r="D1377" t="s">
        <v>3398</v>
      </c>
      <c r="E1377" t="s">
        <v>3395</v>
      </c>
      <c r="F1377" t="s">
        <v>3396</v>
      </c>
      <c r="G1377" t="s">
        <v>19</v>
      </c>
      <c r="H1377" t="s">
        <v>5067</v>
      </c>
      <c r="I1377" t="s">
        <v>5068</v>
      </c>
      <c r="J1377" t="s">
        <v>847</v>
      </c>
      <c r="K1377" t="s">
        <v>55</v>
      </c>
      <c r="L1377" t="s">
        <v>848</v>
      </c>
      <c r="M1377" t="s">
        <v>57</v>
      </c>
      <c r="N1377" t="str">
        <f>"046037"</f>
        <v>046037</v>
      </c>
      <c r="O1377" t="s">
        <v>844</v>
      </c>
      <c r="P1377" t="s">
        <v>68</v>
      </c>
      <c r="Q1377">
        <v>45.6</v>
      </c>
      <c r="R1377">
        <v>1.5999999999999943</v>
      </c>
      <c r="S1377" t="s">
        <v>217</v>
      </c>
    </row>
    <row r="1378" spans="1:19" x14ac:dyDescent="0.35">
      <c r="A1378">
        <v>10777</v>
      </c>
      <c r="B1378" t="str">
        <f>"010777"</f>
        <v>010777</v>
      </c>
      <c r="C1378" t="s">
        <v>5069</v>
      </c>
      <c r="D1378" t="s">
        <v>3394</v>
      </c>
      <c r="E1378" t="s">
        <v>3395</v>
      </c>
      <c r="F1378" t="s">
        <v>3396</v>
      </c>
      <c r="G1378" t="s">
        <v>110</v>
      </c>
      <c r="H1378" t="s">
        <v>5070</v>
      </c>
      <c r="I1378" t="s">
        <v>5071</v>
      </c>
      <c r="J1378" t="s">
        <v>1027</v>
      </c>
      <c r="K1378" t="s">
        <v>55</v>
      </c>
      <c r="L1378" t="s">
        <v>1028</v>
      </c>
      <c r="M1378" t="s">
        <v>57</v>
      </c>
      <c r="N1378" t="str">
        <f>"048041"</f>
        <v>048041</v>
      </c>
      <c r="O1378" t="s">
        <v>2424</v>
      </c>
      <c r="P1378" t="s">
        <v>68</v>
      </c>
      <c r="Q1378">
        <v>34.1</v>
      </c>
      <c r="R1378">
        <v>28.099999999999994</v>
      </c>
      <c r="S1378" t="s">
        <v>60</v>
      </c>
    </row>
    <row r="1379" spans="1:19" x14ac:dyDescent="0.35">
      <c r="A1379">
        <v>10785</v>
      </c>
      <c r="B1379" t="str">
        <f>"010785"</f>
        <v>010785</v>
      </c>
      <c r="C1379" t="s">
        <v>5072</v>
      </c>
      <c r="D1379" t="s">
        <v>3394</v>
      </c>
      <c r="E1379" t="s">
        <v>3395</v>
      </c>
      <c r="F1379" t="s">
        <v>3396</v>
      </c>
      <c r="G1379" t="s">
        <v>600</v>
      </c>
      <c r="H1379" t="s">
        <v>5073</v>
      </c>
      <c r="I1379" t="s">
        <v>5074</v>
      </c>
      <c r="J1379" t="s">
        <v>1889</v>
      </c>
      <c r="K1379" t="s">
        <v>55</v>
      </c>
      <c r="L1379" t="s">
        <v>1890</v>
      </c>
      <c r="M1379" t="s">
        <v>57</v>
      </c>
      <c r="N1379" t="str">
        <f>"045070"</f>
        <v>045070</v>
      </c>
      <c r="O1379" t="s">
        <v>1886</v>
      </c>
      <c r="P1379" t="s">
        <v>68</v>
      </c>
      <c r="Q1379">
        <v>100</v>
      </c>
      <c r="R1379">
        <v>81.5</v>
      </c>
      <c r="S1379" t="s">
        <v>60</v>
      </c>
    </row>
    <row r="1380" spans="1:19" x14ac:dyDescent="0.35">
      <c r="A1380">
        <v>10793</v>
      </c>
      <c r="B1380" t="str">
        <f>"010793"</f>
        <v>010793</v>
      </c>
      <c r="C1380" t="s">
        <v>5075</v>
      </c>
      <c r="D1380" t="s">
        <v>3400</v>
      </c>
      <c r="E1380" t="s">
        <v>3395</v>
      </c>
      <c r="F1380" t="s">
        <v>3396</v>
      </c>
      <c r="G1380" t="s">
        <v>63</v>
      </c>
      <c r="H1380" t="s">
        <v>5076</v>
      </c>
      <c r="I1380" t="s">
        <v>5077</v>
      </c>
      <c r="J1380" t="s">
        <v>2182</v>
      </c>
      <c r="K1380" t="s">
        <v>55</v>
      </c>
      <c r="L1380" t="s">
        <v>2183</v>
      </c>
      <c r="M1380" t="s">
        <v>57</v>
      </c>
      <c r="N1380" t="str">
        <f>"043950"</f>
        <v>043950</v>
      </c>
      <c r="O1380" t="s">
        <v>2179</v>
      </c>
      <c r="P1380" t="s">
        <v>68</v>
      </c>
      <c r="Q1380">
        <v>99.9</v>
      </c>
      <c r="R1380">
        <v>96.8</v>
      </c>
      <c r="S1380" t="s">
        <v>69</v>
      </c>
    </row>
    <row r="1381" spans="1:19" x14ac:dyDescent="0.35">
      <c r="A1381">
        <v>10801</v>
      </c>
      <c r="B1381" t="str">
        <f>"010801"</f>
        <v>010801</v>
      </c>
      <c r="C1381" t="s">
        <v>5078</v>
      </c>
      <c r="D1381" t="s">
        <v>3394</v>
      </c>
      <c r="E1381" t="s">
        <v>3395</v>
      </c>
      <c r="F1381" t="s">
        <v>3396</v>
      </c>
      <c r="G1381" t="s">
        <v>63</v>
      </c>
      <c r="H1381" t="s">
        <v>5079</v>
      </c>
      <c r="I1381" t="s">
        <v>5080</v>
      </c>
      <c r="J1381" t="s">
        <v>285</v>
      </c>
      <c r="K1381" t="s">
        <v>55</v>
      </c>
      <c r="L1381" t="s">
        <v>1237</v>
      </c>
      <c r="M1381" t="s">
        <v>57</v>
      </c>
      <c r="N1381" t="str">
        <f>"043786"</f>
        <v>043786</v>
      </c>
      <c r="O1381" t="s">
        <v>1340</v>
      </c>
      <c r="P1381" t="s">
        <v>68</v>
      </c>
      <c r="Q1381">
        <v>100</v>
      </c>
      <c r="R1381">
        <v>100</v>
      </c>
      <c r="S1381" t="s">
        <v>69</v>
      </c>
    </row>
    <row r="1382" spans="1:19" x14ac:dyDescent="0.35">
      <c r="A1382">
        <v>10819</v>
      </c>
      <c r="B1382" t="str">
        <f>"010819"</f>
        <v>010819</v>
      </c>
      <c r="C1382" t="s">
        <v>5081</v>
      </c>
      <c r="D1382" t="s">
        <v>3398</v>
      </c>
      <c r="E1382" t="s">
        <v>3395</v>
      </c>
      <c r="F1382" t="s">
        <v>3396</v>
      </c>
      <c r="G1382" t="s">
        <v>63</v>
      </c>
      <c r="H1382" t="s">
        <v>5082</v>
      </c>
      <c r="I1382" t="s">
        <v>5083</v>
      </c>
      <c r="J1382" t="s">
        <v>2182</v>
      </c>
      <c r="K1382" t="s">
        <v>55</v>
      </c>
      <c r="L1382" t="s">
        <v>2183</v>
      </c>
      <c r="M1382" t="s">
        <v>57</v>
      </c>
      <c r="N1382" t="str">
        <f>"043950"</f>
        <v>043950</v>
      </c>
      <c r="O1382" t="s">
        <v>2179</v>
      </c>
      <c r="P1382" t="s">
        <v>68</v>
      </c>
      <c r="Q1382">
        <v>99.8</v>
      </c>
      <c r="R1382">
        <v>91.2</v>
      </c>
      <c r="S1382" t="s">
        <v>69</v>
      </c>
    </row>
    <row r="1383" spans="1:19" x14ac:dyDescent="0.35">
      <c r="A1383">
        <v>10827</v>
      </c>
      <c r="B1383" t="str">
        <f>"010827"</f>
        <v>010827</v>
      </c>
      <c r="C1383" t="s">
        <v>5084</v>
      </c>
      <c r="D1383" t="s">
        <v>3394</v>
      </c>
      <c r="E1383" t="s">
        <v>3395</v>
      </c>
      <c r="F1383" t="s">
        <v>3396</v>
      </c>
      <c r="G1383" t="s">
        <v>264</v>
      </c>
      <c r="H1383" t="s">
        <v>5085</v>
      </c>
      <c r="I1383" t="s">
        <v>5086</v>
      </c>
      <c r="J1383" t="s">
        <v>800</v>
      </c>
      <c r="K1383" t="s">
        <v>55</v>
      </c>
      <c r="L1383" t="s">
        <v>801</v>
      </c>
      <c r="M1383" t="s">
        <v>57</v>
      </c>
      <c r="N1383" t="str">
        <f>"050021"</f>
        <v>050021</v>
      </c>
      <c r="O1383" t="s">
        <v>1411</v>
      </c>
      <c r="P1383" t="s">
        <v>68</v>
      </c>
      <c r="Q1383">
        <v>6.5</v>
      </c>
      <c r="R1383">
        <v>15</v>
      </c>
      <c r="S1383" t="s">
        <v>77</v>
      </c>
    </row>
    <row r="1384" spans="1:19" x14ac:dyDescent="0.35">
      <c r="A1384">
        <v>10843</v>
      </c>
      <c r="B1384" t="str">
        <f>"010843"</f>
        <v>010843</v>
      </c>
      <c r="C1384" t="s">
        <v>5087</v>
      </c>
      <c r="D1384" t="s">
        <v>3394</v>
      </c>
      <c r="E1384" t="s">
        <v>3395</v>
      </c>
      <c r="F1384" t="s">
        <v>3396</v>
      </c>
      <c r="G1384" t="s">
        <v>212</v>
      </c>
      <c r="H1384" t="s">
        <v>5088</v>
      </c>
      <c r="I1384" t="s">
        <v>5089</v>
      </c>
      <c r="J1384" t="s">
        <v>215</v>
      </c>
      <c r="K1384" t="s">
        <v>55</v>
      </c>
      <c r="L1384" t="s">
        <v>520</v>
      </c>
      <c r="M1384" t="s">
        <v>57</v>
      </c>
      <c r="N1384" t="str">
        <f>"044677"</f>
        <v>044677</v>
      </c>
      <c r="O1384" t="s">
        <v>2499</v>
      </c>
      <c r="P1384" t="s">
        <v>68</v>
      </c>
      <c r="Q1384">
        <v>43.3</v>
      </c>
      <c r="R1384">
        <v>46.5</v>
      </c>
      <c r="S1384" t="s">
        <v>217</v>
      </c>
    </row>
    <row r="1385" spans="1:19" x14ac:dyDescent="0.35">
      <c r="A1385">
        <v>10868</v>
      </c>
      <c r="B1385" t="str">
        <f>"010868"</f>
        <v>010868</v>
      </c>
      <c r="C1385" t="s">
        <v>5090</v>
      </c>
      <c r="D1385" t="s">
        <v>3394</v>
      </c>
      <c r="E1385" t="s">
        <v>3395</v>
      </c>
      <c r="F1385" t="s">
        <v>3396</v>
      </c>
      <c r="G1385" t="s">
        <v>600</v>
      </c>
      <c r="H1385" t="s">
        <v>5091</v>
      </c>
      <c r="I1385" t="s">
        <v>5092</v>
      </c>
      <c r="J1385" t="s">
        <v>1500</v>
      </c>
      <c r="K1385" t="s">
        <v>55</v>
      </c>
      <c r="L1385" t="s">
        <v>1501</v>
      </c>
      <c r="M1385" t="s">
        <v>57</v>
      </c>
      <c r="N1385" t="str">
        <f>"045138"</f>
        <v>045138</v>
      </c>
      <c r="O1385" t="s">
        <v>1497</v>
      </c>
      <c r="P1385" t="s">
        <v>68</v>
      </c>
      <c r="Q1385">
        <v>3</v>
      </c>
      <c r="R1385">
        <v>9.5999999999999943</v>
      </c>
      <c r="S1385" t="s">
        <v>60</v>
      </c>
    </row>
    <row r="1386" spans="1:19" x14ac:dyDescent="0.35">
      <c r="A1386">
        <v>10876</v>
      </c>
      <c r="B1386" t="str">
        <f>"010876"</f>
        <v>010876</v>
      </c>
      <c r="C1386" t="s">
        <v>5093</v>
      </c>
      <c r="D1386" t="s">
        <v>3400</v>
      </c>
      <c r="E1386" t="s">
        <v>3395</v>
      </c>
      <c r="F1386" t="s">
        <v>3396</v>
      </c>
      <c r="G1386" t="s">
        <v>600</v>
      </c>
      <c r="H1386" t="s">
        <v>5094</v>
      </c>
      <c r="I1386" t="s">
        <v>5095</v>
      </c>
      <c r="J1386" t="s">
        <v>1348</v>
      </c>
      <c r="K1386" t="s">
        <v>55</v>
      </c>
      <c r="L1386" t="s">
        <v>1516</v>
      </c>
      <c r="M1386" t="s">
        <v>57</v>
      </c>
      <c r="N1386" t="str">
        <f>"043802"</f>
        <v>043802</v>
      </c>
      <c r="O1386" t="s">
        <v>3171</v>
      </c>
      <c r="P1386" t="s">
        <v>68</v>
      </c>
      <c r="Q1386">
        <v>100</v>
      </c>
      <c r="R1386">
        <v>90.2</v>
      </c>
      <c r="S1386" t="s">
        <v>60</v>
      </c>
    </row>
    <row r="1387" spans="1:19" x14ac:dyDescent="0.35">
      <c r="A1387">
        <v>10884</v>
      </c>
      <c r="B1387" t="str">
        <f>"010884"</f>
        <v>010884</v>
      </c>
      <c r="C1387" t="s">
        <v>5096</v>
      </c>
      <c r="D1387" t="s">
        <v>3398</v>
      </c>
      <c r="E1387" t="s">
        <v>3395</v>
      </c>
      <c r="F1387" t="s">
        <v>3396</v>
      </c>
      <c r="G1387" t="s">
        <v>344</v>
      </c>
      <c r="H1387" t="s">
        <v>345</v>
      </c>
      <c r="I1387" t="s">
        <v>346</v>
      </c>
      <c r="J1387" t="s">
        <v>347</v>
      </c>
      <c r="K1387" t="s">
        <v>55</v>
      </c>
      <c r="L1387" t="s">
        <v>348</v>
      </c>
      <c r="M1387" t="s">
        <v>57</v>
      </c>
      <c r="N1387" t="str">
        <f>"047050"</f>
        <v>047050</v>
      </c>
      <c r="O1387" t="s">
        <v>343</v>
      </c>
      <c r="P1387" t="s">
        <v>68</v>
      </c>
      <c r="Q1387">
        <v>22.5</v>
      </c>
      <c r="R1387">
        <v>12.299999999999997</v>
      </c>
      <c r="S1387" t="s">
        <v>156</v>
      </c>
    </row>
    <row r="1388" spans="1:19" x14ac:dyDescent="0.35">
      <c r="A1388">
        <v>10926</v>
      </c>
      <c r="B1388" t="str">
        <f>"010926"</f>
        <v>010926</v>
      </c>
      <c r="C1388" t="s">
        <v>5097</v>
      </c>
      <c r="D1388" t="s">
        <v>3398</v>
      </c>
      <c r="E1388" t="s">
        <v>3395</v>
      </c>
      <c r="F1388" t="s">
        <v>3396</v>
      </c>
      <c r="G1388" t="s">
        <v>1948</v>
      </c>
      <c r="H1388" t="s">
        <v>3279</v>
      </c>
      <c r="I1388" t="s">
        <v>3280</v>
      </c>
      <c r="J1388" t="s">
        <v>3281</v>
      </c>
      <c r="K1388" t="s">
        <v>55</v>
      </c>
      <c r="L1388" t="s">
        <v>3282</v>
      </c>
      <c r="M1388" t="s">
        <v>57</v>
      </c>
      <c r="N1388" t="str">
        <f>"050328"</f>
        <v>050328</v>
      </c>
      <c r="O1388" t="s">
        <v>3278</v>
      </c>
      <c r="P1388" t="s">
        <v>68</v>
      </c>
      <c r="Q1388">
        <v>12.3</v>
      </c>
      <c r="R1388">
        <v>7.7999999999999972</v>
      </c>
      <c r="S1388" t="s">
        <v>60</v>
      </c>
    </row>
    <row r="1389" spans="1:19" x14ac:dyDescent="0.35">
      <c r="A1389">
        <v>10967</v>
      </c>
      <c r="B1389" t="str">
        <f>"010967"</f>
        <v>010967</v>
      </c>
      <c r="C1389" t="s">
        <v>5098</v>
      </c>
      <c r="D1389" t="s">
        <v>3394</v>
      </c>
      <c r="E1389" t="s">
        <v>3395</v>
      </c>
      <c r="F1389" t="s">
        <v>3396</v>
      </c>
      <c r="G1389" t="s">
        <v>63</v>
      </c>
      <c r="H1389" t="s">
        <v>5099</v>
      </c>
      <c r="I1389" t="s">
        <v>5100</v>
      </c>
      <c r="J1389" t="s">
        <v>1844</v>
      </c>
      <c r="K1389" t="s">
        <v>55</v>
      </c>
      <c r="L1389" t="s">
        <v>1636</v>
      </c>
      <c r="M1389" t="s">
        <v>57</v>
      </c>
      <c r="N1389" t="str">
        <f>"043794"</f>
        <v>043794</v>
      </c>
      <c r="O1389" t="s">
        <v>1912</v>
      </c>
      <c r="P1389" t="s">
        <v>68</v>
      </c>
      <c r="Q1389">
        <v>100</v>
      </c>
      <c r="R1389">
        <v>73.400000000000006</v>
      </c>
      <c r="S1389" t="s">
        <v>69</v>
      </c>
    </row>
    <row r="1390" spans="1:19" x14ac:dyDescent="0.35">
      <c r="A1390">
        <v>10975</v>
      </c>
      <c r="B1390" t="str">
        <f>"010975"</f>
        <v>010975</v>
      </c>
      <c r="C1390" t="s">
        <v>5098</v>
      </c>
      <c r="D1390" t="s">
        <v>3394</v>
      </c>
      <c r="E1390" t="s">
        <v>3395</v>
      </c>
      <c r="F1390" t="s">
        <v>3396</v>
      </c>
      <c r="G1390" t="s">
        <v>481</v>
      </c>
      <c r="H1390" t="s">
        <v>5101</v>
      </c>
      <c r="I1390" t="s">
        <v>5102</v>
      </c>
      <c r="J1390" t="s">
        <v>484</v>
      </c>
      <c r="K1390" t="s">
        <v>55</v>
      </c>
      <c r="L1390" t="s">
        <v>485</v>
      </c>
      <c r="M1390" t="s">
        <v>57</v>
      </c>
      <c r="N1390" t="str">
        <f>"045492"</f>
        <v>045492</v>
      </c>
      <c r="O1390" t="s">
        <v>3003</v>
      </c>
      <c r="P1390" t="s">
        <v>68</v>
      </c>
      <c r="Q1390">
        <v>24.4</v>
      </c>
      <c r="R1390">
        <v>13</v>
      </c>
      <c r="S1390" t="s">
        <v>69</v>
      </c>
    </row>
    <row r="1391" spans="1:19" x14ac:dyDescent="0.35">
      <c r="A1391">
        <v>10983</v>
      </c>
      <c r="B1391" t="str">
        <f>"010983"</f>
        <v>010983</v>
      </c>
      <c r="C1391" t="s">
        <v>5103</v>
      </c>
      <c r="D1391" t="s">
        <v>3400</v>
      </c>
      <c r="E1391" t="s">
        <v>3395</v>
      </c>
      <c r="F1391" t="s">
        <v>3396</v>
      </c>
      <c r="G1391" t="s">
        <v>536</v>
      </c>
      <c r="H1391" t="s">
        <v>5104</v>
      </c>
      <c r="I1391" t="s">
        <v>5105</v>
      </c>
      <c r="J1391" t="s">
        <v>536</v>
      </c>
      <c r="K1391" t="s">
        <v>55</v>
      </c>
      <c r="L1391" t="s">
        <v>2227</v>
      </c>
      <c r="M1391" t="s">
        <v>57</v>
      </c>
      <c r="N1391" t="str">
        <f>"046433"</f>
        <v>046433</v>
      </c>
      <c r="O1391" t="s">
        <v>1228</v>
      </c>
      <c r="P1391" t="s">
        <v>68</v>
      </c>
      <c r="Q1391">
        <v>33.9</v>
      </c>
      <c r="R1391">
        <v>1</v>
      </c>
      <c r="S1391" t="s">
        <v>77</v>
      </c>
    </row>
    <row r="1392" spans="1:19" x14ac:dyDescent="0.35">
      <c r="A1392">
        <v>10991</v>
      </c>
      <c r="B1392" t="str">
        <f>"010991"</f>
        <v>010991</v>
      </c>
      <c r="C1392" t="s">
        <v>5106</v>
      </c>
      <c r="D1392" t="s">
        <v>3398</v>
      </c>
      <c r="E1392" t="s">
        <v>3395</v>
      </c>
      <c r="F1392" t="s">
        <v>3396</v>
      </c>
      <c r="G1392" t="s">
        <v>244</v>
      </c>
      <c r="H1392" t="s">
        <v>5107</v>
      </c>
      <c r="I1392" t="s">
        <v>5108</v>
      </c>
      <c r="J1392" t="s">
        <v>92</v>
      </c>
      <c r="K1392" t="s">
        <v>55</v>
      </c>
      <c r="L1392" t="s">
        <v>2423</v>
      </c>
      <c r="M1392" t="s">
        <v>57</v>
      </c>
      <c r="N1392" t="str">
        <f>"046102"</f>
        <v>046102</v>
      </c>
      <c r="O1392" t="s">
        <v>2420</v>
      </c>
      <c r="P1392" t="s">
        <v>68</v>
      </c>
      <c r="Q1392">
        <v>45.2</v>
      </c>
      <c r="R1392">
        <v>48.8</v>
      </c>
      <c r="S1392" t="s">
        <v>217</v>
      </c>
    </row>
    <row r="1393" spans="1:19" x14ac:dyDescent="0.35">
      <c r="A1393">
        <v>11007</v>
      </c>
      <c r="B1393" t="str">
        <f>"011007"</f>
        <v>011007</v>
      </c>
      <c r="C1393" t="s">
        <v>5109</v>
      </c>
      <c r="D1393" t="s">
        <v>3394</v>
      </c>
      <c r="E1393" t="s">
        <v>3395</v>
      </c>
      <c r="F1393" t="s">
        <v>3396</v>
      </c>
      <c r="G1393" t="s">
        <v>200</v>
      </c>
      <c r="H1393" t="s">
        <v>5110</v>
      </c>
      <c r="I1393" t="s">
        <v>5111</v>
      </c>
      <c r="J1393" t="s">
        <v>3036</v>
      </c>
      <c r="K1393" t="s">
        <v>55</v>
      </c>
      <c r="L1393" t="s">
        <v>3037</v>
      </c>
      <c r="M1393" t="s">
        <v>57</v>
      </c>
      <c r="N1393" t="str">
        <f>"044362"</f>
        <v>044362</v>
      </c>
      <c r="O1393" t="s">
        <v>3033</v>
      </c>
      <c r="P1393" t="s">
        <v>68</v>
      </c>
      <c r="Q1393">
        <v>32.5</v>
      </c>
      <c r="R1393">
        <v>28.700000000000003</v>
      </c>
      <c r="S1393" t="s">
        <v>156</v>
      </c>
    </row>
    <row r="1394" spans="1:19" x14ac:dyDescent="0.35">
      <c r="A1394">
        <v>11023</v>
      </c>
      <c r="B1394" t="str">
        <f>"011023"</f>
        <v>011023</v>
      </c>
      <c r="C1394" t="s">
        <v>5112</v>
      </c>
      <c r="D1394" t="s">
        <v>3394</v>
      </c>
      <c r="E1394" t="s">
        <v>3395</v>
      </c>
      <c r="F1394" t="s">
        <v>3396</v>
      </c>
      <c r="G1394" t="s">
        <v>79</v>
      </c>
      <c r="H1394" t="s">
        <v>5113</v>
      </c>
      <c r="I1394" t="s">
        <v>5114</v>
      </c>
      <c r="J1394" t="s">
        <v>1720</v>
      </c>
      <c r="K1394" t="s">
        <v>55</v>
      </c>
      <c r="L1394" t="s">
        <v>1721</v>
      </c>
      <c r="M1394" t="s">
        <v>57</v>
      </c>
      <c r="N1394" t="str">
        <f>"047738"</f>
        <v>047738</v>
      </c>
      <c r="O1394" t="s">
        <v>1717</v>
      </c>
      <c r="P1394" t="s">
        <v>68</v>
      </c>
      <c r="Q1394">
        <v>51.5</v>
      </c>
      <c r="R1394">
        <v>8.9000000000000057</v>
      </c>
      <c r="S1394" t="s">
        <v>69</v>
      </c>
    </row>
    <row r="1395" spans="1:19" x14ac:dyDescent="0.35">
      <c r="A1395">
        <v>11031</v>
      </c>
      <c r="B1395" t="str">
        <f>"011031"</f>
        <v>011031</v>
      </c>
      <c r="C1395" t="s">
        <v>5115</v>
      </c>
      <c r="D1395" t="s">
        <v>3394</v>
      </c>
      <c r="E1395" t="s">
        <v>3395</v>
      </c>
      <c r="F1395" t="s">
        <v>3396</v>
      </c>
      <c r="G1395" t="s">
        <v>719</v>
      </c>
      <c r="H1395" t="s">
        <v>1124</v>
      </c>
      <c r="I1395" t="s">
        <v>1125</v>
      </c>
      <c r="J1395" t="s">
        <v>1126</v>
      </c>
      <c r="K1395" t="s">
        <v>55</v>
      </c>
      <c r="L1395" t="s">
        <v>1127</v>
      </c>
      <c r="M1395" t="s">
        <v>57</v>
      </c>
      <c r="N1395" t="str">
        <f>"047621"</f>
        <v>047621</v>
      </c>
      <c r="O1395" t="s">
        <v>1123</v>
      </c>
      <c r="P1395" t="s">
        <v>68</v>
      </c>
      <c r="Q1395">
        <v>35.1</v>
      </c>
      <c r="R1395">
        <v>4</v>
      </c>
      <c r="S1395" t="s">
        <v>130</v>
      </c>
    </row>
    <row r="1396" spans="1:19" x14ac:dyDescent="0.35">
      <c r="A1396">
        <v>11049</v>
      </c>
      <c r="B1396" t="str">
        <f>"011049"</f>
        <v>011049</v>
      </c>
      <c r="C1396" t="s">
        <v>5116</v>
      </c>
      <c r="D1396" t="s">
        <v>3398</v>
      </c>
      <c r="E1396" t="s">
        <v>3395</v>
      </c>
      <c r="F1396" t="s">
        <v>3396</v>
      </c>
      <c r="G1396" t="s">
        <v>244</v>
      </c>
      <c r="H1396" t="s">
        <v>5117</v>
      </c>
      <c r="I1396" t="s">
        <v>5118</v>
      </c>
      <c r="J1396" t="s">
        <v>92</v>
      </c>
      <c r="K1396" t="s">
        <v>55</v>
      </c>
      <c r="L1396" t="s">
        <v>2423</v>
      </c>
      <c r="M1396" t="s">
        <v>57</v>
      </c>
      <c r="N1396" t="str">
        <f>"046102"</f>
        <v>046102</v>
      </c>
      <c r="O1396" t="s">
        <v>2420</v>
      </c>
      <c r="P1396" t="s">
        <v>68</v>
      </c>
      <c r="Q1396">
        <v>38.6</v>
      </c>
      <c r="R1396">
        <v>49.4</v>
      </c>
      <c r="S1396" t="s">
        <v>217</v>
      </c>
    </row>
    <row r="1397" spans="1:19" x14ac:dyDescent="0.35">
      <c r="A1397">
        <v>11056</v>
      </c>
      <c r="B1397" t="str">
        <f>"011056"</f>
        <v>011056</v>
      </c>
      <c r="C1397" t="s">
        <v>5119</v>
      </c>
      <c r="D1397" t="s">
        <v>3398</v>
      </c>
      <c r="E1397" t="s">
        <v>3395</v>
      </c>
      <c r="F1397" t="s">
        <v>3396</v>
      </c>
      <c r="G1397" t="s">
        <v>719</v>
      </c>
      <c r="H1397" t="s">
        <v>1124</v>
      </c>
      <c r="I1397" t="s">
        <v>1125</v>
      </c>
      <c r="J1397" t="s">
        <v>1126</v>
      </c>
      <c r="K1397" t="s">
        <v>55</v>
      </c>
      <c r="L1397" t="s">
        <v>1127</v>
      </c>
      <c r="M1397" t="s">
        <v>57</v>
      </c>
      <c r="N1397" t="str">
        <f>"047621"</f>
        <v>047621</v>
      </c>
      <c r="O1397" t="s">
        <v>1123</v>
      </c>
      <c r="P1397" t="s">
        <v>68</v>
      </c>
      <c r="Q1397">
        <v>26.9</v>
      </c>
      <c r="R1397">
        <v>6.4000000000000057</v>
      </c>
      <c r="S1397" t="s">
        <v>130</v>
      </c>
    </row>
    <row r="1398" spans="1:19" x14ac:dyDescent="0.35">
      <c r="A1398">
        <v>11064</v>
      </c>
      <c r="B1398" t="str">
        <f>"011064"</f>
        <v>011064</v>
      </c>
      <c r="C1398" t="s">
        <v>5120</v>
      </c>
      <c r="D1398" t="s">
        <v>3394</v>
      </c>
      <c r="E1398" t="s">
        <v>3395</v>
      </c>
      <c r="F1398" t="s">
        <v>3396</v>
      </c>
      <c r="G1398" t="s">
        <v>92</v>
      </c>
      <c r="H1398" t="s">
        <v>5121</v>
      </c>
      <c r="I1398" t="s">
        <v>5122</v>
      </c>
      <c r="J1398" t="s">
        <v>5123</v>
      </c>
      <c r="K1398" t="s">
        <v>55</v>
      </c>
      <c r="L1398" t="s">
        <v>5124</v>
      </c>
      <c r="M1398" t="s">
        <v>57</v>
      </c>
      <c r="N1398" t="str">
        <f>"046870"</f>
        <v>046870</v>
      </c>
      <c r="O1398" t="s">
        <v>1937</v>
      </c>
      <c r="P1398" t="s">
        <v>68</v>
      </c>
      <c r="Q1398">
        <v>42.2</v>
      </c>
      <c r="R1398">
        <v>1.0999999999999943</v>
      </c>
      <c r="S1398" t="s">
        <v>60</v>
      </c>
    </row>
    <row r="1399" spans="1:19" x14ac:dyDescent="0.35">
      <c r="A1399">
        <v>11072</v>
      </c>
      <c r="B1399" t="str">
        <f>"011072"</f>
        <v>011072</v>
      </c>
      <c r="C1399" t="s">
        <v>5125</v>
      </c>
      <c r="D1399" t="s">
        <v>3398</v>
      </c>
      <c r="E1399" t="s">
        <v>3395</v>
      </c>
      <c r="F1399" t="s">
        <v>3396</v>
      </c>
      <c r="G1399" t="s">
        <v>92</v>
      </c>
      <c r="H1399" t="s">
        <v>5126</v>
      </c>
      <c r="I1399" t="s">
        <v>5127</v>
      </c>
      <c r="J1399" t="s">
        <v>1940</v>
      </c>
      <c r="K1399" t="s">
        <v>55</v>
      </c>
      <c r="L1399" t="s">
        <v>1941</v>
      </c>
      <c r="M1399" t="s">
        <v>57</v>
      </c>
      <c r="N1399" t="str">
        <f>"046870"</f>
        <v>046870</v>
      </c>
      <c r="O1399" t="s">
        <v>1937</v>
      </c>
      <c r="P1399" t="s">
        <v>68</v>
      </c>
      <c r="Q1399">
        <v>26</v>
      </c>
      <c r="R1399">
        <v>4.2000000000000028</v>
      </c>
      <c r="S1399" t="s">
        <v>60</v>
      </c>
    </row>
    <row r="1400" spans="1:19" x14ac:dyDescent="0.35">
      <c r="A1400">
        <v>11106</v>
      </c>
      <c r="B1400" t="str">
        <f>"011106"</f>
        <v>011106</v>
      </c>
      <c r="C1400" t="s">
        <v>5128</v>
      </c>
      <c r="D1400" t="s">
        <v>3394</v>
      </c>
      <c r="E1400" t="s">
        <v>3395</v>
      </c>
      <c r="F1400" t="s">
        <v>3396</v>
      </c>
      <c r="G1400" t="s">
        <v>1335</v>
      </c>
      <c r="H1400" t="s">
        <v>5129</v>
      </c>
      <c r="I1400" t="s">
        <v>5130</v>
      </c>
      <c r="J1400" t="s">
        <v>1452</v>
      </c>
      <c r="K1400" t="s">
        <v>55</v>
      </c>
      <c r="L1400" t="s">
        <v>1453</v>
      </c>
      <c r="M1400" t="s">
        <v>57</v>
      </c>
      <c r="N1400" t="str">
        <f>"047936"</f>
        <v>047936</v>
      </c>
      <c r="O1400" t="s">
        <v>1449</v>
      </c>
      <c r="P1400" t="s">
        <v>68</v>
      </c>
      <c r="Q1400">
        <v>43.6</v>
      </c>
      <c r="R1400">
        <v>6.5999999999999943</v>
      </c>
      <c r="S1400" t="s">
        <v>130</v>
      </c>
    </row>
    <row r="1401" spans="1:19" x14ac:dyDescent="0.35">
      <c r="A1401">
        <v>11114</v>
      </c>
      <c r="B1401" t="str">
        <f>"011114"</f>
        <v>011114</v>
      </c>
      <c r="C1401" t="s">
        <v>5131</v>
      </c>
      <c r="D1401" t="s">
        <v>3398</v>
      </c>
      <c r="E1401" t="s">
        <v>3395</v>
      </c>
      <c r="F1401" t="s">
        <v>3396</v>
      </c>
      <c r="G1401" t="s">
        <v>1335</v>
      </c>
      <c r="H1401" t="s">
        <v>5132</v>
      </c>
      <c r="I1401" t="s">
        <v>5133</v>
      </c>
      <c r="J1401" t="s">
        <v>1452</v>
      </c>
      <c r="K1401" t="s">
        <v>55</v>
      </c>
      <c r="L1401" t="s">
        <v>1453</v>
      </c>
      <c r="M1401" t="s">
        <v>57</v>
      </c>
      <c r="N1401" t="str">
        <f>"047936"</f>
        <v>047936</v>
      </c>
      <c r="O1401" t="s">
        <v>1449</v>
      </c>
      <c r="P1401" t="s">
        <v>68</v>
      </c>
      <c r="Q1401">
        <v>29.2</v>
      </c>
      <c r="R1401">
        <v>6.2999999999999972</v>
      </c>
      <c r="S1401" t="s">
        <v>130</v>
      </c>
    </row>
    <row r="1402" spans="1:19" x14ac:dyDescent="0.35">
      <c r="A1402">
        <v>11122</v>
      </c>
      <c r="B1402" t="str">
        <f>"011122"</f>
        <v>011122</v>
      </c>
      <c r="C1402" t="s">
        <v>5134</v>
      </c>
      <c r="D1402" t="s">
        <v>3400</v>
      </c>
      <c r="E1402" t="s">
        <v>3395</v>
      </c>
      <c r="F1402" t="s">
        <v>3396</v>
      </c>
      <c r="G1402" t="s">
        <v>1335</v>
      </c>
      <c r="H1402" t="s">
        <v>5135</v>
      </c>
      <c r="I1402" t="s">
        <v>5136</v>
      </c>
      <c r="J1402" t="s">
        <v>1452</v>
      </c>
      <c r="K1402" t="s">
        <v>55</v>
      </c>
      <c r="L1402" t="s">
        <v>1453</v>
      </c>
      <c r="M1402" t="s">
        <v>57</v>
      </c>
      <c r="N1402" t="str">
        <f>"047936"</f>
        <v>047936</v>
      </c>
      <c r="O1402" t="s">
        <v>1449</v>
      </c>
      <c r="P1402" t="s">
        <v>68</v>
      </c>
      <c r="Q1402">
        <v>39.200000000000003</v>
      </c>
      <c r="R1402">
        <v>5.9000000000000057</v>
      </c>
      <c r="S1402" t="s">
        <v>130</v>
      </c>
    </row>
    <row r="1403" spans="1:19" x14ac:dyDescent="0.35">
      <c r="A1403">
        <v>11130</v>
      </c>
      <c r="B1403" t="str">
        <f>"011130"</f>
        <v>011130</v>
      </c>
      <c r="C1403" t="s">
        <v>5137</v>
      </c>
      <c r="D1403" t="s">
        <v>3394</v>
      </c>
      <c r="E1403" t="s">
        <v>3395</v>
      </c>
      <c r="F1403" t="s">
        <v>3396</v>
      </c>
      <c r="G1403" t="s">
        <v>264</v>
      </c>
      <c r="H1403" t="s">
        <v>5138</v>
      </c>
      <c r="I1403" t="s">
        <v>5139</v>
      </c>
      <c r="J1403" t="s">
        <v>267</v>
      </c>
      <c r="K1403" t="s">
        <v>55</v>
      </c>
      <c r="L1403" t="s">
        <v>4206</v>
      </c>
      <c r="M1403" t="s">
        <v>57</v>
      </c>
      <c r="N1403" t="str">
        <f>"043489"</f>
        <v>043489</v>
      </c>
      <c r="O1403" t="s">
        <v>3176</v>
      </c>
      <c r="P1403" t="s">
        <v>68</v>
      </c>
      <c r="Q1403">
        <v>100</v>
      </c>
      <c r="R1403">
        <v>66.8</v>
      </c>
      <c r="S1403" t="s">
        <v>77</v>
      </c>
    </row>
    <row r="1404" spans="1:19" x14ac:dyDescent="0.35">
      <c r="A1404">
        <v>11155</v>
      </c>
      <c r="B1404" t="str">
        <f>"011155"</f>
        <v>011155</v>
      </c>
      <c r="C1404" t="s">
        <v>5140</v>
      </c>
      <c r="D1404" t="s">
        <v>3394</v>
      </c>
      <c r="E1404" t="s">
        <v>3395</v>
      </c>
      <c r="F1404" t="s">
        <v>3396</v>
      </c>
      <c r="G1404" t="s">
        <v>572</v>
      </c>
      <c r="H1404" t="s">
        <v>3267</v>
      </c>
      <c r="I1404" t="s">
        <v>3268</v>
      </c>
      <c r="J1404" t="s">
        <v>2954</v>
      </c>
      <c r="K1404" t="s">
        <v>55</v>
      </c>
      <c r="L1404" t="s">
        <v>2955</v>
      </c>
      <c r="M1404" t="s">
        <v>57</v>
      </c>
      <c r="N1404" t="str">
        <f>"049775"</f>
        <v>049775</v>
      </c>
      <c r="O1404" t="s">
        <v>3266</v>
      </c>
      <c r="P1404" t="s">
        <v>68</v>
      </c>
      <c r="Q1404">
        <v>28.1</v>
      </c>
      <c r="R1404">
        <v>3.5</v>
      </c>
      <c r="S1404" t="s">
        <v>180</v>
      </c>
    </row>
    <row r="1405" spans="1:19" x14ac:dyDescent="0.35">
      <c r="A1405">
        <v>11163</v>
      </c>
      <c r="B1405" t="str">
        <f>"011163"</f>
        <v>011163</v>
      </c>
      <c r="C1405" t="s">
        <v>5141</v>
      </c>
      <c r="D1405" t="s">
        <v>3398</v>
      </c>
      <c r="E1405" t="s">
        <v>3395</v>
      </c>
      <c r="F1405" t="s">
        <v>3396</v>
      </c>
      <c r="G1405" t="s">
        <v>572</v>
      </c>
      <c r="H1405" t="s">
        <v>3267</v>
      </c>
      <c r="I1405" t="s">
        <v>3268</v>
      </c>
      <c r="J1405" t="s">
        <v>2954</v>
      </c>
      <c r="K1405" t="s">
        <v>55</v>
      </c>
      <c r="L1405" t="s">
        <v>2955</v>
      </c>
      <c r="M1405" t="s">
        <v>57</v>
      </c>
      <c r="N1405" t="str">
        <f>"049775"</f>
        <v>049775</v>
      </c>
      <c r="O1405" t="s">
        <v>3266</v>
      </c>
      <c r="P1405" t="s">
        <v>68</v>
      </c>
      <c r="Q1405">
        <v>25.5</v>
      </c>
      <c r="R1405">
        <v>1.2000000000000028</v>
      </c>
      <c r="S1405" t="s">
        <v>180</v>
      </c>
    </row>
    <row r="1406" spans="1:19" x14ac:dyDescent="0.35">
      <c r="A1406">
        <v>11171</v>
      </c>
      <c r="B1406" t="str">
        <f>"011171"</f>
        <v>011171</v>
      </c>
      <c r="C1406" t="s">
        <v>5142</v>
      </c>
      <c r="D1406" t="s">
        <v>3398</v>
      </c>
      <c r="E1406" t="s">
        <v>3395</v>
      </c>
      <c r="F1406" t="s">
        <v>3396</v>
      </c>
      <c r="G1406" t="s">
        <v>117</v>
      </c>
      <c r="H1406" t="s">
        <v>997</v>
      </c>
      <c r="I1406" t="s">
        <v>998</v>
      </c>
      <c r="J1406" t="s">
        <v>999</v>
      </c>
      <c r="K1406" t="s">
        <v>55</v>
      </c>
      <c r="L1406" t="s">
        <v>1000</v>
      </c>
      <c r="M1406" t="s">
        <v>57</v>
      </c>
      <c r="N1406" t="str">
        <f>"049841"</f>
        <v>049841</v>
      </c>
      <c r="O1406" t="s">
        <v>996</v>
      </c>
      <c r="P1406" t="s">
        <v>68</v>
      </c>
      <c r="Q1406">
        <v>34.299999999999997</v>
      </c>
      <c r="R1406">
        <v>6.7999999999999972</v>
      </c>
      <c r="S1406" t="s">
        <v>77</v>
      </c>
    </row>
    <row r="1407" spans="1:19" x14ac:dyDescent="0.35">
      <c r="A1407">
        <v>11189</v>
      </c>
      <c r="B1407" t="str">
        <f>"011189"</f>
        <v>011189</v>
      </c>
      <c r="C1407" t="s">
        <v>5143</v>
      </c>
      <c r="D1407" t="s">
        <v>3394</v>
      </c>
      <c r="E1407" t="s">
        <v>3395</v>
      </c>
      <c r="F1407" t="s">
        <v>3396</v>
      </c>
      <c r="G1407" t="s">
        <v>600</v>
      </c>
      <c r="H1407" t="s">
        <v>5144</v>
      </c>
      <c r="I1407" t="s">
        <v>5145</v>
      </c>
      <c r="J1407" t="s">
        <v>1348</v>
      </c>
      <c r="K1407" t="s">
        <v>55</v>
      </c>
      <c r="L1407" t="s">
        <v>1890</v>
      </c>
      <c r="M1407" t="s">
        <v>57</v>
      </c>
      <c r="N1407" t="str">
        <f>"043802"</f>
        <v>043802</v>
      </c>
      <c r="O1407" t="s">
        <v>3171</v>
      </c>
      <c r="P1407" t="s">
        <v>68</v>
      </c>
      <c r="Q1407">
        <v>100</v>
      </c>
      <c r="R1407">
        <v>93.8</v>
      </c>
      <c r="S1407" t="s">
        <v>60</v>
      </c>
    </row>
    <row r="1408" spans="1:19" x14ac:dyDescent="0.35">
      <c r="A1408">
        <v>11205</v>
      </c>
      <c r="B1408" t="str">
        <f>"011205"</f>
        <v>011205</v>
      </c>
      <c r="C1408" t="s">
        <v>5146</v>
      </c>
      <c r="D1408" t="s">
        <v>3394</v>
      </c>
      <c r="E1408" t="s">
        <v>3395</v>
      </c>
      <c r="F1408" t="s">
        <v>3396</v>
      </c>
      <c r="G1408" t="s">
        <v>63</v>
      </c>
      <c r="H1408" t="s">
        <v>3029</v>
      </c>
      <c r="I1408" t="s">
        <v>3030</v>
      </c>
      <c r="J1408" t="s">
        <v>3031</v>
      </c>
      <c r="K1408" t="s">
        <v>55</v>
      </c>
      <c r="L1408" t="s">
        <v>3032</v>
      </c>
      <c r="M1408" t="s">
        <v>57</v>
      </c>
      <c r="N1408" t="str">
        <f>"043554"</f>
        <v>043554</v>
      </c>
      <c r="O1408" t="s">
        <v>3028</v>
      </c>
      <c r="P1408" t="s">
        <v>68</v>
      </c>
      <c r="Q1408" t="s">
        <v>68</v>
      </c>
      <c r="R1408" t="s">
        <v>68</v>
      </c>
      <c r="S1408" t="s">
        <v>69</v>
      </c>
    </row>
    <row r="1409" spans="1:19" x14ac:dyDescent="0.35">
      <c r="A1409">
        <v>11239</v>
      </c>
      <c r="B1409" t="str">
        <f>"011239"</f>
        <v>011239</v>
      </c>
      <c r="C1409" t="s">
        <v>5147</v>
      </c>
      <c r="D1409" t="s">
        <v>3398</v>
      </c>
      <c r="E1409" t="s">
        <v>3395</v>
      </c>
      <c r="F1409" t="s">
        <v>3396</v>
      </c>
      <c r="G1409" t="s">
        <v>481</v>
      </c>
      <c r="H1409" t="s">
        <v>816</v>
      </c>
      <c r="I1409" t="s">
        <v>817</v>
      </c>
      <c r="J1409" t="s">
        <v>818</v>
      </c>
      <c r="K1409" t="s">
        <v>55</v>
      </c>
      <c r="L1409" t="s">
        <v>819</v>
      </c>
      <c r="M1409" t="s">
        <v>57</v>
      </c>
      <c r="N1409" t="str">
        <f>"045369"</f>
        <v>045369</v>
      </c>
      <c r="O1409" t="s">
        <v>815</v>
      </c>
      <c r="P1409" t="s">
        <v>68</v>
      </c>
      <c r="Q1409">
        <v>52.7</v>
      </c>
      <c r="R1409">
        <v>28.299999999999997</v>
      </c>
      <c r="S1409" t="s">
        <v>69</v>
      </c>
    </row>
    <row r="1410" spans="1:19" x14ac:dyDescent="0.35">
      <c r="A1410">
        <v>11247</v>
      </c>
      <c r="B1410" t="str">
        <f>"011247"</f>
        <v>011247</v>
      </c>
      <c r="C1410" t="s">
        <v>5148</v>
      </c>
      <c r="D1410" t="s">
        <v>3394</v>
      </c>
      <c r="E1410" t="s">
        <v>3395</v>
      </c>
      <c r="F1410" t="s">
        <v>3396</v>
      </c>
      <c r="G1410" t="s">
        <v>212</v>
      </c>
      <c r="H1410" t="s">
        <v>5149</v>
      </c>
      <c r="I1410" t="s">
        <v>5150</v>
      </c>
      <c r="J1410" t="s">
        <v>215</v>
      </c>
      <c r="K1410" t="s">
        <v>55</v>
      </c>
      <c r="L1410" t="s">
        <v>5151</v>
      </c>
      <c r="M1410" t="s">
        <v>57</v>
      </c>
      <c r="N1410" t="str">
        <f>"043752"</f>
        <v>043752</v>
      </c>
      <c r="O1410" t="s">
        <v>440</v>
      </c>
      <c r="P1410" t="s">
        <v>68</v>
      </c>
      <c r="Q1410">
        <v>42.1</v>
      </c>
      <c r="R1410">
        <v>63</v>
      </c>
      <c r="S1410" t="s">
        <v>217</v>
      </c>
    </row>
    <row r="1411" spans="1:19" x14ac:dyDescent="0.35">
      <c r="A1411">
        <v>11262</v>
      </c>
      <c r="B1411" t="str">
        <f>"011262"</f>
        <v>011262</v>
      </c>
      <c r="C1411" t="s">
        <v>5152</v>
      </c>
      <c r="D1411" t="s">
        <v>3394</v>
      </c>
      <c r="E1411" t="s">
        <v>3395</v>
      </c>
      <c r="F1411" t="s">
        <v>3396</v>
      </c>
      <c r="G1411" t="s">
        <v>543</v>
      </c>
      <c r="H1411" t="s">
        <v>5153</v>
      </c>
      <c r="I1411" t="s">
        <v>5154</v>
      </c>
      <c r="J1411" t="s">
        <v>687</v>
      </c>
      <c r="K1411" t="s">
        <v>55</v>
      </c>
      <c r="L1411" t="s">
        <v>5155</v>
      </c>
      <c r="M1411" t="s">
        <v>57</v>
      </c>
      <c r="N1411" t="str">
        <f>"043844"</f>
        <v>043844</v>
      </c>
      <c r="O1411" t="s">
        <v>985</v>
      </c>
      <c r="P1411" t="s">
        <v>68</v>
      </c>
      <c r="Q1411">
        <v>97.3</v>
      </c>
      <c r="R1411">
        <v>88.9</v>
      </c>
      <c r="S1411" t="s">
        <v>180</v>
      </c>
    </row>
    <row r="1412" spans="1:19" x14ac:dyDescent="0.35">
      <c r="A1412">
        <v>11288</v>
      </c>
      <c r="B1412" t="str">
        <f>"011288"</f>
        <v>011288</v>
      </c>
      <c r="C1412" t="s">
        <v>5156</v>
      </c>
      <c r="D1412" t="s">
        <v>3398</v>
      </c>
      <c r="E1412" t="s">
        <v>3395</v>
      </c>
      <c r="F1412" t="s">
        <v>3396</v>
      </c>
      <c r="G1412" t="s">
        <v>2304</v>
      </c>
      <c r="H1412" t="s">
        <v>2363</v>
      </c>
      <c r="I1412" t="s">
        <v>2364</v>
      </c>
      <c r="J1412" t="s">
        <v>2365</v>
      </c>
      <c r="K1412" t="s">
        <v>55</v>
      </c>
      <c r="L1412" t="s">
        <v>2366</v>
      </c>
      <c r="M1412" t="s">
        <v>57</v>
      </c>
      <c r="N1412" t="str">
        <f>"046714"</f>
        <v>046714</v>
      </c>
      <c r="O1412" t="s">
        <v>2362</v>
      </c>
      <c r="P1412" t="s">
        <v>68</v>
      </c>
      <c r="Q1412">
        <v>26.1</v>
      </c>
      <c r="R1412">
        <v>11.099999999999994</v>
      </c>
      <c r="S1412" t="s">
        <v>156</v>
      </c>
    </row>
    <row r="1413" spans="1:19" x14ac:dyDescent="0.35">
      <c r="A1413">
        <v>11304</v>
      </c>
      <c r="B1413" t="str">
        <f>"011304"</f>
        <v>011304</v>
      </c>
      <c r="C1413" t="s">
        <v>5156</v>
      </c>
      <c r="D1413" t="s">
        <v>3398</v>
      </c>
      <c r="E1413" t="s">
        <v>3395</v>
      </c>
      <c r="F1413" t="s">
        <v>3396</v>
      </c>
      <c r="G1413" t="s">
        <v>63</v>
      </c>
      <c r="H1413" t="s">
        <v>5157</v>
      </c>
      <c r="I1413" t="s">
        <v>5158</v>
      </c>
      <c r="J1413" t="s">
        <v>2869</v>
      </c>
      <c r="K1413" t="s">
        <v>55</v>
      </c>
      <c r="L1413" t="s">
        <v>2870</v>
      </c>
      <c r="M1413" t="s">
        <v>57</v>
      </c>
      <c r="N1413" t="str">
        <f>"043976"</f>
        <v>043976</v>
      </c>
      <c r="O1413" t="s">
        <v>2866</v>
      </c>
      <c r="P1413" t="s">
        <v>68</v>
      </c>
      <c r="Q1413">
        <v>18.399999999999999</v>
      </c>
      <c r="R1413">
        <v>15.5</v>
      </c>
      <c r="S1413" t="s">
        <v>69</v>
      </c>
    </row>
    <row r="1414" spans="1:19" x14ac:dyDescent="0.35">
      <c r="A1414">
        <v>11312</v>
      </c>
      <c r="B1414" t="str">
        <f>"011312"</f>
        <v>011312</v>
      </c>
      <c r="C1414" t="s">
        <v>5159</v>
      </c>
      <c r="D1414" t="s">
        <v>3394</v>
      </c>
      <c r="E1414" t="s">
        <v>3395</v>
      </c>
      <c r="F1414" t="s">
        <v>3396</v>
      </c>
      <c r="G1414" t="s">
        <v>600</v>
      </c>
      <c r="H1414" t="s">
        <v>5160</v>
      </c>
      <c r="I1414" t="s">
        <v>5161</v>
      </c>
      <c r="J1414" t="s">
        <v>1348</v>
      </c>
      <c r="K1414" t="s">
        <v>55</v>
      </c>
      <c r="L1414" t="s">
        <v>4906</v>
      </c>
      <c r="M1414" t="s">
        <v>57</v>
      </c>
      <c r="N1414" t="str">
        <f>"043802"</f>
        <v>043802</v>
      </c>
      <c r="O1414" t="s">
        <v>3171</v>
      </c>
      <c r="P1414" t="s">
        <v>68</v>
      </c>
      <c r="Q1414">
        <v>100</v>
      </c>
      <c r="R1414">
        <v>100</v>
      </c>
      <c r="S1414" t="s">
        <v>60</v>
      </c>
    </row>
    <row r="1415" spans="1:19" x14ac:dyDescent="0.35">
      <c r="A1415">
        <v>11346</v>
      </c>
      <c r="B1415" t="str">
        <f>"011346"</f>
        <v>011346</v>
      </c>
      <c r="C1415" t="s">
        <v>5162</v>
      </c>
      <c r="D1415" t="s">
        <v>3400</v>
      </c>
      <c r="E1415" t="s">
        <v>3395</v>
      </c>
      <c r="F1415" t="s">
        <v>3396</v>
      </c>
      <c r="G1415" t="s">
        <v>200</v>
      </c>
      <c r="H1415" t="s">
        <v>5163</v>
      </c>
      <c r="I1415" t="s">
        <v>5164</v>
      </c>
      <c r="J1415" t="s">
        <v>2680</v>
      </c>
      <c r="K1415" t="s">
        <v>55</v>
      </c>
      <c r="L1415" t="s">
        <v>2681</v>
      </c>
      <c r="M1415" t="s">
        <v>57</v>
      </c>
      <c r="N1415" t="str">
        <f>"048207"</f>
        <v>048207</v>
      </c>
      <c r="O1415" t="s">
        <v>2677</v>
      </c>
      <c r="P1415" t="s">
        <v>68</v>
      </c>
      <c r="Q1415">
        <v>11.4</v>
      </c>
      <c r="R1415">
        <v>7.5</v>
      </c>
      <c r="S1415" t="s">
        <v>156</v>
      </c>
    </row>
    <row r="1416" spans="1:19" x14ac:dyDescent="0.35">
      <c r="A1416">
        <v>11395</v>
      </c>
      <c r="B1416" t="str">
        <f>"011395"</f>
        <v>011395</v>
      </c>
      <c r="C1416" t="s">
        <v>5165</v>
      </c>
      <c r="D1416" t="s">
        <v>3394</v>
      </c>
      <c r="E1416" t="s">
        <v>3395</v>
      </c>
      <c r="F1416" t="s">
        <v>3396</v>
      </c>
      <c r="G1416" t="s">
        <v>543</v>
      </c>
      <c r="H1416" t="s">
        <v>5166</v>
      </c>
      <c r="I1416" t="s">
        <v>5167</v>
      </c>
      <c r="J1416" t="s">
        <v>2789</v>
      </c>
      <c r="K1416" t="s">
        <v>55</v>
      </c>
      <c r="L1416" t="s">
        <v>2790</v>
      </c>
      <c r="M1416" t="s">
        <v>57</v>
      </c>
      <c r="N1416" t="str">
        <f>"048744"</f>
        <v>048744</v>
      </c>
      <c r="O1416" t="s">
        <v>2786</v>
      </c>
      <c r="P1416" t="s">
        <v>68</v>
      </c>
      <c r="Q1416">
        <v>28.9</v>
      </c>
      <c r="R1416">
        <v>6.7000000000000028</v>
      </c>
      <c r="S1416" t="s">
        <v>180</v>
      </c>
    </row>
    <row r="1417" spans="1:19" x14ac:dyDescent="0.35">
      <c r="A1417">
        <v>11429</v>
      </c>
      <c r="B1417" t="str">
        <f>"011429"</f>
        <v>011429</v>
      </c>
      <c r="C1417" t="s">
        <v>5168</v>
      </c>
      <c r="D1417" t="s">
        <v>3506</v>
      </c>
      <c r="E1417" t="s">
        <v>3395</v>
      </c>
      <c r="F1417" t="s">
        <v>3396</v>
      </c>
      <c r="G1417" t="s">
        <v>200</v>
      </c>
      <c r="H1417" t="s">
        <v>5169</v>
      </c>
      <c r="I1417" t="s">
        <v>5170</v>
      </c>
      <c r="J1417" t="s">
        <v>2685</v>
      </c>
      <c r="K1417" t="s">
        <v>55</v>
      </c>
      <c r="L1417" t="s">
        <v>2686</v>
      </c>
      <c r="M1417" t="s">
        <v>57</v>
      </c>
      <c r="N1417" t="str">
        <f>"044602"</f>
        <v>044602</v>
      </c>
      <c r="O1417" t="s">
        <v>2682</v>
      </c>
      <c r="P1417" t="s">
        <v>68</v>
      </c>
      <c r="Q1417">
        <v>39.299999999999997</v>
      </c>
      <c r="R1417">
        <v>22.400000000000006</v>
      </c>
      <c r="S1417" t="s">
        <v>156</v>
      </c>
    </row>
    <row r="1418" spans="1:19" x14ac:dyDescent="0.35">
      <c r="A1418">
        <v>11452</v>
      </c>
      <c r="B1418" t="str">
        <f>"011452"</f>
        <v>011452</v>
      </c>
      <c r="C1418" t="s">
        <v>5171</v>
      </c>
      <c r="D1418" t="s">
        <v>3394</v>
      </c>
      <c r="E1418" t="s">
        <v>3395</v>
      </c>
      <c r="F1418" t="s">
        <v>3396</v>
      </c>
      <c r="G1418" t="s">
        <v>19</v>
      </c>
      <c r="H1418" t="s">
        <v>5172</v>
      </c>
      <c r="I1418" t="s">
        <v>5173</v>
      </c>
      <c r="J1418" t="s">
        <v>2392</v>
      </c>
      <c r="K1418" t="s">
        <v>55</v>
      </c>
      <c r="L1418" t="s">
        <v>2393</v>
      </c>
      <c r="M1418" t="s">
        <v>57</v>
      </c>
      <c r="N1418" t="str">
        <f>"046045"</f>
        <v>046045</v>
      </c>
      <c r="O1418" t="s">
        <v>2389</v>
      </c>
      <c r="P1418" t="s">
        <v>68</v>
      </c>
      <c r="Q1418">
        <v>44</v>
      </c>
      <c r="R1418">
        <v>6.2000000000000028</v>
      </c>
      <c r="S1418" t="s">
        <v>217</v>
      </c>
    </row>
    <row r="1419" spans="1:19" x14ac:dyDescent="0.35">
      <c r="A1419">
        <v>11460</v>
      </c>
      <c r="B1419" t="str">
        <f>"011460"</f>
        <v>011460</v>
      </c>
      <c r="C1419" t="s">
        <v>5174</v>
      </c>
      <c r="D1419" t="s">
        <v>3398</v>
      </c>
      <c r="E1419" t="s">
        <v>3395</v>
      </c>
      <c r="F1419" t="s">
        <v>3396</v>
      </c>
      <c r="G1419" t="s">
        <v>19</v>
      </c>
      <c r="H1419" t="s">
        <v>5175</v>
      </c>
      <c r="I1419" t="s">
        <v>5176</v>
      </c>
      <c r="J1419" t="s">
        <v>2392</v>
      </c>
      <c r="K1419" t="s">
        <v>55</v>
      </c>
      <c r="L1419" t="s">
        <v>2393</v>
      </c>
      <c r="M1419" t="s">
        <v>57</v>
      </c>
      <c r="N1419" t="str">
        <f>"046045"</f>
        <v>046045</v>
      </c>
      <c r="O1419" t="s">
        <v>2389</v>
      </c>
      <c r="P1419" t="s">
        <v>68</v>
      </c>
      <c r="Q1419">
        <v>38.4</v>
      </c>
      <c r="R1419">
        <v>5.0999999999999943</v>
      </c>
      <c r="S1419" t="s">
        <v>217</v>
      </c>
    </row>
    <row r="1420" spans="1:19" x14ac:dyDescent="0.35">
      <c r="A1420">
        <v>11478</v>
      </c>
      <c r="B1420" t="str">
        <f>"011478"</f>
        <v>011478</v>
      </c>
      <c r="C1420" t="s">
        <v>5177</v>
      </c>
      <c r="D1420" t="s">
        <v>3398</v>
      </c>
      <c r="E1420" t="s">
        <v>3395</v>
      </c>
      <c r="F1420" t="s">
        <v>3396</v>
      </c>
      <c r="G1420" t="s">
        <v>493</v>
      </c>
      <c r="H1420" t="s">
        <v>2524</v>
      </c>
      <c r="I1420" t="s">
        <v>2525</v>
      </c>
      <c r="J1420" t="s">
        <v>2526</v>
      </c>
      <c r="K1420" t="s">
        <v>55</v>
      </c>
      <c r="L1420" t="s">
        <v>2527</v>
      </c>
      <c r="M1420" t="s">
        <v>57</v>
      </c>
      <c r="N1420" t="str">
        <f>"045914"</f>
        <v>045914</v>
      </c>
      <c r="O1420" t="s">
        <v>2523</v>
      </c>
      <c r="P1420" t="s">
        <v>68</v>
      </c>
      <c r="Q1420">
        <v>100</v>
      </c>
      <c r="R1420">
        <v>6.2000000000000028</v>
      </c>
      <c r="S1420" t="s">
        <v>130</v>
      </c>
    </row>
    <row r="1421" spans="1:19" x14ac:dyDescent="0.35">
      <c r="A1421">
        <v>11494</v>
      </c>
      <c r="B1421" t="str">
        <f>"011494"</f>
        <v>011494</v>
      </c>
      <c r="C1421" t="s">
        <v>5178</v>
      </c>
      <c r="D1421" t="s">
        <v>3394</v>
      </c>
      <c r="E1421" t="s">
        <v>3395</v>
      </c>
      <c r="F1421" t="s">
        <v>3396</v>
      </c>
      <c r="G1421" t="s">
        <v>1041</v>
      </c>
      <c r="H1421" t="s">
        <v>1087</v>
      </c>
      <c r="I1421" t="s">
        <v>1088</v>
      </c>
      <c r="J1421" t="s">
        <v>1089</v>
      </c>
      <c r="K1421" t="s">
        <v>55</v>
      </c>
      <c r="L1421" t="s">
        <v>1090</v>
      </c>
      <c r="M1421" t="s">
        <v>57</v>
      </c>
      <c r="N1421" t="str">
        <f>"046334"</f>
        <v>046334</v>
      </c>
      <c r="O1421" t="s">
        <v>1086</v>
      </c>
      <c r="P1421" t="s">
        <v>68</v>
      </c>
      <c r="Q1421">
        <v>52.3</v>
      </c>
      <c r="R1421">
        <v>5.5999999999999943</v>
      </c>
      <c r="S1421" t="s">
        <v>217</v>
      </c>
    </row>
    <row r="1422" spans="1:19" x14ac:dyDescent="0.35">
      <c r="A1422">
        <v>11502</v>
      </c>
      <c r="B1422" t="str">
        <f>"011502"</f>
        <v>011502</v>
      </c>
      <c r="C1422" t="s">
        <v>5179</v>
      </c>
      <c r="D1422" t="s">
        <v>3398</v>
      </c>
      <c r="E1422" t="s">
        <v>3395</v>
      </c>
      <c r="F1422" t="s">
        <v>3396</v>
      </c>
      <c r="G1422" t="s">
        <v>1041</v>
      </c>
      <c r="H1422" t="s">
        <v>1087</v>
      </c>
      <c r="I1422" t="s">
        <v>1088</v>
      </c>
      <c r="J1422" t="s">
        <v>1089</v>
      </c>
      <c r="K1422" t="s">
        <v>55</v>
      </c>
      <c r="L1422" t="s">
        <v>1090</v>
      </c>
      <c r="M1422" t="s">
        <v>57</v>
      </c>
      <c r="N1422" t="str">
        <f>"046334"</f>
        <v>046334</v>
      </c>
      <c r="O1422" t="s">
        <v>1086</v>
      </c>
      <c r="P1422" t="s">
        <v>68</v>
      </c>
      <c r="Q1422">
        <v>28.2</v>
      </c>
      <c r="R1422">
        <v>4.0999999999999943</v>
      </c>
      <c r="S1422" t="s">
        <v>217</v>
      </c>
    </row>
    <row r="1423" spans="1:19" x14ac:dyDescent="0.35">
      <c r="A1423">
        <v>11528</v>
      </c>
      <c r="B1423" t="str">
        <f>"011528"</f>
        <v>011528</v>
      </c>
      <c r="C1423" t="s">
        <v>5180</v>
      </c>
      <c r="D1423" t="s">
        <v>3400</v>
      </c>
      <c r="E1423" t="s">
        <v>3395</v>
      </c>
      <c r="F1423" t="s">
        <v>3396</v>
      </c>
      <c r="G1423" t="s">
        <v>642</v>
      </c>
      <c r="H1423" t="s">
        <v>5181</v>
      </c>
      <c r="I1423" t="s">
        <v>5182</v>
      </c>
      <c r="J1423" t="s">
        <v>1469</v>
      </c>
      <c r="K1423" t="s">
        <v>55</v>
      </c>
      <c r="L1423" t="s">
        <v>1470</v>
      </c>
      <c r="M1423" t="s">
        <v>57</v>
      </c>
      <c r="N1423" t="str">
        <f>"047241"</f>
        <v>047241</v>
      </c>
      <c r="O1423" t="s">
        <v>2444</v>
      </c>
      <c r="P1423" t="s">
        <v>68</v>
      </c>
      <c r="Q1423">
        <v>13.2</v>
      </c>
      <c r="R1423">
        <v>22.400000000000006</v>
      </c>
      <c r="S1423" t="s">
        <v>180</v>
      </c>
    </row>
    <row r="1424" spans="1:19" x14ac:dyDescent="0.35">
      <c r="A1424">
        <v>11536</v>
      </c>
      <c r="B1424" t="str">
        <f>"011536"</f>
        <v>011536</v>
      </c>
      <c r="C1424" t="s">
        <v>5183</v>
      </c>
      <c r="D1424" t="s">
        <v>3394</v>
      </c>
      <c r="E1424" t="s">
        <v>3395</v>
      </c>
      <c r="F1424" t="s">
        <v>3396</v>
      </c>
      <c r="G1424" t="s">
        <v>63</v>
      </c>
      <c r="H1424" t="s">
        <v>5184</v>
      </c>
      <c r="I1424" t="s">
        <v>5185</v>
      </c>
      <c r="J1424" t="s">
        <v>101</v>
      </c>
      <c r="K1424" t="s">
        <v>55</v>
      </c>
      <c r="L1424" t="s">
        <v>102</v>
      </c>
      <c r="M1424" t="s">
        <v>57</v>
      </c>
      <c r="N1424" t="str">
        <f>"044750"</f>
        <v>044750</v>
      </c>
      <c r="O1424" t="s">
        <v>98</v>
      </c>
      <c r="P1424" t="s">
        <v>68</v>
      </c>
      <c r="Q1424">
        <v>27.8</v>
      </c>
      <c r="R1424">
        <v>54</v>
      </c>
      <c r="S1424" t="s">
        <v>69</v>
      </c>
    </row>
    <row r="1425" spans="1:19" x14ac:dyDescent="0.35">
      <c r="A1425">
        <v>11551</v>
      </c>
      <c r="B1425" t="str">
        <f>"011551"</f>
        <v>011551</v>
      </c>
      <c r="C1425" t="s">
        <v>5186</v>
      </c>
      <c r="D1425" t="s">
        <v>3398</v>
      </c>
      <c r="E1425" t="s">
        <v>3395</v>
      </c>
      <c r="F1425" t="s">
        <v>3396</v>
      </c>
      <c r="G1425" t="s">
        <v>295</v>
      </c>
      <c r="H1425" t="s">
        <v>296</v>
      </c>
      <c r="I1425" t="s">
        <v>297</v>
      </c>
      <c r="J1425" t="s">
        <v>298</v>
      </c>
      <c r="K1425" t="s">
        <v>55</v>
      </c>
      <c r="L1425" t="s">
        <v>299</v>
      </c>
      <c r="M1425" t="s">
        <v>57</v>
      </c>
      <c r="N1425" t="str">
        <f>"049197"</f>
        <v>049197</v>
      </c>
      <c r="O1425" t="s">
        <v>294</v>
      </c>
      <c r="P1425" t="s">
        <v>68</v>
      </c>
      <c r="Q1425">
        <v>25.8</v>
      </c>
      <c r="R1425">
        <v>7.5999999999999943</v>
      </c>
      <c r="S1425" t="s">
        <v>77</v>
      </c>
    </row>
    <row r="1426" spans="1:19" x14ac:dyDescent="0.35">
      <c r="A1426">
        <v>11569</v>
      </c>
      <c r="B1426" t="str">
        <f>"011569"</f>
        <v>011569</v>
      </c>
      <c r="C1426" t="s">
        <v>5187</v>
      </c>
      <c r="D1426" t="s">
        <v>3400</v>
      </c>
      <c r="E1426" t="s">
        <v>3395</v>
      </c>
      <c r="F1426" t="s">
        <v>3396</v>
      </c>
      <c r="G1426" t="s">
        <v>295</v>
      </c>
      <c r="H1426" t="s">
        <v>5188</v>
      </c>
      <c r="I1426" t="s">
        <v>5189</v>
      </c>
      <c r="J1426" t="s">
        <v>298</v>
      </c>
      <c r="K1426" t="s">
        <v>55</v>
      </c>
      <c r="L1426" t="s">
        <v>299</v>
      </c>
      <c r="M1426" t="s">
        <v>57</v>
      </c>
      <c r="N1426" t="str">
        <f>"049197"</f>
        <v>049197</v>
      </c>
      <c r="O1426" t="s">
        <v>294</v>
      </c>
      <c r="P1426" t="s">
        <v>68</v>
      </c>
      <c r="Q1426">
        <v>33.200000000000003</v>
      </c>
      <c r="R1426">
        <v>13.5</v>
      </c>
      <c r="S1426" t="s">
        <v>77</v>
      </c>
    </row>
    <row r="1427" spans="1:19" x14ac:dyDescent="0.35">
      <c r="A1427">
        <v>11593</v>
      </c>
      <c r="B1427" t="str">
        <f>"011593"</f>
        <v>011593</v>
      </c>
      <c r="C1427" t="s">
        <v>5190</v>
      </c>
      <c r="D1427" t="s">
        <v>3394</v>
      </c>
      <c r="E1427" t="s">
        <v>3395</v>
      </c>
      <c r="F1427" t="s">
        <v>3396</v>
      </c>
      <c r="G1427" t="s">
        <v>600</v>
      </c>
      <c r="H1427" t="s">
        <v>5191</v>
      </c>
      <c r="I1427" t="s">
        <v>5192</v>
      </c>
      <c r="J1427" t="s">
        <v>1348</v>
      </c>
      <c r="K1427" t="s">
        <v>55</v>
      </c>
      <c r="L1427" t="s">
        <v>1516</v>
      </c>
      <c r="M1427" t="s">
        <v>57</v>
      </c>
      <c r="N1427" t="str">
        <f>"043802"</f>
        <v>043802</v>
      </c>
      <c r="O1427" t="s">
        <v>3171</v>
      </c>
      <c r="P1427" t="s">
        <v>68</v>
      </c>
      <c r="Q1427">
        <v>100</v>
      </c>
      <c r="R1427">
        <v>80.8</v>
      </c>
      <c r="S1427" t="s">
        <v>60</v>
      </c>
    </row>
    <row r="1428" spans="1:19" x14ac:dyDescent="0.35">
      <c r="A1428">
        <v>11601</v>
      </c>
      <c r="B1428" t="str">
        <f>"011601"</f>
        <v>011601</v>
      </c>
      <c r="C1428" t="s">
        <v>5193</v>
      </c>
      <c r="D1428" t="s">
        <v>3400</v>
      </c>
      <c r="E1428" t="s">
        <v>3395</v>
      </c>
      <c r="F1428" t="s">
        <v>3396</v>
      </c>
      <c r="G1428" t="s">
        <v>383</v>
      </c>
      <c r="H1428" t="s">
        <v>5194</v>
      </c>
      <c r="I1428" t="s">
        <v>5195</v>
      </c>
      <c r="J1428" t="s">
        <v>3349</v>
      </c>
      <c r="K1428" t="s">
        <v>55</v>
      </c>
      <c r="L1428" t="s">
        <v>3350</v>
      </c>
      <c r="M1428" t="s">
        <v>57</v>
      </c>
      <c r="N1428" t="str">
        <f>"044859"</f>
        <v>044859</v>
      </c>
      <c r="O1428" t="s">
        <v>3346</v>
      </c>
      <c r="P1428" t="s">
        <v>68</v>
      </c>
      <c r="Q1428">
        <v>70.099999999999994</v>
      </c>
      <c r="R1428">
        <v>27.400000000000006</v>
      </c>
      <c r="S1428" t="s">
        <v>77</v>
      </c>
    </row>
    <row r="1429" spans="1:19" x14ac:dyDescent="0.35">
      <c r="A1429">
        <v>11619</v>
      </c>
      <c r="B1429" t="str">
        <f>"011619"</f>
        <v>011619</v>
      </c>
      <c r="C1429" t="s">
        <v>5196</v>
      </c>
      <c r="D1429" t="s">
        <v>3394</v>
      </c>
      <c r="E1429" t="s">
        <v>3395</v>
      </c>
      <c r="F1429" t="s">
        <v>3396</v>
      </c>
      <c r="G1429" t="s">
        <v>244</v>
      </c>
      <c r="H1429" t="s">
        <v>5197</v>
      </c>
      <c r="I1429" t="s">
        <v>5198</v>
      </c>
      <c r="J1429" t="s">
        <v>212</v>
      </c>
      <c r="K1429" t="s">
        <v>55</v>
      </c>
      <c r="L1429" t="s">
        <v>2312</v>
      </c>
      <c r="M1429" t="s">
        <v>57</v>
      </c>
      <c r="N1429" t="str">
        <f>"044107"</f>
        <v>044107</v>
      </c>
      <c r="O1429" t="s">
        <v>971</v>
      </c>
      <c r="P1429" t="s">
        <v>68</v>
      </c>
      <c r="Q1429">
        <v>100</v>
      </c>
      <c r="R1429">
        <v>36</v>
      </c>
      <c r="S1429" t="s">
        <v>217</v>
      </c>
    </row>
    <row r="1430" spans="1:19" x14ac:dyDescent="0.35">
      <c r="A1430">
        <v>11627</v>
      </c>
      <c r="B1430" t="str">
        <f>"011627"</f>
        <v>011627</v>
      </c>
      <c r="C1430" t="s">
        <v>5199</v>
      </c>
      <c r="D1430" t="s">
        <v>3398</v>
      </c>
      <c r="E1430" t="s">
        <v>3395</v>
      </c>
      <c r="F1430" t="s">
        <v>3396</v>
      </c>
      <c r="G1430" t="s">
        <v>821</v>
      </c>
      <c r="H1430" t="s">
        <v>5200</v>
      </c>
      <c r="I1430" t="s">
        <v>5201</v>
      </c>
      <c r="J1430" t="s">
        <v>1427</v>
      </c>
      <c r="K1430" t="s">
        <v>55</v>
      </c>
      <c r="L1430" t="s">
        <v>1428</v>
      </c>
      <c r="M1430" t="s">
        <v>57</v>
      </c>
      <c r="N1430" t="str">
        <f>"043984"</f>
        <v>043984</v>
      </c>
      <c r="O1430" t="s">
        <v>1424</v>
      </c>
      <c r="P1430" t="s">
        <v>68</v>
      </c>
      <c r="Q1430">
        <v>28.6</v>
      </c>
      <c r="R1430">
        <v>23.200000000000003</v>
      </c>
      <c r="S1430" t="s">
        <v>156</v>
      </c>
    </row>
    <row r="1431" spans="1:19" x14ac:dyDescent="0.35">
      <c r="A1431">
        <v>11635</v>
      </c>
      <c r="B1431" t="str">
        <f>"011635"</f>
        <v>011635</v>
      </c>
      <c r="C1431" t="s">
        <v>5202</v>
      </c>
      <c r="D1431" t="s">
        <v>3394</v>
      </c>
      <c r="E1431" t="s">
        <v>3395</v>
      </c>
      <c r="F1431" t="s">
        <v>3396</v>
      </c>
      <c r="G1431" t="s">
        <v>264</v>
      </c>
      <c r="H1431" t="s">
        <v>5203</v>
      </c>
      <c r="I1431" t="s">
        <v>5204</v>
      </c>
      <c r="J1431" t="s">
        <v>267</v>
      </c>
      <c r="K1431" t="s">
        <v>55</v>
      </c>
      <c r="L1431" t="s">
        <v>5205</v>
      </c>
      <c r="M1431" t="s">
        <v>57</v>
      </c>
      <c r="N1431" t="str">
        <f>"043489"</f>
        <v>043489</v>
      </c>
      <c r="O1431" t="s">
        <v>3176</v>
      </c>
      <c r="P1431" t="s">
        <v>68</v>
      </c>
      <c r="Q1431">
        <v>100</v>
      </c>
      <c r="R1431">
        <v>93</v>
      </c>
      <c r="S1431" t="s">
        <v>77</v>
      </c>
    </row>
    <row r="1432" spans="1:19" x14ac:dyDescent="0.35">
      <c r="A1432">
        <v>11643</v>
      </c>
      <c r="B1432" t="str">
        <f>"011643"</f>
        <v>011643</v>
      </c>
      <c r="C1432" t="s">
        <v>5206</v>
      </c>
      <c r="D1432" t="s">
        <v>3394</v>
      </c>
      <c r="E1432" t="s">
        <v>3395</v>
      </c>
      <c r="F1432" t="s">
        <v>3396</v>
      </c>
      <c r="G1432" t="s">
        <v>600</v>
      </c>
      <c r="H1432" t="s">
        <v>5207</v>
      </c>
      <c r="I1432" t="s">
        <v>5208</v>
      </c>
      <c r="J1432" t="s">
        <v>1348</v>
      </c>
      <c r="K1432" t="s">
        <v>55</v>
      </c>
      <c r="L1432" t="s">
        <v>5209</v>
      </c>
      <c r="M1432" t="s">
        <v>57</v>
      </c>
      <c r="N1432" t="str">
        <f>"044800"</f>
        <v>044800</v>
      </c>
      <c r="O1432" t="s">
        <v>1133</v>
      </c>
      <c r="P1432" t="s">
        <v>68</v>
      </c>
      <c r="Q1432">
        <v>83.2</v>
      </c>
      <c r="R1432">
        <v>54.3</v>
      </c>
      <c r="S1432" t="s">
        <v>60</v>
      </c>
    </row>
    <row r="1433" spans="1:19" x14ac:dyDescent="0.35">
      <c r="A1433">
        <v>11668</v>
      </c>
      <c r="B1433" t="str">
        <f>"011668"</f>
        <v>011668</v>
      </c>
      <c r="C1433" t="s">
        <v>5210</v>
      </c>
      <c r="D1433" t="s">
        <v>3398</v>
      </c>
      <c r="E1433" t="s">
        <v>3395</v>
      </c>
      <c r="F1433" t="s">
        <v>3396</v>
      </c>
      <c r="G1433" t="s">
        <v>212</v>
      </c>
      <c r="H1433" t="s">
        <v>912</v>
      </c>
      <c r="I1433" t="s">
        <v>913</v>
      </c>
      <c r="J1433" t="s">
        <v>215</v>
      </c>
      <c r="K1433" t="s">
        <v>55</v>
      </c>
      <c r="L1433" t="s">
        <v>914</v>
      </c>
      <c r="M1433" t="s">
        <v>57</v>
      </c>
      <c r="N1433" t="str">
        <f>"047332"</f>
        <v>047332</v>
      </c>
      <c r="O1433" t="s">
        <v>911</v>
      </c>
      <c r="P1433" t="s">
        <v>68</v>
      </c>
      <c r="Q1433">
        <v>57.6</v>
      </c>
      <c r="R1433">
        <v>72.599999999999994</v>
      </c>
      <c r="S1433" t="s">
        <v>217</v>
      </c>
    </row>
    <row r="1434" spans="1:19" x14ac:dyDescent="0.35">
      <c r="A1434">
        <v>11676</v>
      </c>
      <c r="B1434" t="str">
        <f>"011676"</f>
        <v>011676</v>
      </c>
      <c r="C1434" t="s">
        <v>5211</v>
      </c>
      <c r="D1434" t="s">
        <v>3394</v>
      </c>
      <c r="E1434" t="s">
        <v>3395</v>
      </c>
      <c r="F1434" t="s">
        <v>3396</v>
      </c>
      <c r="G1434" t="s">
        <v>143</v>
      </c>
      <c r="H1434" t="s">
        <v>5212</v>
      </c>
      <c r="I1434" t="s">
        <v>5213</v>
      </c>
      <c r="J1434" t="s">
        <v>166</v>
      </c>
      <c r="K1434" t="s">
        <v>55</v>
      </c>
      <c r="L1434" t="s">
        <v>167</v>
      </c>
      <c r="M1434" t="s">
        <v>57</v>
      </c>
      <c r="N1434" t="str">
        <f>"048157"</f>
        <v>048157</v>
      </c>
      <c r="O1434" t="s">
        <v>2140</v>
      </c>
      <c r="P1434" t="s">
        <v>68</v>
      </c>
      <c r="Q1434">
        <v>39</v>
      </c>
      <c r="R1434">
        <v>10.099999999999994</v>
      </c>
      <c r="S1434" t="s">
        <v>69</v>
      </c>
    </row>
    <row r="1435" spans="1:19" x14ac:dyDescent="0.35">
      <c r="A1435">
        <v>11684</v>
      </c>
      <c r="B1435" t="str">
        <f>"011684"</f>
        <v>011684</v>
      </c>
      <c r="C1435" t="s">
        <v>5214</v>
      </c>
      <c r="D1435" t="s">
        <v>3398</v>
      </c>
      <c r="E1435" t="s">
        <v>3395</v>
      </c>
      <c r="F1435" t="s">
        <v>3396</v>
      </c>
      <c r="G1435" t="s">
        <v>143</v>
      </c>
      <c r="H1435" t="s">
        <v>5215</v>
      </c>
      <c r="I1435" t="s">
        <v>5216</v>
      </c>
      <c r="J1435" t="s">
        <v>166</v>
      </c>
      <c r="K1435" t="s">
        <v>55</v>
      </c>
      <c r="L1435" t="s">
        <v>167</v>
      </c>
      <c r="M1435" t="s">
        <v>57</v>
      </c>
      <c r="N1435" t="str">
        <f>"048157"</f>
        <v>048157</v>
      </c>
      <c r="O1435" t="s">
        <v>2140</v>
      </c>
      <c r="P1435" t="s">
        <v>68</v>
      </c>
      <c r="Q1435">
        <v>30.9</v>
      </c>
      <c r="R1435">
        <v>10.599999999999994</v>
      </c>
      <c r="S1435" t="s">
        <v>69</v>
      </c>
    </row>
    <row r="1436" spans="1:19" x14ac:dyDescent="0.35">
      <c r="A1436">
        <v>11692</v>
      </c>
      <c r="B1436" t="str">
        <f>"011692"</f>
        <v>011692</v>
      </c>
      <c r="C1436" t="s">
        <v>5217</v>
      </c>
      <c r="D1436" t="s">
        <v>3398</v>
      </c>
      <c r="E1436" t="s">
        <v>3395</v>
      </c>
      <c r="F1436" t="s">
        <v>3396</v>
      </c>
      <c r="G1436" t="s">
        <v>264</v>
      </c>
      <c r="H1436" t="s">
        <v>5218</v>
      </c>
      <c r="I1436" t="s">
        <v>5219</v>
      </c>
      <c r="J1436" t="s">
        <v>267</v>
      </c>
      <c r="K1436" t="s">
        <v>55</v>
      </c>
      <c r="L1436" t="s">
        <v>4206</v>
      </c>
      <c r="M1436" t="s">
        <v>57</v>
      </c>
      <c r="N1436" t="str">
        <f>"043489"</f>
        <v>043489</v>
      </c>
      <c r="O1436" t="s">
        <v>3176</v>
      </c>
      <c r="P1436" t="s">
        <v>68</v>
      </c>
      <c r="Q1436">
        <v>100</v>
      </c>
      <c r="R1436">
        <v>66.2</v>
      </c>
      <c r="S1436" t="s">
        <v>77</v>
      </c>
    </row>
    <row r="1437" spans="1:19" x14ac:dyDescent="0.35">
      <c r="A1437">
        <v>11700</v>
      </c>
      <c r="B1437" t="str">
        <f>"011700"</f>
        <v>011700</v>
      </c>
      <c r="C1437" t="s">
        <v>5220</v>
      </c>
      <c r="D1437" t="s">
        <v>3394</v>
      </c>
      <c r="E1437" t="s">
        <v>3395</v>
      </c>
      <c r="F1437" t="s">
        <v>3396</v>
      </c>
      <c r="G1437" t="s">
        <v>264</v>
      </c>
      <c r="H1437" t="s">
        <v>5221</v>
      </c>
      <c r="I1437" t="s">
        <v>5222</v>
      </c>
      <c r="J1437" t="s">
        <v>267</v>
      </c>
      <c r="K1437" t="s">
        <v>55</v>
      </c>
      <c r="L1437" t="s">
        <v>5223</v>
      </c>
      <c r="M1437" t="s">
        <v>57</v>
      </c>
      <c r="N1437" t="str">
        <f>"043489"</f>
        <v>043489</v>
      </c>
      <c r="O1437" t="s">
        <v>3176</v>
      </c>
      <c r="P1437" t="s">
        <v>68</v>
      </c>
      <c r="Q1437">
        <v>100</v>
      </c>
      <c r="R1437">
        <v>77.3</v>
      </c>
      <c r="S1437" t="s">
        <v>77</v>
      </c>
    </row>
    <row r="1438" spans="1:19" x14ac:dyDescent="0.35">
      <c r="A1438">
        <v>11734</v>
      </c>
      <c r="B1438" t="str">
        <f>"011734"</f>
        <v>011734</v>
      </c>
      <c r="C1438" t="s">
        <v>5224</v>
      </c>
      <c r="D1438" t="s">
        <v>3400</v>
      </c>
      <c r="E1438" t="s">
        <v>3395</v>
      </c>
      <c r="F1438" t="s">
        <v>3396</v>
      </c>
      <c r="G1438" t="s">
        <v>187</v>
      </c>
      <c r="H1438" t="s">
        <v>5225</v>
      </c>
      <c r="I1438" t="s">
        <v>5226</v>
      </c>
      <c r="J1438" t="s">
        <v>2020</v>
      </c>
      <c r="K1438" t="s">
        <v>55</v>
      </c>
      <c r="L1438" t="s">
        <v>2021</v>
      </c>
      <c r="M1438" t="s">
        <v>57</v>
      </c>
      <c r="N1438" t="str">
        <f>"045591"</f>
        <v>045591</v>
      </c>
      <c r="O1438" t="s">
        <v>2017</v>
      </c>
      <c r="P1438" t="s">
        <v>68</v>
      </c>
      <c r="Q1438">
        <v>44.8</v>
      </c>
      <c r="R1438">
        <v>7.0999999999999943</v>
      </c>
      <c r="S1438" t="s">
        <v>77</v>
      </c>
    </row>
    <row r="1439" spans="1:19" x14ac:dyDescent="0.35">
      <c r="A1439">
        <v>11767</v>
      </c>
      <c r="B1439" t="str">
        <f>"011767"</f>
        <v>011767</v>
      </c>
      <c r="C1439" t="s">
        <v>5227</v>
      </c>
      <c r="D1439" t="s">
        <v>3394</v>
      </c>
      <c r="E1439" t="s">
        <v>3395</v>
      </c>
      <c r="F1439" t="s">
        <v>3396</v>
      </c>
      <c r="G1439" t="s">
        <v>264</v>
      </c>
      <c r="H1439" t="s">
        <v>5228</v>
      </c>
      <c r="I1439" t="s">
        <v>5229</v>
      </c>
      <c r="J1439" t="s">
        <v>1210</v>
      </c>
      <c r="K1439" t="s">
        <v>55</v>
      </c>
      <c r="L1439" t="s">
        <v>1211</v>
      </c>
      <c r="M1439" t="s">
        <v>57</v>
      </c>
      <c r="N1439" t="str">
        <f>"044834"</f>
        <v>044834</v>
      </c>
      <c r="O1439" t="s">
        <v>1207</v>
      </c>
      <c r="P1439" t="s">
        <v>68</v>
      </c>
      <c r="Q1439">
        <v>20.5</v>
      </c>
      <c r="R1439">
        <v>18.200000000000003</v>
      </c>
      <c r="S1439" t="s">
        <v>77</v>
      </c>
    </row>
    <row r="1440" spans="1:19" x14ac:dyDescent="0.35">
      <c r="A1440">
        <v>11783</v>
      </c>
      <c r="B1440" t="str">
        <f>"011783"</f>
        <v>011783</v>
      </c>
      <c r="C1440" t="s">
        <v>5230</v>
      </c>
      <c r="D1440" t="s">
        <v>3394</v>
      </c>
      <c r="E1440" t="s">
        <v>3395</v>
      </c>
      <c r="F1440" t="s">
        <v>3396</v>
      </c>
      <c r="G1440" t="s">
        <v>63</v>
      </c>
      <c r="H1440" t="s">
        <v>5231</v>
      </c>
      <c r="I1440" t="s">
        <v>5232</v>
      </c>
      <c r="J1440" t="s">
        <v>2316</v>
      </c>
      <c r="K1440" t="s">
        <v>55</v>
      </c>
      <c r="L1440" t="s">
        <v>2317</v>
      </c>
      <c r="M1440" t="s">
        <v>57</v>
      </c>
      <c r="N1440" t="str">
        <f>"046573"</f>
        <v>046573</v>
      </c>
      <c r="O1440" t="s">
        <v>2313</v>
      </c>
      <c r="P1440" t="s">
        <v>68</v>
      </c>
      <c r="Q1440">
        <v>18.100000000000001</v>
      </c>
      <c r="R1440">
        <v>13.599999999999994</v>
      </c>
      <c r="S1440" t="s">
        <v>69</v>
      </c>
    </row>
    <row r="1441" spans="1:19" x14ac:dyDescent="0.35">
      <c r="A1441">
        <v>11791</v>
      </c>
      <c r="B1441" t="str">
        <f>"011791"</f>
        <v>011791</v>
      </c>
      <c r="C1441" t="s">
        <v>5233</v>
      </c>
      <c r="D1441" t="s">
        <v>3398</v>
      </c>
      <c r="E1441" t="s">
        <v>3395</v>
      </c>
      <c r="F1441" t="s">
        <v>3396</v>
      </c>
      <c r="G1441" t="s">
        <v>383</v>
      </c>
      <c r="H1441" t="s">
        <v>5234</v>
      </c>
      <c r="I1441" t="s">
        <v>5235</v>
      </c>
      <c r="J1441" t="s">
        <v>1215</v>
      </c>
      <c r="K1441" t="s">
        <v>55</v>
      </c>
      <c r="L1441" t="s">
        <v>3277</v>
      </c>
      <c r="M1441" t="s">
        <v>57</v>
      </c>
      <c r="N1441" t="str">
        <f>"048298"</f>
        <v>048298</v>
      </c>
      <c r="O1441" t="s">
        <v>3274</v>
      </c>
      <c r="P1441" t="s">
        <v>68</v>
      </c>
      <c r="Q1441">
        <v>55.1</v>
      </c>
      <c r="R1441">
        <v>25.5</v>
      </c>
      <c r="S1441" t="s">
        <v>77</v>
      </c>
    </row>
    <row r="1442" spans="1:19" x14ac:dyDescent="0.35">
      <c r="A1442">
        <v>11817</v>
      </c>
      <c r="B1442" t="str">
        <f>"011817"</f>
        <v>011817</v>
      </c>
      <c r="C1442" t="s">
        <v>5236</v>
      </c>
      <c r="D1442" t="s">
        <v>3394</v>
      </c>
      <c r="E1442" t="s">
        <v>3395</v>
      </c>
      <c r="F1442" t="s">
        <v>3396</v>
      </c>
      <c r="G1442" t="s">
        <v>642</v>
      </c>
      <c r="H1442" t="s">
        <v>5237</v>
      </c>
      <c r="I1442" t="s">
        <v>5238</v>
      </c>
      <c r="J1442" t="s">
        <v>1461</v>
      </c>
      <c r="K1442" t="s">
        <v>55</v>
      </c>
      <c r="L1442" t="s">
        <v>1462</v>
      </c>
      <c r="M1442" t="s">
        <v>57</v>
      </c>
      <c r="N1442" t="str">
        <f>"043968"</f>
        <v>043968</v>
      </c>
      <c r="O1442" t="s">
        <v>1458</v>
      </c>
      <c r="P1442" t="s">
        <v>68</v>
      </c>
      <c r="Q1442">
        <v>91.7</v>
      </c>
      <c r="R1442">
        <v>30.400000000000006</v>
      </c>
      <c r="S1442" t="s">
        <v>180</v>
      </c>
    </row>
    <row r="1443" spans="1:19" x14ac:dyDescent="0.35">
      <c r="A1443">
        <v>11908</v>
      </c>
      <c r="B1443" t="str">
        <f>"011908"</f>
        <v>011908</v>
      </c>
      <c r="C1443" t="s">
        <v>5239</v>
      </c>
      <c r="D1443" t="s">
        <v>3400</v>
      </c>
      <c r="E1443" t="s">
        <v>3395</v>
      </c>
      <c r="F1443" t="s">
        <v>3396</v>
      </c>
      <c r="G1443" t="s">
        <v>63</v>
      </c>
      <c r="H1443" t="s">
        <v>5240</v>
      </c>
      <c r="I1443" t="s">
        <v>5241</v>
      </c>
      <c r="J1443" t="s">
        <v>2231</v>
      </c>
      <c r="K1443" t="s">
        <v>55</v>
      </c>
      <c r="L1443" t="s">
        <v>2232</v>
      </c>
      <c r="M1443" t="s">
        <v>57</v>
      </c>
      <c r="N1443" t="str">
        <f>"043612"</f>
        <v>043612</v>
      </c>
      <c r="O1443" t="s">
        <v>3068</v>
      </c>
      <c r="P1443" t="s">
        <v>68</v>
      </c>
      <c r="Q1443">
        <v>32.5</v>
      </c>
      <c r="R1443">
        <v>29.5</v>
      </c>
      <c r="S1443" t="s">
        <v>69</v>
      </c>
    </row>
    <row r="1444" spans="1:19" x14ac:dyDescent="0.35">
      <c r="A1444">
        <v>11916</v>
      </c>
      <c r="B1444" t="str">
        <f>"011916"</f>
        <v>011916</v>
      </c>
      <c r="C1444" t="s">
        <v>5242</v>
      </c>
      <c r="D1444" t="s">
        <v>3394</v>
      </c>
      <c r="E1444" t="s">
        <v>3395</v>
      </c>
      <c r="F1444" t="s">
        <v>3396</v>
      </c>
      <c r="G1444" t="s">
        <v>821</v>
      </c>
      <c r="H1444" t="s">
        <v>2047</v>
      </c>
      <c r="I1444" t="s">
        <v>2048</v>
      </c>
      <c r="J1444" t="s">
        <v>2049</v>
      </c>
      <c r="K1444" t="s">
        <v>55</v>
      </c>
      <c r="L1444" t="s">
        <v>2050</v>
      </c>
      <c r="M1444" t="s">
        <v>57</v>
      </c>
      <c r="N1444" t="str">
        <f>"047514"</f>
        <v>047514</v>
      </c>
      <c r="O1444" t="s">
        <v>2046</v>
      </c>
      <c r="P1444" t="s">
        <v>68</v>
      </c>
      <c r="Q1444">
        <v>44.5</v>
      </c>
      <c r="R1444">
        <v>4.0999999999999943</v>
      </c>
      <c r="S1444" t="s">
        <v>156</v>
      </c>
    </row>
    <row r="1445" spans="1:19" x14ac:dyDescent="0.35">
      <c r="A1445">
        <v>11924</v>
      </c>
      <c r="B1445" t="str">
        <f>"011924"</f>
        <v>011924</v>
      </c>
      <c r="C1445" t="s">
        <v>5243</v>
      </c>
      <c r="D1445" t="s">
        <v>3394</v>
      </c>
      <c r="E1445" t="s">
        <v>3395</v>
      </c>
      <c r="F1445" t="s">
        <v>3396</v>
      </c>
      <c r="G1445" t="s">
        <v>325</v>
      </c>
      <c r="H1445" t="s">
        <v>5244</v>
      </c>
      <c r="I1445" t="s">
        <v>5245</v>
      </c>
      <c r="J1445" t="s">
        <v>2819</v>
      </c>
      <c r="K1445" t="s">
        <v>55</v>
      </c>
      <c r="L1445" t="s">
        <v>2820</v>
      </c>
      <c r="M1445" t="s">
        <v>57</v>
      </c>
      <c r="N1445" t="str">
        <f>"044925"</f>
        <v>044925</v>
      </c>
      <c r="O1445" t="s">
        <v>2816</v>
      </c>
      <c r="P1445" t="s">
        <v>68</v>
      </c>
      <c r="Q1445">
        <v>60.6</v>
      </c>
      <c r="R1445">
        <v>19.700000000000003</v>
      </c>
      <c r="S1445" t="s">
        <v>180</v>
      </c>
    </row>
    <row r="1446" spans="1:19" x14ac:dyDescent="0.35">
      <c r="A1446">
        <v>11932</v>
      </c>
      <c r="B1446" t="str">
        <f>"011932"</f>
        <v>011932</v>
      </c>
      <c r="C1446" t="s">
        <v>5246</v>
      </c>
      <c r="D1446" t="s">
        <v>3394</v>
      </c>
      <c r="E1446" t="s">
        <v>3395</v>
      </c>
      <c r="F1446" t="s">
        <v>3396</v>
      </c>
      <c r="G1446" t="s">
        <v>264</v>
      </c>
      <c r="H1446" t="s">
        <v>5247</v>
      </c>
      <c r="I1446" t="s">
        <v>5248</v>
      </c>
      <c r="J1446" t="s">
        <v>267</v>
      </c>
      <c r="K1446" t="s">
        <v>55</v>
      </c>
      <c r="L1446" t="s">
        <v>5205</v>
      </c>
      <c r="M1446" t="s">
        <v>57</v>
      </c>
      <c r="N1446" t="str">
        <f>"043489"</f>
        <v>043489</v>
      </c>
      <c r="O1446" t="s">
        <v>3176</v>
      </c>
      <c r="P1446" t="s">
        <v>68</v>
      </c>
      <c r="Q1446">
        <v>100</v>
      </c>
      <c r="R1446">
        <v>89.6</v>
      </c>
      <c r="S1446" t="s">
        <v>77</v>
      </c>
    </row>
    <row r="1447" spans="1:19" x14ac:dyDescent="0.35">
      <c r="A1447">
        <v>11957</v>
      </c>
      <c r="B1447" t="str">
        <f>"011957"</f>
        <v>011957</v>
      </c>
      <c r="C1447" t="s">
        <v>5249</v>
      </c>
      <c r="D1447" t="s">
        <v>3394</v>
      </c>
      <c r="E1447" t="s">
        <v>3395</v>
      </c>
      <c r="F1447" t="s">
        <v>3396</v>
      </c>
      <c r="G1447" t="s">
        <v>600</v>
      </c>
      <c r="H1447" t="s">
        <v>5250</v>
      </c>
      <c r="I1447" t="s">
        <v>5251</v>
      </c>
      <c r="J1447" t="s">
        <v>1348</v>
      </c>
      <c r="K1447" t="s">
        <v>55</v>
      </c>
      <c r="L1447" t="s">
        <v>3462</v>
      </c>
      <c r="M1447" t="s">
        <v>57</v>
      </c>
      <c r="N1447" t="str">
        <f>"043802"</f>
        <v>043802</v>
      </c>
      <c r="O1447" t="s">
        <v>3171</v>
      </c>
      <c r="P1447" t="s">
        <v>68</v>
      </c>
      <c r="Q1447">
        <v>100</v>
      </c>
      <c r="R1447">
        <v>90.5</v>
      </c>
      <c r="S1447" t="s">
        <v>60</v>
      </c>
    </row>
    <row r="1448" spans="1:19" x14ac:dyDescent="0.35">
      <c r="A1448">
        <v>11973</v>
      </c>
      <c r="B1448" t="str">
        <f>"011973"</f>
        <v>011973</v>
      </c>
      <c r="C1448" t="s">
        <v>5252</v>
      </c>
      <c r="D1448" t="s">
        <v>3394</v>
      </c>
      <c r="E1448" t="s">
        <v>3395</v>
      </c>
      <c r="F1448" t="s">
        <v>3396</v>
      </c>
      <c r="G1448" t="s">
        <v>212</v>
      </c>
      <c r="H1448" t="s">
        <v>5253</v>
      </c>
      <c r="I1448" t="s">
        <v>5254</v>
      </c>
      <c r="J1448" t="s">
        <v>215</v>
      </c>
      <c r="K1448" t="s">
        <v>55</v>
      </c>
      <c r="L1448" t="s">
        <v>3755</v>
      </c>
      <c r="M1448" t="s">
        <v>57</v>
      </c>
      <c r="N1448" t="str">
        <f>"044081"</f>
        <v>044081</v>
      </c>
      <c r="O1448" t="s">
        <v>2318</v>
      </c>
      <c r="P1448" t="s">
        <v>68</v>
      </c>
      <c r="Q1448">
        <v>77.2</v>
      </c>
      <c r="R1448">
        <v>92.8</v>
      </c>
      <c r="S1448" t="s">
        <v>217</v>
      </c>
    </row>
    <row r="1449" spans="1:19" x14ac:dyDescent="0.35">
      <c r="A1449">
        <v>12039</v>
      </c>
      <c r="B1449" t="str">
        <f>"012039"</f>
        <v>012039</v>
      </c>
      <c r="C1449" t="s">
        <v>5255</v>
      </c>
      <c r="D1449" t="s">
        <v>3398</v>
      </c>
      <c r="E1449" t="s">
        <v>3395</v>
      </c>
      <c r="F1449" t="s">
        <v>3396</v>
      </c>
      <c r="G1449" t="s">
        <v>226</v>
      </c>
      <c r="H1449" t="s">
        <v>2891</v>
      </c>
      <c r="I1449" t="s">
        <v>2892</v>
      </c>
      <c r="J1449" t="s">
        <v>2893</v>
      </c>
      <c r="K1449" t="s">
        <v>55</v>
      </c>
      <c r="L1449" t="s">
        <v>2894</v>
      </c>
      <c r="M1449" t="s">
        <v>57</v>
      </c>
      <c r="N1449" t="str">
        <f>"043992"</f>
        <v>043992</v>
      </c>
      <c r="O1449" t="s">
        <v>2890</v>
      </c>
      <c r="P1449" t="s">
        <v>68</v>
      </c>
      <c r="Q1449">
        <v>64.400000000000006</v>
      </c>
      <c r="R1449">
        <v>48.1</v>
      </c>
      <c r="S1449" t="s">
        <v>156</v>
      </c>
    </row>
    <row r="1450" spans="1:19" x14ac:dyDescent="0.35">
      <c r="A1450">
        <v>12096</v>
      </c>
      <c r="B1450" t="str">
        <f>"012096"</f>
        <v>012096</v>
      </c>
      <c r="C1450" t="s">
        <v>5256</v>
      </c>
      <c r="D1450" t="s">
        <v>3394</v>
      </c>
      <c r="E1450" t="s">
        <v>3395</v>
      </c>
      <c r="F1450" t="s">
        <v>3396</v>
      </c>
      <c r="G1450" t="s">
        <v>318</v>
      </c>
      <c r="H1450" t="s">
        <v>390</v>
      </c>
      <c r="I1450" t="s">
        <v>391</v>
      </c>
      <c r="J1450" t="s">
        <v>392</v>
      </c>
      <c r="K1450" t="s">
        <v>55</v>
      </c>
      <c r="L1450" t="s">
        <v>393</v>
      </c>
      <c r="M1450" t="s">
        <v>57</v>
      </c>
      <c r="N1450" t="str">
        <f>"049494"</f>
        <v>049494</v>
      </c>
      <c r="O1450" t="s">
        <v>389</v>
      </c>
      <c r="P1450" t="s">
        <v>68</v>
      </c>
      <c r="Q1450">
        <v>53.3</v>
      </c>
      <c r="R1450">
        <v>9.0999999999999943</v>
      </c>
      <c r="S1450" t="s">
        <v>130</v>
      </c>
    </row>
    <row r="1451" spans="1:19" x14ac:dyDescent="0.35">
      <c r="A1451">
        <v>12112</v>
      </c>
      <c r="B1451" t="str">
        <f>"012112"</f>
        <v>012112</v>
      </c>
      <c r="C1451" t="s">
        <v>5257</v>
      </c>
      <c r="D1451" t="s">
        <v>3394</v>
      </c>
      <c r="E1451" t="s">
        <v>3395</v>
      </c>
      <c r="F1451" t="s">
        <v>3396</v>
      </c>
      <c r="G1451" t="s">
        <v>543</v>
      </c>
      <c r="H1451" t="s">
        <v>5258</v>
      </c>
      <c r="I1451" t="s">
        <v>5259</v>
      </c>
      <c r="J1451" t="s">
        <v>687</v>
      </c>
      <c r="K1451" t="s">
        <v>55</v>
      </c>
      <c r="L1451" t="s">
        <v>5260</v>
      </c>
      <c r="M1451" t="s">
        <v>57</v>
      </c>
      <c r="N1451" t="str">
        <f>"043844"</f>
        <v>043844</v>
      </c>
      <c r="O1451" t="s">
        <v>985</v>
      </c>
      <c r="P1451" t="s">
        <v>68</v>
      </c>
      <c r="Q1451">
        <v>100</v>
      </c>
      <c r="R1451">
        <v>71.900000000000006</v>
      </c>
      <c r="S1451" t="s">
        <v>180</v>
      </c>
    </row>
    <row r="1452" spans="1:19" x14ac:dyDescent="0.35">
      <c r="A1452">
        <v>12120</v>
      </c>
      <c r="B1452" t="str">
        <f>"012120"</f>
        <v>012120</v>
      </c>
      <c r="C1452" t="s">
        <v>5261</v>
      </c>
      <c r="D1452" t="s">
        <v>3394</v>
      </c>
      <c r="E1452" t="s">
        <v>3395</v>
      </c>
      <c r="F1452" t="s">
        <v>3396</v>
      </c>
      <c r="G1452" t="s">
        <v>1193</v>
      </c>
      <c r="H1452" t="s">
        <v>5262</v>
      </c>
      <c r="I1452" t="s">
        <v>5263</v>
      </c>
      <c r="J1452" t="s">
        <v>3309</v>
      </c>
      <c r="K1452" t="s">
        <v>55</v>
      </c>
      <c r="L1452" t="s">
        <v>3310</v>
      </c>
      <c r="M1452" t="s">
        <v>57</v>
      </c>
      <c r="N1452" t="str">
        <f>"043885"</f>
        <v>043885</v>
      </c>
      <c r="O1452" t="s">
        <v>3306</v>
      </c>
      <c r="P1452" t="s">
        <v>68</v>
      </c>
      <c r="Q1452">
        <v>50.7</v>
      </c>
      <c r="R1452">
        <v>14.5</v>
      </c>
      <c r="S1452" t="s">
        <v>156</v>
      </c>
    </row>
    <row r="1453" spans="1:19" x14ac:dyDescent="0.35">
      <c r="A1453">
        <v>12195</v>
      </c>
      <c r="B1453" t="str">
        <f>"012195"</f>
        <v>012195</v>
      </c>
      <c r="C1453" t="s">
        <v>5264</v>
      </c>
      <c r="D1453" t="s">
        <v>3394</v>
      </c>
      <c r="E1453" t="s">
        <v>3395</v>
      </c>
      <c r="F1453" t="s">
        <v>3396</v>
      </c>
      <c r="G1453" t="s">
        <v>175</v>
      </c>
      <c r="H1453" t="s">
        <v>5265</v>
      </c>
      <c r="I1453" t="s">
        <v>5266</v>
      </c>
      <c r="J1453" t="s">
        <v>597</v>
      </c>
      <c r="K1453" t="s">
        <v>55</v>
      </c>
      <c r="L1453" t="s">
        <v>598</v>
      </c>
      <c r="M1453" t="s">
        <v>57</v>
      </c>
      <c r="N1453" t="str">
        <f>"046649"</f>
        <v>046649</v>
      </c>
      <c r="O1453" t="s">
        <v>594</v>
      </c>
      <c r="P1453" t="s">
        <v>68</v>
      </c>
      <c r="Q1453">
        <v>21.5</v>
      </c>
      <c r="R1453">
        <v>6.9000000000000057</v>
      </c>
      <c r="S1453" t="s">
        <v>180</v>
      </c>
    </row>
    <row r="1454" spans="1:19" x14ac:dyDescent="0.35">
      <c r="A1454">
        <v>12229</v>
      </c>
      <c r="B1454" t="str">
        <f>"012229"</f>
        <v>012229</v>
      </c>
      <c r="C1454" t="s">
        <v>5267</v>
      </c>
      <c r="D1454" t="s">
        <v>3394</v>
      </c>
      <c r="E1454" t="s">
        <v>3395</v>
      </c>
      <c r="F1454" t="s">
        <v>3396</v>
      </c>
      <c r="G1454" t="s">
        <v>110</v>
      </c>
      <c r="H1454" t="s">
        <v>5268</v>
      </c>
      <c r="I1454" t="s">
        <v>5269</v>
      </c>
      <c r="J1454" t="s">
        <v>671</v>
      </c>
      <c r="K1454" t="s">
        <v>55</v>
      </c>
      <c r="L1454" t="s">
        <v>672</v>
      </c>
      <c r="M1454" t="s">
        <v>57</v>
      </c>
      <c r="N1454" t="str">
        <f>"044453"</f>
        <v>044453</v>
      </c>
      <c r="O1454" t="s">
        <v>668</v>
      </c>
      <c r="P1454" t="s">
        <v>68</v>
      </c>
      <c r="Q1454">
        <v>84.6</v>
      </c>
      <c r="R1454">
        <v>21.799999999999997</v>
      </c>
      <c r="S1454" t="s">
        <v>60</v>
      </c>
    </row>
    <row r="1455" spans="1:19" x14ac:dyDescent="0.35">
      <c r="A1455">
        <v>12245</v>
      </c>
      <c r="B1455" t="str">
        <f>"012245"</f>
        <v>012245</v>
      </c>
      <c r="C1455" t="s">
        <v>5261</v>
      </c>
      <c r="D1455" t="s">
        <v>3394</v>
      </c>
      <c r="E1455" t="s">
        <v>3395</v>
      </c>
      <c r="F1455" t="s">
        <v>3396</v>
      </c>
      <c r="G1455" t="s">
        <v>117</v>
      </c>
      <c r="H1455" t="s">
        <v>5270</v>
      </c>
      <c r="I1455" t="s">
        <v>5271</v>
      </c>
      <c r="J1455" t="s">
        <v>977</v>
      </c>
      <c r="K1455" t="s">
        <v>55</v>
      </c>
      <c r="L1455" t="s">
        <v>978</v>
      </c>
      <c r="M1455" t="s">
        <v>57</v>
      </c>
      <c r="N1455" t="str">
        <f>"044354"</f>
        <v>044354</v>
      </c>
      <c r="O1455" t="s">
        <v>974</v>
      </c>
      <c r="P1455" t="s">
        <v>68</v>
      </c>
      <c r="Q1455">
        <v>100</v>
      </c>
      <c r="R1455">
        <v>57.1</v>
      </c>
      <c r="S1455" t="s">
        <v>77</v>
      </c>
    </row>
    <row r="1456" spans="1:19" x14ac:dyDescent="0.35">
      <c r="A1456">
        <v>12286</v>
      </c>
      <c r="B1456" t="str">
        <f>"012286"</f>
        <v>012286</v>
      </c>
      <c r="C1456" t="s">
        <v>5261</v>
      </c>
      <c r="D1456" t="s">
        <v>3394</v>
      </c>
      <c r="E1456" t="s">
        <v>3395</v>
      </c>
      <c r="F1456" t="s">
        <v>3396</v>
      </c>
      <c r="G1456" t="s">
        <v>406</v>
      </c>
      <c r="H1456" t="s">
        <v>5272</v>
      </c>
      <c r="I1456" t="s">
        <v>5273</v>
      </c>
      <c r="J1456" t="s">
        <v>465</v>
      </c>
      <c r="K1456" t="s">
        <v>55</v>
      </c>
      <c r="L1456" t="s">
        <v>466</v>
      </c>
      <c r="M1456" t="s">
        <v>57</v>
      </c>
      <c r="N1456" t="str">
        <f>"044974"</f>
        <v>044974</v>
      </c>
      <c r="O1456" t="s">
        <v>462</v>
      </c>
      <c r="P1456" t="s">
        <v>68</v>
      </c>
      <c r="Q1456">
        <v>22</v>
      </c>
      <c r="R1456">
        <v>9.0999999999999943</v>
      </c>
      <c r="S1456" t="s">
        <v>77</v>
      </c>
    </row>
    <row r="1457" spans="1:19" x14ac:dyDescent="0.35">
      <c r="A1457">
        <v>12310</v>
      </c>
      <c r="B1457" t="str">
        <f>"012310"</f>
        <v>012310</v>
      </c>
      <c r="C1457" t="s">
        <v>5274</v>
      </c>
      <c r="D1457" t="s">
        <v>3398</v>
      </c>
      <c r="E1457" t="s">
        <v>3395</v>
      </c>
      <c r="F1457" t="s">
        <v>3396</v>
      </c>
      <c r="G1457" t="s">
        <v>172</v>
      </c>
      <c r="H1457" t="s">
        <v>5275</v>
      </c>
      <c r="I1457" t="s">
        <v>5276</v>
      </c>
      <c r="J1457" t="s">
        <v>600</v>
      </c>
      <c r="K1457" t="s">
        <v>55</v>
      </c>
      <c r="L1457" t="s">
        <v>939</v>
      </c>
      <c r="M1457" t="s">
        <v>57</v>
      </c>
      <c r="N1457" t="str">
        <f>"044008"</f>
        <v>044008</v>
      </c>
      <c r="O1457" t="s">
        <v>1579</v>
      </c>
      <c r="P1457" t="s">
        <v>68</v>
      </c>
      <c r="Q1457">
        <v>42.8</v>
      </c>
      <c r="R1457">
        <v>10</v>
      </c>
      <c r="S1457" t="s">
        <v>217</v>
      </c>
    </row>
    <row r="1458" spans="1:19" x14ac:dyDescent="0.35">
      <c r="A1458">
        <v>12328</v>
      </c>
      <c r="B1458" t="str">
        <f>"012328"</f>
        <v>012328</v>
      </c>
      <c r="C1458" t="s">
        <v>5277</v>
      </c>
      <c r="D1458" t="s">
        <v>3398</v>
      </c>
      <c r="E1458" t="s">
        <v>3395</v>
      </c>
      <c r="F1458" t="s">
        <v>3396</v>
      </c>
      <c r="G1458" t="s">
        <v>600</v>
      </c>
      <c r="H1458" t="s">
        <v>5278</v>
      </c>
      <c r="I1458" t="s">
        <v>5279</v>
      </c>
      <c r="J1458" t="s">
        <v>1348</v>
      </c>
      <c r="K1458" t="s">
        <v>55</v>
      </c>
      <c r="L1458" t="s">
        <v>3854</v>
      </c>
      <c r="M1458" t="s">
        <v>57</v>
      </c>
      <c r="N1458" t="str">
        <f>"044800"</f>
        <v>044800</v>
      </c>
      <c r="O1458" t="s">
        <v>1133</v>
      </c>
      <c r="P1458" t="s">
        <v>68</v>
      </c>
      <c r="Q1458">
        <v>75.8</v>
      </c>
      <c r="R1458">
        <v>59.1</v>
      </c>
      <c r="S1458" t="s">
        <v>60</v>
      </c>
    </row>
    <row r="1459" spans="1:19" x14ac:dyDescent="0.35">
      <c r="A1459">
        <v>12369</v>
      </c>
      <c r="B1459" t="str">
        <f>"012369"</f>
        <v>012369</v>
      </c>
      <c r="C1459" t="s">
        <v>5280</v>
      </c>
      <c r="D1459" t="s">
        <v>3394</v>
      </c>
      <c r="E1459" t="s">
        <v>3395</v>
      </c>
      <c r="F1459" t="s">
        <v>3396</v>
      </c>
      <c r="G1459" t="s">
        <v>143</v>
      </c>
      <c r="H1459" t="s">
        <v>5281</v>
      </c>
      <c r="I1459" t="s">
        <v>5282</v>
      </c>
      <c r="J1459" t="s">
        <v>528</v>
      </c>
      <c r="K1459" t="s">
        <v>55</v>
      </c>
      <c r="L1459" t="s">
        <v>529</v>
      </c>
      <c r="M1459" t="s">
        <v>57</v>
      </c>
      <c r="N1459" t="str">
        <f>"043943"</f>
        <v>043943</v>
      </c>
      <c r="O1459" t="s">
        <v>525</v>
      </c>
      <c r="P1459" t="s">
        <v>68</v>
      </c>
      <c r="Q1459">
        <v>100</v>
      </c>
      <c r="R1459">
        <v>74.8</v>
      </c>
      <c r="S1459" t="s">
        <v>69</v>
      </c>
    </row>
    <row r="1460" spans="1:19" x14ac:dyDescent="0.35">
      <c r="A1460">
        <v>12377</v>
      </c>
      <c r="B1460" t="str">
        <f>"012377"</f>
        <v>012377</v>
      </c>
      <c r="C1460" t="s">
        <v>5283</v>
      </c>
      <c r="D1460" t="s">
        <v>3398</v>
      </c>
      <c r="E1460" t="s">
        <v>3395</v>
      </c>
      <c r="F1460" t="s">
        <v>3396</v>
      </c>
      <c r="G1460" t="s">
        <v>175</v>
      </c>
      <c r="H1460" t="s">
        <v>5265</v>
      </c>
      <c r="I1460" t="s">
        <v>5266</v>
      </c>
      <c r="J1460" t="s">
        <v>597</v>
      </c>
      <c r="K1460" t="s">
        <v>55</v>
      </c>
      <c r="L1460" t="s">
        <v>598</v>
      </c>
      <c r="M1460" t="s">
        <v>57</v>
      </c>
      <c r="N1460" t="str">
        <f>"046649"</f>
        <v>046649</v>
      </c>
      <c r="O1460" t="s">
        <v>594</v>
      </c>
      <c r="P1460" t="s">
        <v>68</v>
      </c>
      <c r="Q1460">
        <v>14.5</v>
      </c>
      <c r="R1460">
        <v>6.0999999999999943</v>
      </c>
      <c r="S1460" t="s">
        <v>180</v>
      </c>
    </row>
    <row r="1461" spans="1:19" x14ac:dyDescent="0.35">
      <c r="A1461">
        <v>12401</v>
      </c>
      <c r="B1461" t="str">
        <f>"012401"</f>
        <v>012401</v>
      </c>
      <c r="C1461" t="s">
        <v>5284</v>
      </c>
      <c r="D1461" t="s">
        <v>3394</v>
      </c>
      <c r="E1461" t="s">
        <v>3395</v>
      </c>
      <c r="F1461" t="s">
        <v>3396</v>
      </c>
      <c r="G1461" t="s">
        <v>117</v>
      </c>
      <c r="H1461" t="s">
        <v>5285</v>
      </c>
      <c r="I1461" t="s">
        <v>5286</v>
      </c>
      <c r="J1461" t="s">
        <v>1409</v>
      </c>
      <c r="K1461" t="s">
        <v>55</v>
      </c>
      <c r="L1461" t="s">
        <v>1410</v>
      </c>
      <c r="M1461" t="s">
        <v>57</v>
      </c>
      <c r="N1461" t="str">
        <f>"049932"</f>
        <v>049932</v>
      </c>
      <c r="O1461" t="s">
        <v>1406</v>
      </c>
      <c r="P1461" t="s">
        <v>68</v>
      </c>
      <c r="Q1461">
        <v>48.8</v>
      </c>
      <c r="R1461">
        <v>30.900000000000006</v>
      </c>
      <c r="S1461" t="s">
        <v>77</v>
      </c>
    </row>
    <row r="1462" spans="1:19" x14ac:dyDescent="0.35">
      <c r="A1462">
        <v>12419</v>
      </c>
      <c r="B1462" t="str">
        <f>"012419"</f>
        <v>012419</v>
      </c>
      <c r="C1462" t="s">
        <v>5287</v>
      </c>
      <c r="D1462" t="s">
        <v>3394</v>
      </c>
      <c r="E1462" t="s">
        <v>3395</v>
      </c>
      <c r="F1462" t="s">
        <v>3396</v>
      </c>
      <c r="G1462" t="s">
        <v>674</v>
      </c>
      <c r="H1462" t="s">
        <v>5288</v>
      </c>
      <c r="I1462" t="s">
        <v>5289</v>
      </c>
      <c r="J1462" t="s">
        <v>5290</v>
      </c>
      <c r="K1462" t="s">
        <v>55</v>
      </c>
      <c r="L1462" t="s">
        <v>5291</v>
      </c>
      <c r="M1462" t="s">
        <v>57</v>
      </c>
      <c r="N1462" t="str">
        <f>"048876"</f>
        <v>048876</v>
      </c>
      <c r="O1462" t="s">
        <v>3162</v>
      </c>
      <c r="P1462" t="s">
        <v>68</v>
      </c>
      <c r="Q1462">
        <v>43.1</v>
      </c>
      <c r="R1462">
        <v>7.5</v>
      </c>
      <c r="S1462" t="s">
        <v>130</v>
      </c>
    </row>
    <row r="1463" spans="1:19" x14ac:dyDescent="0.35">
      <c r="A1463">
        <v>12435</v>
      </c>
      <c r="B1463" t="str">
        <f>"012435"</f>
        <v>012435</v>
      </c>
      <c r="C1463" t="s">
        <v>5292</v>
      </c>
      <c r="D1463" t="s">
        <v>3394</v>
      </c>
      <c r="E1463" t="s">
        <v>3395</v>
      </c>
      <c r="F1463" t="s">
        <v>3396</v>
      </c>
      <c r="G1463" t="s">
        <v>187</v>
      </c>
      <c r="H1463" t="s">
        <v>5293</v>
      </c>
      <c r="I1463" t="s">
        <v>5294</v>
      </c>
      <c r="J1463" t="s">
        <v>5295</v>
      </c>
      <c r="K1463" t="s">
        <v>55</v>
      </c>
      <c r="L1463" t="s">
        <v>5296</v>
      </c>
      <c r="M1463" t="s">
        <v>57</v>
      </c>
      <c r="N1463" t="str">
        <f>"050583"</f>
        <v>050583</v>
      </c>
      <c r="O1463" t="s">
        <v>2105</v>
      </c>
      <c r="P1463" t="s">
        <v>68</v>
      </c>
      <c r="Q1463">
        <v>21.3</v>
      </c>
      <c r="R1463">
        <v>0.79999999999999716</v>
      </c>
      <c r="S1463" t="s">
        <v>77</v>
      </c>
    </row>
    <row r="1464" spans="1:19" x14ac:dyDescent="0.35">
      <c r="A1464">
        <v>12443</v>
      </c>
      <c r="B1464" t="str">
        <f>"012443"</f>
        <v>012443</v>
      </c>
      <c r="C1464" t="s">
        <v>5297</v>
      </c>
      <c r="D1464" t="s">
        <v>3394</v>
      </c>
      <c r="E1464" t="s">
        <v>3395</v>
      </c>
      <c r="F1464" t="s">
        <v>3396</v>
      </c>
      <c r="G1464" t="s">
        <v>901</v>
      </c>
      <c r="H1464" t="s">
        <v>5298</v>
      </c>
      <c r="I1464" t="s">
        <v>5299</v>
      </c>
      <c r="J1464" t="s">
        <v>3391</v>
      </c>
      <c r="K1464" t="s">
        <v>55</v>
      </c>
      <c r="L1464" t="s">
        <v>3392</v>
      </c>
      <c r="M1464" t="s">
        <v>57</v>
      </c>
      <c r="N1464" t="str">
        <f>"047852"</f>
        <v>047852</v>
      </c>
      <c r="O1464" t="s">
        <v>3388</v>
      </c>
      <c r="P1464" t="s">
        <v>68</v>
      </c>
      <c r="Q1464">
        <v>27.6</v>
      </c>
      <c r="R1464">
        <v>5.5</v>
      </c>
      <c r="S1464" t="s">
        <v>60</v>
      </c>
    </row>
    <row r="1465" spans="1:19" x14ac:dyDescent="0.35">
      <c r="A1465">
        <v>12450</v>
      </c>
      <c r="B1465" t="str">
        <f>"012450"</f>
        <v>012450</v>
      </c>
      <c r="C1465" t="s">
        <v>5300</v>
      </c>
      <c r="D1465" t="s">
        <v>3398</v>
      </c>
      <c r="E1465" t="s">
        <v>3395</v>
      </c>
      <c r="F1465" t="s">
        <v>3396</v>
      </c>
      <c r="G1465" t="s">
        <v>901</v>
      </c>
      <c r="H1465" t="s">
        <v>5301</v>
      </c>
      <c r="I1465" t="s">
        <v>5302</v>
      </c>
      <c r="J1465" t="s">
        <v>3391</v>
      </c>
      <c r="K1465" t="s">
        <v>55</v>
      </c>
      <c r="L1465" t="s">
        <v>3392</v>
      </c>
      <c r="M1465" t="s">
        <v>57</v>
      </c>
      <c r="N1465" t="str">
        <f>"047852"</f>
        <v>047852</v>
      </c>
      <c r="O1465" t="s">
        <v>3388</v>
      </c>
      <c r="P1465" t="s">
        <v>68</v>
      </c>
      <c r="Q1465">
        <v>26.1</v>
      </c>
      <c r="R1465">
        <v>6.7000000000000028</v>
      </c>
      <c r="S1465" t="s">
        <v>60</v>
      </c>
    </row>
    <row r="1466" spans="1:19" x14ac:dyDescent="0.35">
      <c r="A1466">
        <v>12492</v>
      </c>
      <c r="B1466" t="str">
        <f>"012492"</f>
        <v>012492</v>
      </c>
      <c r="C1466" t="s">
        <v>5303</v>
      </c>
      <c r="D1466" t="s">
        <v>3400</v>
      </c>
      <c r="E1466" t="s">
        <v>3395</v>
      </c>
      <c r="F1466" t="s">
        <v>3396</v>
      </c>
      <c r="G1466" t="s">
        <v>400</v>
      </c>
      <c r="H1466" t="s">
        <v>5304</v>
      </c>
      <c r="I1466" t="s">
        <v>5305</v>
      </c>
      <c r="J1466" t="s">
        <v>2749</v>
      </c>
      <c r="K1466" t="s">
        <v>55</v>
      </c>
      <c r="L1466" t="s">
        <v>2750</v>
      </c>
      <c r="M1466" t="s">
        <v>57</v>
      </c>
      <c r="N1466" t="str">
        <f>"044016"</f>
        <v>044016</v>
      </c>
      <c r="O1466" t="s">
        <v>3244</v>
      </c>
      <c r="P1466" t="s">
        <v>68</v>
      </c>
      <c r="Q1466">
        <v>55.7</v>
      </c>
      <c r="R1466">
        <v>43.8</v>
      </c>
      <c r="S1466" t="s">
        <v>156</v>
      </c>
    </row>
    <row r="1467" spans="1:19" x14ac:dyDescent="0.35">
      <c r="A1467">
        <v>12500</v>
      </c>
      <c r="B1467" t="str">
        <f>"012500"</f>
        <v>012500</v>
      </c>
      <c r="C1467" t="s">
        <v>5306</v>
      </c>
      <c r="D1467" t="s">
        <v>3398</v>
      </c>
      <c r="E1467" t="s">
        <v>3395</v>
      </c>
      <c r="F1467" t="s">
        <v>3396</v>
      </c>
      <c r="G1467" t="s">
        <v>400</v>
      </c>
      <c r="H1467" t="s">
        <v>5307</v>
      </c>
      <c r="I1467" t="s">
        <v>5308</v>
      </c>
      <c r="J1467" t="s">
        <v>2749</v>
      </c>
      <c r="K1467" t="s">
        <v>55</v>
      </c>
      <c r="L1467" t="s">
        <v>2750</v>
      </c>
      <c r="M1467" t="s">
        <v>57</v>
      </c>
      <c r="N1467" t="str">
        <f>"044016"</f>
        <v>044016</v>
      </c>
      <c r="O1467" t="s">
        <v>3244</v>
      </c>
      <c r="P1467" t="s">
        <v>68</v>
      </c>
      <c r="Q1467">
        <v>46.7</v>
      </c>
      <c r="R1467">
        <v>45.4</v>
      </c>
      <c r="S1467" t="s">
        <v>156</v>
      </c>
    </row>
    <row r="1468" spans="1:19" x14ac:dyDescent="0.35">
      <c r="A1468">
        <v>12518</v>
      </c>
      <c r="B1468" t="str">
        <f>"012518"</f>
        <v>012518</v>
      </c>
      <c r="C1468" t="s">
        <v>5309</v>
      </c>
      <c r="D1468" t="s">
        <v>3394</v>
      </c>
      <c r="E1468" t="s">
        <v>3395</v>
      </c>
      <c r="F1468" t="s">
        <v>3396</v>
      </c>
      <c r="G1468" t="s">
        <v>600</v>
      </c>
      <c r="H1468" t="s">
        <v>5310</v>
      </c>
      <c r="I1468" t="s">
        <v>5311</v>
      </c>
      <c r="J1468" t="s">
        <v>603</v>
      </c>
      <c r="K1468" t="s">
        <v>55</v>
      </c>
      <c r="L1468" t="s">
        <v>604</v>
      </c>
      <c r="M1468" t="s">
        <v>57</v>
      </c>
      <c r="N1468" t="str">
        <f>"047001"</f>
        <v>047001</v>
      </c>
      <c r="O1468" t="s">
        <v>599</v>
      </c>
      <c r="P1468" t="s">
        <v>68</v>
      </c>
      <c r="Q1468">
        <v>72.400000000000006</v>
      </c>
      <c r="R1468">
        <v>70.8</v>
      </c>
      <c r="S1468" t="s">
        <v>60</v>
      </c>
    </row>
    <row r="1469" spans="1:19" x14ac:dyDescent="0.35">
      <c r="A1469">
        <v>12567</v>
      </c>
      <c r="B1469" t="str">
        <f>"012567"</f>
        <v>012567</v>
      </c>
      <c r="C1469" t="s">
        <v>5312</v>
      </c>
      <c r="D1469" t="s">
        <v>3398</v>
      </c>
      <c r="E1469" t="s">
        <v>3395</v>
      </c>
      <c r="F1469" t="s">
        <v>3396</v>
      </c>
      <c r="G1469" t="s">
        <v>124</v>
      </c>
      <c r="H1469" t="s">
        <v>125</v>
      </c>
      <c r="I1469" t="s">
        <v>126</v>
      </c>
      <c r="J1469" t="s">
        <v>127</v>
      </c>
      <c r="K1469" t="s">
        <v>55</v>
      </c>
      <c r="L1469" t="s">
        <v>128</v>
      </c>
      <c r="M1469" t="s">
        <v>57</v>
      </c>
      <c r="N1469" t="str">
        <f>"050492"</f>
        <v>050492</v>
      </c>
      <c r="O1469" t="s">
        <v>123</v>
      </c>
      <c r="P1469" t="s">
        <v>68</v>
      </c>
      <c r="Q1469">
        <v>27</v>
      </c>
      <c r="R1469">
        <v>3.4000000000000057</v>
      </c>
      <c r="S1469" t="s">
        <v>130</v>
      </c>
    </row>
    <row r="1470" spans="1:19" x14ac:dyDescent="0.35">
      <c r="A1470">
        <v>12591</v>
      </c>
      <c r="B1470" t="str">
        <f>"012591"</f>
        <v>012591</v>
      </c>
      <c r="C1470" t="s">
        <v>5313</v>
      </c>
      <c r="D1470" t="s">
        <v>3398</v>
      </c>
      <c r="E1470" t="s">
        <v>3395</v>
      </c>
      <c r="F1470" t="s">
        <v>3396</v>
      </c>
      <c r="G1470" t="s">
        <v>124</v>
      </c>
      <c r="H1470" t="s">
        <v>5314</v>
      </c>
      <c r="I1470" t="s">
        <v>5315</v>
      </c>
      <c r="J1470" t="s">
        <v>2914</v>
      </c>
      <c r="K1470" t="s">
        <v>55</v>
      </c>
      <c r="L1470" t="s">
        <v>2915</v>
      </c>
      <c r="M1470" t="s">
        <v>57</v>
      </c>
      <c r="N1470" t="str">
        <f>"050484"</f>
        <v>050484</v>
      </c>
      <c r="O1470" t="s">
        <v>2911</v>
      </c>
      <c r="P1470" t="s">
        <v>68</v>
      </c>
      <c r="Q1470">
        <v>38.299999999999997</v>
      </c>
      <c r="R1470">
        <v>2.7000000000000028</v>
      </c>
      <c r="S1470" t="s">
        <v>130</v>
      </c>
    </row>
    <row r="1471" spans="1:19" x14ac:dyDescent="0.35">
      <c r="A1471">
        <v>12609</v>
      </c>
      <c r="B1471" t="str">
        <f>"012609"</f>
        <v>012609</v>
      </c>
      <c r="C1471" t="s">
        <v>5316</v>
      </c>
      <c r="D1471" t="s">
        <v>3394</v>
      </c>
      <c r="E1471" t="s">
        <v>3395</v>
      </c>
      <c r="F1471" t="s">
        <v>3396</v>
      </c>
      <c r="G1471" t="s">
        <v>264</v>
      </c>
      <c r="H1471" t="s">
        <v>5317</v>
      </c>
      <c r="I1471" t="s">
        <v>5318</v>
      </c>
      <c r="J1471" t="s">
        <v>5319</v>
      </c>
      <c r="K1471" t="s">
        <v>55</v>
      </c>
      <c r="L1471" t="s">
        <v>3693</v>
      </c>
      <c r="M1471" t="s">
        <v>57</v>
      </c>
      <c r="N1471" t="str">
        <f>"049981"</f>
        <v>049981</v>
      </c>
      <c r="O1471" t="s">
        <v>1573</v>
      </c>
      <c r="P1471" t="s">
        <v>68</v>
      </c>
      <c r="Q1471">
        <v>19.2</v>
      </c>
      <c r="R1471">
        <v>30</v>
      </c>
      <c r="S1471" t="s">
        <v>77</v>
      </c>
    </row>
    <row r="1472" spans="1:19" x14ac:dyDescent="0.35">
      <c r="A1472">
        <v>12617</v>
      </c>
      <c r="B1472" t="str">
        <f>"012617"</f>
        <v>012617</v>
      </c>
      <c r="C1472" t="s">
        <v>5320</v>
      </c>
      <c r="D1472" t="s">
        <v>3394</v>
      </c>
      <c r="E1472" t="s">
        <v>3395</v>
      </c>
      <c r="F1472" t="s">
        <v>3396</v>
      </c>
      <c r="G1472" t="s">
        <v>150</v>
      </c>
      <c r="H1472" t="s">
        <v>3223</v>
      </c>
      <c r="I1472" t="s">
        <v>3224</v>
      </c>
      <c r="J1472" t="s">
        <v>3225</v>
      </c>
      <c r="K1472" t="s">
        <v>55</v>
      </c>
      <c r="L1472" t="s">
        <v>3226</v>
      </c>
      <c r="M1472" t="s">
        <v>57</v>
      </c>
      <c r="N1472" t="str">
        <f>"049338"</f>
        <v>049338</v>
      </c>
      <c r="O1472" t="s">
        <v>3222</v>
      </c>
      <c r="P1472" t="s">
        <v>68</v>
      </c>
      <c r="Q1472">
        <v>17.399999999999999</v>
      </c>
      <c r="R1472">
        <v>1.2999999999999972</v>
      </c>
      <c r="S1472" t="s">
        <v>156</v>
      </c>
    </row>
    <row r="1473" spans="1:19" x14ac:dyDescent="0.35">
      <c r="A1473">
        <v>12625</v>
      </c>
      <c r="B1473" t="str">
        <f>"012625"</f>
        <v>012625</v>
      </c>
      <c r="C1473" t="s">
        <v>5321</v>
      </c>
      <c r="D1473" t="s">
        <v>3398</v>
      </c>
      <c r="E1473" t="s">
        <v>3395</v>
      </c>
      <c r="F1473" t="s">
        <v>3396</v>
      </c>
      <c r="G1473" t="s">
        <v>150</v>
      </c>
      <c r="H1473" t="s">
        <v>3223</v>
      </c>
      <c r="I1473" t="s">
        <v>3224</v>
      </c>
      <c r="J1473" t="s">
        <v>3225</v>
      </c>
      <c r="K1473" t="s">
        <v>55</v>
      </c>
      <c r="L1473" t="s">
        <v>3226</v>
      </c>
      <c r="M1473" t="s">
        <v>57</v>
      </c>
      <c r="N1473" t="str">
        <f>"049338"</f>
        <v>049338</v>
      </c>
      <c r="O1473" t="s">
        <v>3222</v>
      </c>
      <c r="P1473" t="s">
        <v>68</v>
      </c>
      <c r="Q1473">
        <v>10.5</v>
      </c>
      <c r="R1473">
        <v>1.5999999999999943</v>
      </c>
      <c r="S1473" t="s">
        <v>156</v>
      </c>
    </row>
    <row r="1474" spans="1:19" x14ac:dyDescent="0.35">
      <c r="A1474">
        <v>12633</v>
      </c>
      <c r="B1474" t="str">
        <f>"012633"</f>
        <v>012633</v>
      </c>
      <c r="C1474" t="s">
        <v>5322</v>
      </c>
      <c r="D1474" t="s">
        <v>3394</v>
      </c>
      <c r="E1474" t="s">
        <v>3395</v>
      </c>
      <c r="F1474" t="s">
        <v>3396</v>
      </c>
      <c r="G1474" t="s">
        <v>572</v>
      </c>
      <c r="H1474" t="s">
        <v>5323</v>
      </c>
      <c r="I1474" t="s">
        <v>5324</v>
      </c>
      <c r="J1474" t="s">
        <v>1389</v>
      </c>
      <c r="K1474" t="s">
        <v>55</v>
      </c>
      <c r="L1474" t="s">
        <v>1390</v>
      </c>
      <c r="M1474" t="s">
        <v>57</v>
      </c>
      <c r="N1474" t="str">
        <f>"049783"</f>
        <v>049783</v>
      </c>
      <c r="O1474" t="s">
        <v>1386</v>
      </c>
      <c r="P1474" t="s">
        <v>68</v>
      </c>
      <c r="Q1474">
        <v>4.9000000000000004</v>
      </c>
      <c r="R1474">
        <v>3.2000000000000028</v>
      </c>
      <c r="S1474" t="s">
        <v>180</v>
      </c>
    </row>
    <row r="1475" spans="1:19" x14ac:dyDescent="0.35">
      <c r="A1475">
        <v>12641</v>
      </c>
      <c r="B1475" t="str">
        <f>"012641"</f>
        <v>012641</v>
      </c>
      <c r="C1475" t="s">
        <v>5325</v>
      </c>
      <c r="D1475" t="s">
        <v>3398</v>
      </c>
      <c r="E1475" t="s">
        <v>3395</v>
      </c>
      <c r="F1475" t="s">
        <v>3396</v>
      </c>
      <c r="G1475" t="s">
        <v>572</v>
      </c>
      <c r="H1475" t="s">
        <v>5326</v>
      </c>
      <c r="I1475" t="s">
        <v>5327</v>
      </c>
      <c r="J1475" t="s">
        <v>1389</v>
      </c>
      <c r="K1475" t="s">
        <v>55</v>
      </c>
      <c r="L1475" t="s">
        <v>1390</v>
      </c>
      <c r="M1475" t="s">
        <v>57</v>
      </c>
      <c r="N1475" t="str">
        <f>"049783"</f>
        <v>049783</v>
      </c>
      <c r="O1475" t="s">
        <v>1386</v>
      </c>
      <c r="P1475" t="s">
        <v>68</v>
      </c>
      <c r="Q1475">
        <v>4.2</v>
      </c>
      <c r="R1475">
        <v>0.79999999999999716</v>
      </c>
      <c r="S1475" t="s">
        <v>180</v>
      </c>
    </row>
    <row r="1476" spans="1:19" x14ac:dyDescent="0.35">
      <c r="A1476">
        <v>12666</v>
      </c>
      <c r="B1476" t="str">
        <f>"012666"</f>
        <v>012666</v>
      </c>
      <c r="C1476" t="s">
        <v>5328</v>
      </c>
      <c r="D1476" t="s">
        <v>3394</v>
      </c>
      <c r="E1476" t="s">
        <v>3395</v>
      </c>
      <c r="F1476" t="s">
        <v>3396</v>
      </c>
      <c r="G1476" t="s">
        <v>200</v>
      </c>
      <c r="H1476" t="s">
        <v>5329</v>
      </c>
      <c r="I1476" t="s">
        <v>5330</v>
      </c>
      <c r="J1476" t="s">
        <v>3036</v>
      </c>
      <c r="K1476" t="s">
        <v>55</v>
      </c>
      <c r="L1476" t="s">
        <v>3037</v>
      </c>
      <c r="M1476" t="s">
        <v>57</v>
      </c>
      <c r="N1476" t="str">
        <f>"044362"</f>
        <v>044362</v>
      </c>
      <c r="O1476" t="s">
        <v>3033</v>
      </c>
      <c r="P1476" t="s">
        <v>68</v>
      </c>
      <c r="Q1476">
        <v>31.3</v>
      </c>
      <c r="R1476">
        <v>35.599999999999994</v>
      </c>
      <c r="S1476" t="s">
        <v>156</v>
      </c>
    </row>
    <row r="1477" spans="1:19" x14ac:dyDescent="0.35">
      <c r="A1477">
        <v>12674</v>
      </c>
      <c r="B1477" t="str">
        <f>"012674"</f>
        <v>012674</v>
      </c>
      <c r="C1477" t="s">
        <v>5331</v>
      </c>
      <c r="D1477" t="s">
        <v>3398</v>
      </c>
      <c r="E1477" t="s">
        <v>3395</v>
      </c>
      <c r="F1477" t="s">
        <v>3396</v>
      </c>
      <c r="G1477" t="s">
        <v>423</v>
      </c>
      <c r="H1477" t="s">
        <v>5332</v>
      </c>
      <c r="I1477" t="s">
        <v>5333</v>
      </c>
      <c r="J1477" t="s">
        <v>2587</v>
      </c>
      <c r="K1477" t="s">
        <v>55</v>
      </c>
      <c r="L1477" t="s">
        <v>2588</v>
      </c>
      <c r="M1477" t="s">
        <v>57</v>
      </c>
      <c r="N1477" t="str">
        <f>"048595"</f>
        <v>048595</v>
      </c>
      <c r="O1477" t="s">
        <v>2584</v>
      </c>
      <c r="P1477" t="s">
        <v>68</v>
      </c>
      <c r="Q1477">
        <v>11.3</v>
      </c>
      <c r="R1477">
        <v>5.0999999999999943</v>
      </c>
      <c r="S1477" t="s">
        <v>156</v>
      </c>
    </row>
    <row r="1478" spans="1:19" x14ac:dyDescent="0.35">
      <c r="A1478">
        <v>12682</v>
      </c>
      <c r="B1478" t="str">
        <f>"012682"</f>
        <v>012682</v>
      </c>
      <c r="C1478" t="s">
        <v>5334</v>
      </c>
      <c r="D1478" t="s">
        <v>3394</v>
      </c>
      <c r="E1478" t="s">
        <v>3395</v>
      </c>
      <c r="F1478" t="s">
        <v>3396</v>
      </c>
      <c r="G1478" t="s">
        <v>63</v>
      </c>
      <c r="H1478" t="s">
        <v>5335</v>
      </c>
      <c r="I1478" t="s">
        <v>5336</v>
      </c>
      <c r="J1478" t="s">
        <v>285</v>
      </c>
      <c r="K1478" t="s">
        <v>55</v>
      </c>
      <c r="L1478" t="s">
        <v>4335</v>
      </c>
      <c r="M1478" t="s">
        <v>57</v>
      </c>
      <c r="N1478" t="str">
        <f>"043786"</f>
        <v>043786</v>
      </c>
      <c r="O1478" t="s">
        <v>1340</v>
      </c>
      <c r="P1478" t="s">
        <v>68</v>
      </c>
      <c r="Q1478">
        <v>100</v>
      </c>
      <c r="R1478">
        <v>87.9</v>
      </c>
      <c r="S1478" t="s">
        <v>69</v>
      </c>
    </row>
    <row r="1479" spans="1:19" x14ac:dyDescent="0.35">
      <c r="A1479">
        <v>12708</v>
      </c>
      <c r="B1479" t="str">
        <f>"012708"</f>
        <v>012708</v>
      </c>
      <c r="C1479" t="s">
        <v>5337</v>
      </c>
      <c r="D1479" t="s">
        <v>3394</v>
      </c>
      <c r="E1479" t="s">
        <v>3395</v>
      </c>
      <c r="F1479" t="s">
        <v>3396</v>
      </c>
      <c r="G1479" t="s">
        <v>344</v>
      </c>
      <c r="H1479" t="s">
        <v>5338</v>
      </c>
      <c r="I1479" t="s">
        <v>5339</v>
      </c>
      <c r="J1479" t="s">
        <v>347</v>
      </c>
      <c r="K1479" t="s">
        <v>55</v>
      </c>
      <c r="L1479" t="s">
        <v>348</v>
      </c>
      <c r="M1479" t="s">
        <v>57</v>
      </c>
      <c r="N1479" t="str">
        <f>"047050"</f>
        <v>047050</v>
      </c>
      <c r="O1479" t="s">
        <v>343</v>
      </c>
      <c r="P1479" t="s">
        <v>68</v>
      </c>
      <c r="Q1479">
        <v>25.3</v>
      </c>
      <c r="R1479">
        <v>6.4000000000000057</v>
      </c>
      <c r="S1479" t="s">
        <v>156</v>
      </c>
    </row>
    <row r="1480" spans="1:19" x14ac:dyDescent="0.35">
      <c r="A1480">
        <v>12724</v>
      </c>
      <c r="B1480" t="str">
        <f>"012724"</f>
        <v>012724</v>
      </c>
      <c r="C1480" t="s">
        <v>5340</v>
      </c>
      <c r="D1480" t="s">
        <v>3400</v>
      </c>
      <c r="E1480" t="s">
        <v>3395</v>
      </c>
      <c r="F1480" t="s">
        <v>3396</v>
      </c>
      <c r="G1480" t="s">
        <v>110</v>
      </c>
      <c r="H1480" t="s">
        <v>5341</v>
      </c>
      <c r="I1480" t="s">
        <v>5342</v>
      </c>
      <c r="J1480" t="s">
        <v>1945</v>
      </c>
      <c r="K1480" t="s">
        <v>55</v>
      </c>
      <c r="L1480" t="s">
        <v>1946</v>
      </c>
      <c r="M1480" t="s">
        <v>57</v>
      </c>
      <c r="N1480" t="str">
        <f>"044115"</f>
        <v>044115</v>
      </c>
      <c r="O1480" t="s">
        <v>1942</v>
      </c>
      <c r="P1480" t="s">
        <v>68</v>
      </c>
      <c r="Q1480">
        <v>40.200000000000003</v>
      </c>
      <c r="R1480">
        <v>17.700000000000003</v>
      </c>
      <c r="S1480" t="s">
        <v>60</v>
      </c>
    </row>
    <row r="1481" spans="1:19" x14ac:dyDescent="0.35">
      <c r="A1481">
        <v>12740</v>
      </c>
      <c r="B1481" t="str">
        <f>"012740"</f>
        <v>012740</v>
      </c>
      <c r="C1481" t="s">
        <v>5343</v>
      </c>
      <c r="D1481" t="s">
        <v>3394</v>
      </c>
      <c r="E1481" t="s">
        <v>3395</v>
      </c>
      <c r="F1481" t="s">
        <v>3396</v>
      </c>
      <c r="G1481" t="s">
        <v>777</v>
      </c>
      <c r="H1481" t="s">
        <v>5344</v>
      </c>
      <c r="I1481" t="s">
        <v>5345</v>
      </c>
      <c r="J1481" t="s">
        <v>780</v>
      </c>
      <c r="K1481" t="s">
        <v>55</v>
      </c>
      <c r="L1481" t="s">
        <v>2815</v>
      </c>
      <c r="M1481" t="s">
        <v>57</v>
      </c>
      <c r="N1481" t="str">
        <f>"044818"</f>
        <v>044818</v>
      </c>
      <c r="O1481" t="s">
        <v>2812</v>
      </c>
      <c r="P1481" t="s">
        <v>68</v>
      </c>
      <c r="Q1481">
        <v>100</v>
      </c>
      <c r="R1481">
        <v>72.7</v>
      </c>
      <c r="S1481" t="s">
        <v>180</v>
      </c>
    </row>
    <row r="1482" spans="1:19" x14ac:dyDescent="0.35">
      <c r="A1482">
        <v>12757</v>
      </c>
      <c r="B1482" t="str">
        <f>"012757"</f>
        <v>012757</v>
      </c>
      <c r="C1482" t="s">
        <v>5346</v>
      </c>
      <c r="D1482" t="s">
        <v>3394</v>
      </c>
      <c r="E1482" t="s">
        <v>3395</v>
      </c>
      <c r="F1482" t="s">
        <v>3396</v>
      </c>
      <c r="G1482" t="s">
        <v>759</v>
      </c>
      <c r="H1482" t="s">
        <v>5347</v>
      </c>
      <c r="I1482" t="s">
        <v>5348</v>
      </c>
      <c r="J1482" t="s">
        <v>400</v>
      </c>
      <c r="K1482" t="s">
        <v>55</v>
      </c>
      <c r="L1482" t="s">
        <v>762</v>
      </c>
      <c r="M1482" t="s">
        <v>57</v>
      </c>
      <c r="N1482" t="str">
        <f>"046813"</f>
        <v>046813</v>
      </c>
      <c r="O1482" t="s">
        <v>758</v>
      </c>
      <c r="P1482" t="s">
        <v>68</v>
      </c>
      <c r="Q1482">
        <v>26.5</v>
      </c>
      <c r="R1482">
        <v>30.799999999999997</v>
      </c>
      <c r="S1482" t="s">
        <v>69</v>
      </c>
    </row>
    <row r="1483" spans="1:19" x14ac:dyDescent="0.35">
      <c r="A1483">
        <v>12765</v>
      </c>
      <c r="B1483" t="str">
        <f>"012765"</f>
        <v>012765</v>
      </c>
      <c r="C1483" t="s">
        <v>5349</v>
      </c>
      <c r="D1483" t="s">
        <v>3394</v>
      </c>
      <c r="E1483" t="s">
        <v>3395</v>
      </c>
      <c r="F1483" t="s">
        <v>3396</v>
      </c>
      <c r="G1483" t="s">
        <v>52</v>
      </c>
      <c r="H1483" t="s">
        <v>5350</v>
      </c>
      <c r="I1483" t="s">
        <v>5351</v>
      </c>
      <c r="J1483" t="s">
        <v>2874</v>
      </c>
      <c r="K1483" t="s">
        <v>55</v>
      </c>
      <c r="L1483" t="s">
        <v>2875</v>
      </c>
      <c r="M1483" t="s">
        <v>57</v>
      </c>
      <c r="N1483" t="str">
        <f>"046748"</f>
        <v>046748</v>
      </c>
      <c r="O1483" t="s">
        <v>2871</v>
      </c>
      <c r="P1483" t="s">
        <v>68</v>
      </c>
      <c r="Q1483">
        <v>16.2</v>
      </c>
      <c r="R1483">
        <v>7.7000000000000028</v>
      </c>
      <c r="S1483" t="s">
        <v>60</v>
      </c>
    </row>
    <row r="1484" spans="1:19" x14ac:dyDescent="0.35">
      <c r="A1484">
        <v>12773</v>
      </c>
      <c r="B1484" t="str">
        <f>"012773"</f>
        <v>012773</v>
      </c>
      <c r="C1484" t="s">
        <v>5352</v>
      </c>
      <c r="D1484" t="s">
        <v>3398</v>
      </c>
      <c r="E1484" t="s">
        <v>3395</v>
      </c>
      <c r="F1484" t="s">
        <v>3396</v>
      </c>
      <c r="G1484" t="s">
        <v>331</v>
      </c>
      <c r="H1484" t="s">
        <v>5353</v>
      </c>
      <c r="I1484" t="s">
        <v>5354</v>
      </c>
      <c r="J1484" t="s">
        <v>1733</v>
      </c>
      <c r="K1484" t="s">
        <v>55</v>
      </c>
      <c r="L1484" t="s">
        <v>1734</v>
      </c>
      <c r="M1484" t="s">
        <v>57</v>
      </c>
      <c r="N1484" t="str">
        <f>"044024"</f>
        <v>044024</v>
      </c>
      <c r="O1484" t="s">
        <v>2184</v>
      </c>
      <c r="P1484" t="s">
        <v>68</v>
      </c>
      <c r="Q1484">
        <v>47.8</v>
      </c>
      <c r="R1484">
        <v>7</v>
      </c>
      <c r="S1484" t="s">
        <v>156</v>
      </c>
    </row>
    <row r="1485" spans="1:19" x14ac:dyDescent="0.35">
      <c r="A1485">
        <v>12781</v>
      </c>
      <c r="B1485" t="str">
        <f>"012781"</f>
        <v>012781</v>
      </c>
      <c r="C1485" t="s">
        <v>5355</v>
      </c>
      <c r="D1485" t="s">
        <v>3400</v>
      </c>
      <c r="E1485" t="s">
        <v>3395</v>
      </c>
      <c r="F1485" t="s">
        <v>3396</v>
      </c>
      <c r="G1485" t="s">
        <v>331</v>
      </c>
      <c r="H1485" t="s">
        <v>5356</v>
      </c>
      <c r="I1485" t="s">
        <v>5357</v>
      </c>
      <c r="J1485" t="s">
        <v>1733</v>
      </c>
      <c r="K1485" t="s">
        <v>55</v>
      </c>
      <c r="L1485" t="s">
        <v>1734</v>
      </c>
      <c r="M1485" t="s">
        <v>57</v>
      </c>
      <c r="N1485" t="str">
        <f>"044024"</f>
        <v>044024</v>
      </c>
      <c r="O1485" t="s">
        <v>2184</v>
      </c>
      <c r="P1485" t="s">
        <v>68</v>
      </c>
      <c r="Q1485">
        <v>58.8</v>
      </c>
      <c r="R1485">
        <v>7.2000000000000028</v>
      </c>
      <c r="S1485" t="s">
        <v>156</v>
      </c>
    </row>
    <row r="1486" spans="1:19" x14ac:dyDescent="0.35">
      <c r="A1486">
        <v>12799</v>
      </c>
      <c r="B1486" t="str">
        <f>"012799"</f>
        <v>012799</v>
      </c>
      <c r="C1486" t="s">
        <v>5358</v>
      </c>
      <c r="D1486" t="s">
        <v>3398</v>
      </c>
      <c r="E1486" t="s">
        <v>3395</v>
      </c>
      <c r="F1486" t="s">
        <v>3396</v>
      </c>
      <c r="G1486" t="s">
        <v>861</v>
      </c>
      <c r="H1486" t="s">
        <v>5359</v>
      </c>
      <c r="I1486" t="s">
        <v>5360</v>
      </c>
      <c r="J1486" t="s">
        <v>864</v>
      </c>
      <c r="K1486" t="s">
        <v>55</v>
      </c>
      <c r="L1486" t="s">
        <v>865</v>
      </c>
      <c r="M1486" t="s">
        <v>57</v>
      </c>
      <c r="N1486" t="str">
        <f>"044032"</f>
        <v>044032</v>
      </c>
      <c r="O1486" t="s">
        <v>860</v>
      </c>
      <c r="P1486" t="s">
        <v>68</v>
      </c>
      <c r="Q1486">
        <v>43.8</v>
      </c>
      <c r="R1486">
        <v>10.599999999999994</v>
      </c>
      <c r="S1486" t="s">
        <v>130</v>
      </c>
    </row>
    <row r="1487" spans="1:19" x14ac:dyDescent="0.35">
      <c r="A1487">
        <v>12823</v>
      </c>
      <c r="B1487" t="str">
        <f>"012823"</f>
        <v>012823</v>
      </c>
      <c r="C1487" t="s">
        <v>5361</v>
      </c>
      <c r="D1487" t="s">
        <v>3394</v>
      </c>
      <c r="E1487" t="s">
        <v>3395</v>
      </c>
      <c r="F1487" t="s">
        <v>3396</v>
      </c>
      <c r="G1487" t="s">
        <v>901</v>
      </c>
      <c r="H1487" t="s">
        <v>5362</v>
      </c>
      <c r="I1487" t="s">
        <v>5363</v>
      </c>
      <c r="J1487" t="s">
        <v>5364</v>
      </c>
      <c r="K1487" t="s">
        <v>55</v>
      </c>
      <c r="L1487" t="s">
        <v>5365</v>
      </c>
      <c r="M1487" t="s">
        <v>57</v>
      </c>
      <c r="N1487" t="str">
        <f>"044420"</f>
        <v>044420</v>
      </c>
      <c r="O1487" t="s">
        <v>2345</v>
      </c>
      <c r="P1487" t="s">
        <v>68</v>
      </c>
      <c r="Q1487">
        <v>22.2</v>
      </c>
      <c r="R1487">
        <v>9.9000000000000057</v>
      </c>
      <c r="S1487" t="s">
        <v>60</v>
      </c>
    </row>
    <row r="1488" spans="1:19" x14ac:dyDescent="0.35">
      <c r="A1488">
        <v>12849</v>
      </c>
      <c r="B1488" t="str">
        <f>"012849"</f>
        <v>012849</v>
      </c>
      <c r="C1488" t="s">
        <v>5366</v>
      </c>
      <c r="D1488" t="s">
        <v>3398</v>
      </c>
      <c r="E1488" t="s">
        <v>3395</v>
      </c>
      <c r="F1488" t="s">
        <v>3396</v>
      </c>
      <c r="G1488" t="s">
        <v>71</v>
      </c>
      <c r="H1488" t="s">
        <v>2721</v>
      </c>
      <c r="I1488" t="s">
        <v>2722</v>
      </c>
      <c r="J1488" t="s">
        <v>2723</v>
      </c>
      <c r="K1488" t="s">
        <v>55</v>
      </c>
      <c r="L1488" t="s">
        <v>2724</v>
      </c>
      <c r="M1488" t="s">
        <v>57</v>
      </c>
      <c r="N1488" t="str">
        <f>"050278"</f>
        <v>050278</v>
      </c>
      <c r="O1488" t="s">
        <v>2720</v>
      </c>
      <c r="P1488" t="s">
        <v>68</v>
      </c>
      <c r="Q1488">
        <v>23.8</v>
      </c>
      <c r="R1488">
        <v>7.5</v>
      </c>
      <c r="S1488" t="s">
        <v>77</v>
      </c>
    </row>
    <row r="1489" spans="1:19" x14ac:dyDescent="0.35">
      <c r="A1489">
        <v>12856</v>
      </c>
      <c r="B1489" t="str">
        <f>"012856"</f>
        <v>012856</v>
      </c>
      <c r="C1489" t="s">
        <v>5367</v>
      </c>
      <c r="D1489" t="s">
        <v>3394</v>
      </c>
      <c r="E1489" t="s">
        <v>3395</v>
      </c>
      <c r="F1489" t="s">
        <v>3396</v>
      </c>
      <c r="G1489" t="s">
        <v>71</v>
      </c>
      <c r="H1489" t="s">
        <v>5368</v>
      </c>
      <c r="I1489" t="s">
        <v>5369</v>
      </c>
      <c r="J1489" t="s">
        <v>5370</v>
      </c>
      <c r="K1489" t="s">
        <v>55</v>
      </c>
      <c r="L1489" t="s">
        <v>5371</v>
      </c>
      <c r="M1489" t="s">
        <v>57</v>
      </c>
      <c r="N1489" t="str">
        <f>"050278"</f>
        <v>050278</v>
      </c>
      <c r="O1489" t="s">
        <v>2720</v>
      </c>
      <c r="P1489" t="s">
        <v>68</v>
      </c>
      <c r="Q1489">
        <v>48.9</v>
      </c>
      <c r="R1489">
        <v>4.2999999999999972</v>
      </c>
      <c r="S1489" t="s">
        <v>77</v>
      </c>
    </row>
    <row r="1490" spans="1:19" x14ac:dyDescent="0.35">
      <c r="A1490">
        <v>12898</v>
      </c>
      <c r="B1490" t="str">
        <f>"012898"</f>
        <v>012898</v>
      </c>
      <c r="C1490" t="s">
        <v>5372</v>
      </c>
      <c r="D1490" t="s">
        <v>3394</v>
      </c>
      <c r="E1490" t="s">
        <v>3395</v>
      </c>
      <c r="F1490" t="s">
        <v>3396</v>
      </c>
      <c r="G1490" t="s">
        <v>63</v>
      </c>
      <c r="H1490" t="s">
        <v>5373</v>
      </c>
      <c r="I1490" t="s">
        <v>5374</v>
      </c>
      <c r="J1490" t="s">
        <v>285</v>
      </c>
      <c r="K1490" t="s">
        <v>55</v>
      </c>
      <c r="L1490" t="s">
        <v>5375</v>
      </c>
      <c r="M1490" t="s">
        <v>57</v>
      </c>
      <c r="N1490" t="str">
        <f>"043786"</f>
        <v>043786</v>
      </c>
      <c r="O1490" t="s">
        <v>1340</v>
      </c>
      <c r="P1490" t="s">
        <v>68</v>
      </c>
      <c r="Q1490">
        <v>100</v>
      </c>
      <c r="R1490">
        <v>76.7</v>
      </c>
      <c r="S1490" t="s">
        <v>69</v>
      </c>
    </row>
    <row r="1491" spans="1:19" x14ac:dyDescent="0.35">
      <c r="A1491">
        <v>12914</v>
      </c>
      <c r="B1491" t="str">
        <f>"012914"</f>
        <v>012914</v>
      </c>
      <c r="C1491" t="s">
        <v>5372</v>
      </c>
      <c r="D1491" t="s">
        <v>3394</v>
      </c>
      <c r="E1491" t="s">
        <v>3395</v>
      </c>
      <c r="F1491" t="s">
        <v>3396</v>
      </c>
      <c r="G1491" t="s">
        <v>406</v>
      </c>
      <c r="H1491" t="s">
        <v>5376</v>
      </c>
      <c r="I1491" t="s">
        <v>5377</v>
      </c>
      <c r="J1491" t="s">
        <v>406</v>
      </c>
      <c r="K1491" t="s">
        <v>55</v>
      </c>
      <c r="L1491" t="s">
        <v>409</v>
      </c>
      <c r="M1491" t="s">
        <v>57</v>
      </c>
      <c r="N1491" t="str">
        <f>"044388"</f>
        <v>044388</v>
      </c>
      <c r="O1491" t="s">
        <v>3325</v>
      </c>
      <c r="P1491" t="s">
        <v>68</v>
      </c>
      <c r="Q1491">
        <v>47.9</v>
      </c>
      <c r="R1491">
        <v>33</v>
      </c>
      <c r="S1491" t="s">
        <v>77</v>
      </c>
    </row>
    <row r="1492" spans="1:19" x14ac:dyDescent="0.35">
      <c r="A1492">
        <v>12922</v>
      </c>
      <c r="B1492" t="str">
        <f>"012922"</f>
        <v>012922</v>
      </c>
      <c r="C1492" t="s">
        <v>5372</v>
      </c>
      <c r="D1492" t="s">
        <v>3394</v>
      </c>
      <c r="E1492" t="s">
        <v>3395</v>
      </c>
      <c r="F1492" t="s">
        <v>3396</v>
      </c>
      <c r="G1492" t="s">
        <v>200</v>
      </c>
      <c r="H1492" t="s">
        <v>5378</v>
      </c>
      <c r="I1492" t="s">
        <v>5379</v>
      </c>
      <c r="J1492" t="s">
        <v>304</v>
      </c>
      <c r="K1492" t="s">
        <v>55</v>
      </c>
      <c r="L1492" t="s">
        <v>3858</v>
      </c>
      <c r="M1492" t="s">
        <v>57</v>
      </c>
      <c r="N1492" t="str">
        <f>"044909"</f>
        <v>044909</v>
      </c>
      <c r="O1492" t="s">
        <v>3318</v>
      </c>
      <c r="P1492" t="s">
        <v>68</v>
      </c>
      <c r="Q1492">
        <v>95.6</v>
      </c>
      <c r="R1492">
        <v>68.7</v>
      </c>
      <c r="S1492" t="s">
        <v>156</v>
      </c>
    </row>
    <row r="1493" spans="1:19" x14ac:dyDescent="0.35">
      <c r="A1493">
        <v>12963</v>
      </c>
      <c r="B1493" t="str">
        <f>"012963"</f>
        <v>012963</v>
      </c>
      <c r="C1493" t="s">
        <v>5372</v>
      </c>
      <c r="D1493" t="s">
        <v>3394</v>
      </c>
      <c r="E1493" t="s">
        <v>3395</v>
      </c>
      <c r="F1493" t="s">
        <v>3396</v>
      </c>
      <c r="G1493" t="s">
        <v>143</v>
      </c>
      <c r="H1493" t="s">
        <v>5380</v>
      </c>
      <c r="I1493" t="s">
        <v>5381</v>
      </c>
      <c r="J1493" t="s">
        <v>143</v>
      </c>
      <c r="K1493" t="s">
        <v>55</v>
      </c>
      <c r="L1493" t="s">
        <v>5382</v>
      </c>
      <c r="M1493" t="s">
        <v>57</v>
      </c>
      <c r="N1493" t="str">
        <f>"044263"</f>
        <v>044263</v>
      </c>
      <c r="O1493" t="s">
        <v>1364</v>
      </c>
      <c r="P1493" t="s">
        <v>68</v>
      </c>
      <c r="Q1493">
        <v>100</v>
      </c>
      <c r="R1493">
        <v>82</v>
      </c>
      <c r="S1493" t="s">
        <v>69</v>
      </c>
    </row>
    <row r="1494" spans="1:19" x14ac:dyDescent="0.35">
      <c r="A1494">
        <v>12971</v>
      </c>
      <c r="B1494" t="str">
        <f>"012971"</f>
        <v>012971</v>
      </c>
      <c r="C1494" t="s">
        <v>5372</v>
      </c>
      <c r="D1494" t="s">
        <v>3394</v>
      </c>
      <c r="E1494" t="s">
        <v>3395</v>
      </c>
      <c r="F1494" t="s">
        <v>3396</v>
      </c>
      <c r="G1494" t="s">
        <v>536</v>
      </c>
      <c r="H1494" t="s">
        <v>5383</v>
      </c>
      <c r="I1494" t="s">
        <v>5384</v>
      </c>
      <c r="J1494" t="s">
        <v>958</v>
      </c>
      <c r="K1494" t="s">
        <v>55</v>
      </c>
      <c r="L1494" t="s">
        <v>959</v>
      </c>
      <c r="M1494" t="s">
        <v>57</v>
      </c>
      <c r="N1494" t="str">
        <f>"045039"</f>
        <v>045039</v>
      </c>
      <c r="O1494" t="s">
        <v>955</v>
      </c>
      <c r="P1494" t="s">
        <v>68</v>
      </c>
      <c r="Q1494">
        <v>100</v>
      </c>
      <c r="R1494">
        <v>22.599999999999994</v>
      </c>
      <c r="S1494" t="s">
        <v>77</v>
      </c>
    </row>
    <row r="1495" spans="1:19" x14ac:dyDescent="0.35">
      <c r="A1495">
        <v>13060</v>
      </c>
      <c r="B1495" t="str">
        <f>"013060"</f>
        <v>013060</v>
      </c>
      <c r="C1495" t="s">
        <v>5385</v>
      </c>
      <c r="D1495" t="s">
        <v>3394</v>
      </c>
      <c r="E1495" t="s">
        <v>3395</v>
      </c>
      <c r="F1495" t="s">
        <v>3396</v>
      </c>
      <c r="G1495" t="s">
        <v>295</v>
      </c>
      <c r="H1495" t="s">
        <v>5386</v>
      </c>
      <c r="I1495" t="s">
        <v>5387</v>
      </c>
      <c r="J1495" t="s">
        <v>2942</v>
      </c>
      <c r="K1495" t="s">
        <v>55</v>
      </c>
      <c r="L1495" t="s">
        <v>2943</v>
      </c>
      <c r="M1495" t="s">
        <v>57</v>
      </c>
      <c r="N1495" t="str">
        <f>"049205"</f>
        <v>049205</v>
      </c>
      <c r="O1495" t="s">
        <v>2939</v>
      </c>
      <c r="P1495" t="s">
        <v>68</v>
      </c>
      <c r="Q1495">
        <v>32.9</v>
      </c>
      <c r="R1495">
        <v>4.7999999999999972</v>
      </c>
      <c r="S1495" t="s">
        <v>77</v>
      </c>
    </row>
    <row r="1496" spans="1:19" x14ac:dyDescent="0.35">
      <c r="A1496">
        <v>13078</v>
      </c>
      <c r="B1496" t="str">
        <f>"013078"</f>
        <v>013078</v>
      </c>
      <c r="C1496" t="s">
        <v>5372</v>
      </c>
      <c r="D1496" t="s">
        <v>3394</v>
      </c>
      <c r="E1496" t="s">
        <v>3395</v>
      </c>
      <c r="F1496" t="s">
        <v>3396</v>
      </c>
      <c r="G1496" t="s">
        <v>110</v>
      </c>
      <c r="H1496" t="s">
        <v>5388</v>
      </c>
      <c r="I1496" t="s">
        <v>5389</v>
      </c>
      <c r="J1496" t="s">
        <v>1945</v>
      </c>
      <c r="K1496" t="s">
        <v>55</v>
      </c>
      <c r="L1496" t="s">
        <v>1946</v>
      </c>
      <c r="M1496" t="s">
        <v>57</v>
      </c>
      <c r="N1496" t="str">
        <f>"044115"</f>
        <v>044115</v>
      </c>
      <c r="O1496" t="s">
        <v>1942</v>
      </c>
      <c r="P1496" t="s">
        <v>68</v>
      </c>
      <c r="Q1496">
        <v>40.200000000000003</v>
      </c>
      <c r="R1496">
        <v>16.799999999999997</v>
      </c>
      <c r="S1496" t="s">
        <v>60</v>
      </c>
    </row>
    <row r="1497" spans="1:19" x14ac:dyDescent="0.35">
      <c r="A1497">
        <v>13102</v>
      </c>
      <c r="B1497" t="str">
        <f>"013102"</f>
        <v>013102</v>
      </c>
      <c r="C1497" t="s">
        <v>5390</v>
      </c>
      <c r="D1497" t="s">
        <v>3400</v>
      </c>
      <c r="E1497" t="s">
        <v>3395</v>
      </c>
      <c r="F1497" t="s">
        <v>3396</v>
      </c>
      <c r="G1497" t="s">
        <v>244</v>
      </c>
      <c r="H1497" t="s">
        <v>5391</v>
      </c>
      <c r="I1497" t="s">
        <v>5392</v>
      </c>
      <c r="J1497" t="s">
        <v>212</v>
      </c>
      <c r="K1497" t="s">
        <v>55</v>
      </c>
      <c r="L1497" t="s">
        <v>374</v>
      </c>
      <c r="M1497" t="s">
        <v>57</v>
      </c>
      <c r="N1497" t="str">
        <f>"044107"</f>
        <v>044107</v>
      </c>
      <c r="O1497" t="s">
        <v>971</v>
      </c>
      <c r="P1497" t="s">
        <v>68</v>
      </c>
      <c r="Q1497">
        <v>100</v>
      </c>
      <c r="R1497">
        <v>49.3</v>
      </c>
      <c r="S1497" t="s">
        <v>217</v>
      </c>
    </row>
    <row r="1498" spans="1:19" x14ac:dyDescent="0.35">
      <c r="A1498">
        <v>13110</v>
      </c>
      <c r="B1498" t="str">
        <f>"013110"</f>
        <v>013110</v>
      </c>
      <c r="C1498" t="s">
        <v>5393</v>
      </c>
      <c r="D1498" t="s">
        <v>3398</v>
      </c>
      <c r="E1498" t="s">
        <v>3395</v>
      </c>
      <c r="F1498" t="s">
        <v>3396</v>
      </c>
      <c r="G1498" t="s">
        <v>295</v>
      </c>
      <c r="H1498" t="s">
        <v>5394</v>
      </c>
      <c r="I1498" t="s">
        <v>5395</v>
      </c>
      <c r="J1498" t="s">
        <v>2942</v>
      </c>
      <c r="K1498" t="s">
        <v>55</v>
      </c>
      <c r="L1498" t="s">
        <v>2943</v>
      </c>
      <c r="M1498" t="s">
        <v>57</v>
      </c>
      <c r="N1498" t="str">
        <f>"049205"</f>
        <v>049205</v>
      </c>
      <c r="O1498" t="s">
        <v>2939</v>
      </c>
      <c r="P1498" t="s">
        <v>68</v>
      </c>
      <c r="Q1498">
        <v>22.2</v>
      </c>
      <c r="R1498">
        <v>3.9000000000000057</v>
      </c>
      <c r="S1498" t="s">
        <v>77</v>
      </c>
    </row>
    <row r="1499" spans="1:19" x14ac:dyDescent="0.35">
      <c r="A1499">
        <v>13128</v>
      </c>
      <c r="B1499" t="str">
        <f>"013128"</f>
        <v>013128</v>
      </c>
      <c r="C1499" t="s">
        <v>5396</v>
      </c>
      <c r="D1499" t="s">
        <v>3398</v>
      </c>
      <c r="E1499" t="s">
        <v>3395</v>
      </c>
      <c r="F1499" t="s">
        <v>3396</v>
      </c>
      <c r="G1499" t="s">
        <v>264</v>
      </c>
      <c r="H1499" t="s">
        <v>5397</v>
      </c>
      <c r="I1499" t="s">
        <v>5398</v>
      </c>
      <c r="J1499" t="s">
        <v>267</v>
      </c>
      <c r="K1499" t="s">
        <v>55</v>
      </c>
      <c r="L1499" t="s">
        <v>5223</v>
      </c>
      <c r="M1499" t="s">
        <v>57</v>
      </c>
      <c r="N1499" t="str">
        <f>"043489"</f>
        <v>043489</v>
      </c>
      <c r="O1499" t="s">
        <v>3176</v>
      </c>
      <c r="P1499" t="s">
        <v>68</v>
      </c>
      <c r="Q1499">
        <v>100</v>
      </c>
      <c r="R1499">
        <v>77.3</v>
      </c>
      <c r="S1499" t="s">
        <v>77</v>
      </c>
    </row>
    <row r="1500" spans="1:19" x14ac:dyDescent="0.35">
      <c r="A1500">
        <v>13136</v>
      </c>
      <c r="B1500" t="str">
        <f>"013136"</f>
        <v>013136</v>
      </c>
      <c r="C1500" t="s">
        <v>5399</v>
      </c>
      <c r="D1500" t="s">
        <v>3398</v>
      </c>
      <c r="E1500" t="s">
        <v>3395</v>
      </c>
      <c r="F1500" t="s">
        <v>3396</v>
      </c>
      <c r="G1500" t="s">
        <v>63</v>
      </c>
      <c r="H1500" t="s">
        <v>5400</v>
      </c>
      <c r="I1500" t="s">
        <v>5401</v>
      </c>
      <c r="J1500" t="s">
        <v>2834</v>
      </c>
      <c r="K1500" t="s">
        <v>55</v>
      </c>
      <c r="L1500" t="s">
        <v>508</v>
      </c>
      <c r="M1500" t="s">
        <v>57</v>
      </c>
      <c r="N1500" t="str">
        <f>"044040"</f>
        <v>044040</v>
      </c>
      <c r="O1500" t="s">
        <v>2831</v>
      </c>
      <c r="P1500" t="s">
        <v>68</v>
      </c>
      <c r="Q1500">
        <v>99.9</v>
      </c>
      <c r="R1500">
        <v>90.3</v>
      </c>
      <c r="S1500" t="s">
        <v>69</v>
      </c>
    </row>
    <row r="1501" spans="1:19" x14ac:dyDescent="0.35">
      <c r="A1501">
        <v>13144</v>
      </c>
      <c r="B1501" t="str">
        <f>"013144"</f>
        <v>013144</v>
      </c>
      <c r="C1501" t="s">
        <v>5402</v>
      </c>
      <c r="D1501" t="s">
        <v>3400</v>
      </c>
      <c r="E1501" t="s">
        <v>3395</v>
      </c>
      <c r="F1501" t="s">
        <v>3396</v>
      </c>
      <c r="G1501" t="s">
        <v>63</v>
      </c>
      <c r="H1501" t="s">
        <v>5403</v>
      </c>
      <c r="I1501" t="s">
        <v>5404</v>
      </c>
      <c r="J1501" t="s">
        <v>2834</v>
      </c>
      <c r="K1501" t="s">
        <v>55</v>
      </c>
      <c r="L1501" t="s">
        <v>508</v>
      </c>
      <c r="M1501" t="s">
        <v>57</v>
      </c>
      <c r="N1501" t="str">
        <f>"044040"</f>
        <v>044040</v>
      </c>
      <c r="O1501" t="s">
        <v>2831</v>
      </c>
      <c r="P1501" t="s">
        <v>68</v>
      </c>
      <c r="Q1501">
        <v>100</v>
      </c>
      <c r="R1501">
        <v>93</v>
      </c>
      <c r="S1501" t="s">
        <v>69</v>
      </c>
    </row>
    <row r="1502" spans="1:19" x14ac:dyDescent="0.35">
      <c r="A1502">
        <v>13177</v>
      </c>
      <c r="B1502" t="str">
        <f>"013177"</f>
        <v>013177</v>
      </c>
      <c r="C1502" t="s">
        <v>5405</v>
      </c>
      <c r="D1502" t="s">
        <v>3400</v>
      </c>
      <c r="E1502" t="s">
        <v>3395</v>
      </c>
      <c r="F1502" t="s">
        <v>3396</v>
      </c>
      <c r="G1502" t="s">
        <v>295</v>
      </c>
      <c r="H1502" t="s">
        <v>5406</v>
      </c>
      <c r="I1502" t="s">
        <v>5407</v>
      </c>
      <c r="J1502" t="s">
        <v>2942</v>
      </c>
      <c r="K1502" t="s">
        <v>55</v>
      </c>
      <c r="L1502" t="s">
        <v>2943</v>
      </c>
      <c r="M1502" t="s">
        <v>57</v>
      </c>
      <c r="N1502" t="str">
        <f>"049205"</f>
        <v>049205</v>
      </c>
      <c r="O1502" t="s">
        <v>2939</v>
      </c>
      <c r="P1502" t="s">
        <v>68</v>
      </c>
      <c r="Q1502">
        <v>27.6</v>
      </c>
      <c r="R1502">
        <v>4.7999999999999972</v>
      </c>
      <c r="S1502" t="s">
        <v>77</v>
      </c>
    </row>
    <row r="1503" spans="1:19" x14ac:dyDescent="0.35">
      <c r="A1503">
        <v>13193</v>
      </c>
      <c r="B1503" t="str">
        <f>"013193"</f>
        <v>013193</v>
      </c>
      <c r="C1503" t="s">
        <v>5408</v>
      </c>
      <c r="D1503" t="s">
        <v>3394</v>
      </c>
      <c r="E1503" t="s">
        <v>3395</v>
      </c>
      <c r="F1503" t="s">
        <v>3396</v>
      </c>
      <c r="G1503" t="s">
        <v>63</v>
      </c>
      <c r="H1503" t="s">
        <v>5409</v>
      </c>
      <c r="I1503" t="s">
        <v>5410</v>
      </c>
      <c r="J1503" t="s">
        <v>5411</v>
      </c>
      <c r="K1503" t="s">
        <v>55</v>
      </c>
      <c r="L1503" t="s">
        <v>5412</v>
      </c>
      <c r="M1503" t="s">
        <v>57</v>
      </c>
      <c r="N1503" t="str">
        <f>"044370"</f>
        <v>044370</v>
      </c>
      <c r="O1503" t="s">
        <v>2456</v>
      </c>
      <c r="P1503" t="s">
        <v>68</v>
      </c>
      <c r="Q1503">
        <v>38.1</v>
      </c>
      <c r="R1503">
        <v>56.7</v>
      </c>
      <c r="S1503" t="s">
        <v>69</v>
      </c>
    </row>
    <row r="1504" spans="1:19" x14ac:dyDescent="0.35">
      <c r="A1504">
        <v>13219</v>
      </c>
      <c r="B1504" t="str">
        <f>"013219"</f>
        <v>013219</v>
      </c>
      <c r="C1504" t="s">
        <v>5413</v>
      </c>
      <c r="D1504" t="s">
        <v>3398</v>
      </c>
      <c r="E1504" t="s">
        <v>3395</v>
      </c>
      <c r="F1504" t="s">
        <v>3396</v>
      </c>
      <c r="G1504" t="s">
        <v>132</v>
      </c>
      <c r="H1504" t="s">
        <v>5414</v>
      </c>
      <c r="I1504" t="s">
        <v>5415</v>
      </c>
      <c r="J1504" t="s">
        <v>3180</v>
      </c>
      <c r="K1504" t="s">
        <v>55</v>
      </c>
      <c r="L1504" t="s">
        <v>3181</v>
      </c>
      <c r="M1504" t="s">
        <v>57</v>
      </c>
      <c r="N1504" t="str">
        <f>"044057"</f>
        <v>044057</v>
      </c>
      <c r="O1504" t="s">
        <v>3177</v>
      </c>
      <c r="P1504" t="s">
        <v>68</v>
      </c>
      <c r="Q1504">
        <v>51</v>
      </c>
      <c r="R1504">
        <v>11.900000000000006</v>
      </c>
      <c r="S1504" t="s">
        <v>69</v>
      </c>
    </row>
    <row r="1505" spans="1:19" x14ac:dyDescent="0.35">
      <c r="A1505">
        <v>13227</v>
      </c>
      <c r="B1505" t="str">
        <f>"013227"</f>
        <v>013227</v>
      </c>
      <c r="C1505" t="s">
        <v>5416</v>
      </c>
      <c r="D1505" t="s">
        <v>3400</v>
      </c>
      <c r="E1505" t="s">
        <v>3395</v>
      </c>
      <c r="F1505" t="s">
        <v>3396</v>
      </c>
      <c r="G1505" t="s">
        <v>132</v>
      </c>
      <c r="H1505" t="s">
        <v>5417</v>
      </c>
      <c r="I1505" t="s">
        <v>5418</v>
      </c>
      <c r="J1505" t="s">
        <v>3180</v>
      </c>
      <c r="K1505" t="s">
        <v>55</v>
      </c>
      <c r="L1505" t="s">
        <v>3181</v>
      </c>
      <c r="M1505" t="s">
        <v>57</v>
      </c>
      <c r="N1505" t="str">
        <f>"044057"</f>
        <v>044057</v>
      </c>
      <c r="O1505" t="s">
        <v>3177</v>
      </c>
      <c r="P1505" t="s">
        <v>68</v>
      </c>
      <c r="Q1505">
        <v>54.2</v>
      </c>
      <c r="R1505">
        <v>12</v>
      </c>
      <c r="S1505" t="s">
        <v>69</v>
      </c>
    </row>
    <row r="1506" spans="1:19" x14ac:dyDescent="0.35">
      <c r="A1506">
        <v>13243</v>
      </c>
      <c r="B1506" t="str">
        <f>"013243"</f>
        <v>013243</v>
      </c>
      <c r="C1506" t="s">
        <v>5419</v>
      </c>
      <c r="D1506" t="s">
        <v>3398</v>
      </c>
      <c r="E1506" t="s">
        <v>3395</v>
      </c>
      <c r="F1506" t="s">
        <v>3396</v>
      </c>
      <c r="G1506" t="s">
        <v>257</v>
      </c>
      <c r="H1506" t="s">
        <v>5420</v>
      </c>
      <c r="I1506" t="s">
        <v>5421</v>
      </c>
      <c r="J1506" t="s">
        <v>3041</v>
      </c>
      <c r="K1506" t="s">
        <v>55</v>
      </c>
      <c r="L1506" t="s">
        <v>3042</v>
      </c>
      <c r="M1506" t="s">
        <v>57</v>
      </c>
      <c r="N1506" t="str">
        <f>"048942"</f>
        <v>048942</v>
      </c>
      <c r="O1506" t="s">
        <v>3038</v>
      </c>
      <c r="P1506" t="s">
        <v>68</v>
      </c>
      <c r="Q1506">
        <v>22.1</v>
      </c>
      <c r="R1506">
        <v>15.799999999999997</v>
      </c>
      <c r="S1506" t="s">
        <v>156</v>
      </c>
    </row>
    <row r="1507" spans="1:19" x14ac:dyDescent="0.35">
      <c r="A1507">
        <v>13250</v>
      </c>
      <c r="B1507" t="str">
        <f>"013250"</f>
        <v>013250</v>
      </c>
      <c r="C1507" t="s">
        <v>5422</v>
      </c>
      <c r="D1507" t="s">
        <v>3400</v>
      </c>
      <c r="E1507" t="s">
        <v>3395</v>
      </c>
      <c r="F1507" t="s">
        <v>3396</v>
      </c>
      <c r="G1507" t="s">
        <v>257</v>
      </c>
      <c r="H1507" t="s">
        <v>5423</v>
      </c>
      <c r="I1507" t="s">
        <v>5424</v>
      </c>
      <c r="J1507" t="s">
        <v>3041</v>
      </c>
      <c r="K1507" t="s">
        <v>55</v>
      </c>
      <c r="L1507" t="s">
        <v>3042</v>
      </c>
      <c r="M1507" t="s">
        <v>57</v>
      </c>
      <c r="N1507" t="str">
        <f>"048942"</f>
        <v>048942</v>
      </c>
      <c r="O1507" t="s">
        <v>3038</v>
      </c>
      <c r="P1507" t="s">
        <v>68</v>
      </c>
      <c r="Q1507">
        <v>28.6</v>
      </c>
      <c r="R1507">
        <v>10.200000000000003</v>
      </c>
      <c r="S1507" t="s">
        <v>156</v>
      </c>
    </row>
    <row r="1508" spans="1:19" x14ac:dyDescent="0.35">
      <c r="A1508">
        <v>13268</v>
      </c>
      <c r="B1508" t="str">
        <f>"013268"</f>
        <v>013268</v>
      </c>
      <c r="C1508" t="s">
        <v>5425</v>
      </c>
      <c r="D1508" t="s">
        <v>3394</v>
      </c>
      <c r="E1508" t="s">
        <v>3395</v>
      </c>
      <c r="F1508" t="s">
        <v>3396</v>
      </c>
      <c r="G1508" t="s">
        <v>117</v>
      </c>
      <c r="H1508" t="s">
        <v>5426</v>
      </c>
      <c r="I1508" t="s">
        <v>5427</v>
      </c>
      <c r="J1508" t="s">
        <v>977</v>
      </c>
      <c r="K1508" t="s">
        <v>55</v>
      </c>
      <c r="L1508" t="s">
        <v>978</v>
      </c>
      <c r="M1508" t="s">
        <v>57</v>
      </c>
      <c r="N1508" t="str">
        <f>"049924"</f>
        <v>049924</v>
      </c>
      <c r="O1508" t="s">
        <v>1548</v>
      </c>
      <c r="P1508" t="s">
        <v>68</v>
      </c>
      <c r="Q1508">
        <v>57.9</v>
      </c>
      <c r="R1508">
        <v>19.299999999999997</v>
      </c>
      <c r="S1508" t="s">
        <v>77</v>
      </c>
    </row>
    <row r="1509" spans="1:19" x14ac:dyDescent="0.35">
      <c r="A1509">
        <v>13276</v>
      </c>
      <c r="B1509" t="str">
        <f>"013276"</f>
        <v>013276</v>
      </c>
      <c r="C1509" t="s">
        <v>5428</v>
      </c>
      <c r="D1509" t="s">
        <v>3394</v>
      </c>
      <c r="E1509" t="s">
        <v>3395</v>
      </c>
      <c r="F1509" t="s">
        <v>3396</v>
      </c>
      <c r="G1509" t="s">
        <v>172</v>
      </c>
      <c r="H1509" t="s">
        <v>5429</v>
      </c>
      <c r="I1509" t="s">
        <v>5430</v>
      </c>
      <c r="J1509" t="s">
        <v>600</v>
      </c>
      <c r="K1509" t="s">
        <v>55</v>
      </c>
      <c r="L1509" t="s">
        <v>939</v>
      </c>
      <c r="M1509" t="s">
        <v>57</v>
      </c>
      <c r="N1509" t="str">
        <f>"044008"</f>
        <v>044008</v>
      </c>
      <c r="O1509" t="s">
        <v>1579</v>
      </c>
      <c r="P1509" t="s">
        <v>68</v>
      </c>
      <c r="Q1509">
        <v>65.099999999999994</v>
      </c>
      <c r="R1509">
        <v>22.599999999999994</v>
      </c>
      <c r="S1509" t="s">
        <v>217</v>
      </c>
    </row>
    <row r="1510" spans="1:19" x14ac:dyDescent="0.35">
      <c r="A1510">
        <v>13284</v>
      </c>
      <c r="B1510" t="str">
        <f>"013284"</f>
        <v>013284</v>
      </c>
      <c r="C1510" t="s">
        <v>5431</v>
      </c>
      <c r="D1510" t="s">
        <v>3400</v>
      </c>
      <c r="E1510" t="s">
        <v>3395</v>
      </c>
      <c r="F1510" t="s">
        <v>3396</v>
      </c>
      <c r="G1510" t="s">
        <v>244</v>
      </c>
      <c r="H1510" t="s">
        <v>5432</v>
      </c>
      <c r="I1510" t="s">
        <v>5433</v>
      </c>
      <c r="J1510" t="s">
        <v>1179</v>
      </c>
      <c r="K1510" t="s">
        <v>55</v>
      </c>
      <c r="L1510" t="s">
        <v>3475</v>
      </c>
      <c r="M1510" t="s">
        <v>57</v>
      </c>
      <c r="N1510" t="str">
        <f>"044404"</f>
        <v>044404</v>
      </c>
      <c r="O1510" t="s">
        <v>1176</v>
      </c>
      <c r="P1510" t="s">
        <v>68</v>
      </c>
      <c r="Q1510">
        <v>100</v>
      </c>
      <c r="R1510">
        <v>48.9</v>
      </c>
      <c r="S1510" t="s">
        <v>217</v>
      </c>
    </row>
    <row r="1511" spans="1:19" x14ac:dyDescent="0.35">
      <c r="A1511">
        <v>13292</v>
      </c>
      <c r="B1511" t="str">
        <f>"013292"</f>
        <v>013292</v>
      </c>
      <c r="C1511" t="s">
        <v>5434</v>
      </c>
      <c r="D1511" t="s">
        <v>3394</v>
      </c>
      <c r="E1511" t="s">
        <v>3395</v>
      </c>
      <c r="F1511" t="s">
        <v>3396</v>
      </c>
      <c r="G1511" t="s">
        <v>63</v>
      </c>
      <c r="H1511" t="s">
        <v>5435</v>
      </c>
      <c r="I1511" t="s">
        <v>5436</v>
      </c>
      <c r="J1511" t="s">
        <v>285</v>
      </c>
      <c r="K1511" t="s">
        <v>55</v>
      </c>
      <c r="L1511" t="s">
        <v>5437</v>
      </c>
      <c r="M1511" t="s">
        <v>57</v>
      </c>
      <c r="N1511" t="str">
        <f>"043786"</f>
        <v>043786</v>
      </c>
      <c r="O1511" t="s">
        <v>1340</v>
      </c>
      <c r="P1511" t="s">
        <v>68</v>
      </c>
      <c r="Q1511">
        <v>100</v>
      </c>
      <c r="R1511">
        <v>100</v>
      </c>
      <c r="S1511" t="s">
        <v>69</v>
      </c>
    </row>
    <row r="1512" spans="1:19" x14ac:dyDescent="0.35">
      <c r="A1512">
        <v>13326</v>
      </c>
      <c r="B1512" t="str">
        <f>"013326"</f>
        <v>013326</v>
      </c>
      <c r="C1512" t="s">
        <v>5438</v>
      </c>
      <c r="D1512" t="s">
        <v>3398</v>
      </c>
      <c r="E1512" t="s">
        <v>3395</v>
      </c>
      <c r="F1512" t="s">
        <v>3396</v>
      </c>
      <c r="G1512" t="s">
        <v>19</v>
      </c>
      <c r="H1512" t="s">
        <v>5439</v>
      </c>
      <c r="I1512" t="s">
        <v>5440</v>
      </c>
      <c r="J1512" t="s">
        <v>1797</v>
      </c>
      <c r="K1512" t="s">
        <v>55</v>
      </c>
      <c r="L1512" t="s">
        <v>1798</v>
      </c>
      <c r="M1512" t="s">
        <v>57</v>
      </c>
      <c r="N1512" t="str">
        <f>"045377"</f>
        <v>045377</v>
      </c>
      <c r="O1512" t="s">
        <v>2502</v>
      </c>
      <c r="P1512" t="s">
        <v>68</v>
      </c>
      <c r="Q1512">
        <v>44.8</v>
      </c>
      <c r="R1512">
        <v>7.7999999999999972</v>
      </c>
      <c r="S1512" t="s">
        <v>217</v>
      </c>
    </row>
    <row r="1513" spans="1:19" x14ac:dyDescent="0.35">
      <c r="A1513">
        <v>13334</v>
      </c>
      <c r="B1513" t="str">
        <f>"013334"</f>
        <v>013334</v>
      </c>
      <c r="C1513" t="s">
        <v>5441</v>
      </c>
      <c r="D1513" t="s">
        <v>3394</v>
      </c>
      <c r="E1513" t="s">
        <v>3395</v>
      </c>
      <c r="F1513" t="s">
        <v>3396</v>
      </c>
      <c r="G1513" t="s">
        <v>600</v>
      </c>
      <c r="H1513" t="s">
        <v>5442</v>
      </c>
      <c r="I1513" t="s">
        <v>5443</v>
      </c>
      <c r="J1513" t="s">
        <v>1348</v>
      </c>
      <c r="K1513" t="s">
        <v>55</v>
      </c>
      <c r="L1513" t="s">
        <v>1349</v>
      </c>
      <c r="M1513" t="s">
        <v>57</v>
      </c>
      <c r="N1513" t="str">
        <f>"043802"</f>
        <v>043802</v>
      </c>
      <c r="O1513" t="s">
        <v>3171</v>
      </c>
      <c r="P1513" t="s">
        <v>68</v>
      </c>
      <c r="Q1513">
        <v>100</v>
      </c>
      <c r="R1513">
        <v>64.2</v>
      </c>
      <c r="S1513" t="s">
        <v>60</v>
      </c>
    </row>
    <row r="1514" spans="1:19" x14ac:dyDescent="0.35">
      <c r="A1514">
        <v>13359</v>
      </c>
      <c r="B1514" t="str">
        <f>"013359"</f>
        <v>013359</v>
      </c>
      <c r="C1514" t="s">
        <v>5444</v>
      </c>
      <c r="D1514" t="s">
        <v>3394</v>
      </c>
      <c r="E1514" t="s">
        <v>3395</v>
      </c>
      <c r="F1514" t="s">
        <v>3396</v>
      </c>
      <c r="G1514" t="s">
        <v>543</v>
      </c>
      <c r="H1514" t="s">
        <v>5445</v>
      </c>
      <c r="I1514" t="s">
        <v>5446</v>
      </c>
      <c r="J1514" t="s">
        <v>2789</v>
      </c>
      <c r="K1514" t="s">
        <v>55</v>
      </c>
      <c r="L1514" t="s">
        <v>2790</v>
      </c>
      <c r="M1514" t="s">
        <v>57</v>
      </c>
      <c r="N1514" t="str">
        <f>"048744"</f>
        <v>048744</v>
      </c>
      <c r="O1514" t="s">
        <v>2786</v>
      </c>
      <c r="P1514" t="s">
        <v>68</v>
      </c>
      <c r="Q1514">
        <v>32.299999999999997</v>
      </c>
      <c r="R1514">
        <v>9.4000000000000057</v>
      </c>
      <c r="S1514" t="s">
        <v>180</v>
      </c>
    </row>
    <row r="1515" spans="1:19" x14ac:dyDescent="0.35">
      <c r="A1515">
        <v>13367</v>
      </c>
      <c r="B1515" t="str">
        <f>"013367"</f>
        <v>013367</v>
      </c>
      <c r="C1515" t="s">
        <v>5447</v>
      </c>
      <c r="D1515" t="s">
        <v>3506</v>
      </c>
      <c r="E1515" t="s">
        <v>3395</v>
      </c>
      <c r="F1515" t="s">
        <v>3396</v>
      </c>
      <c r="G1515" t="s">
        <v>543</v>
      </c>
      <c r="H1515" t="s">
        <v>5448</v>
      </c>
      <c r="I1515" t="s">
        <v>5449</v>
      </c>
      <c r="J1515" t="s">
        <v>5450</v>
      </c>
      <c r="K1515" t="s">
        <v>55</v>
      </c>
      <c r="L1515" t="s">
        <v>5451</v>
      </c>
      <c r="M1515" t="s">
        <v>57</v>
      </c>
      <c r="N1515" t="str">
        <f>"048744"</f>
        <v>048744</v>
      </c>
      <c r="O1515" t="s">
        <v>2786</v>
      </c>
      <c r="P1515" t="s">
        <v>68</v>
      </c>
      <c r="Q1515">
        <v>35.299999999999997</v>
      </c>
      <c r="R1515">
        <v>6.2999999999999972</v>
      </c>
      <c r="S1515" t="s">
        <v>180</v>
      </c>
    </row>
    <row r="1516" spans="1:19" x14ac:dyDescent="0.35">
      <c r="A1516">
        <v>13409</v>
      </c>
      <c r="B1516" t="str">
        <f>"013409"</f>
        <v>013409</v>
      </c>
      <c r="C1516" t="s">
        <v>5452</v>
      </c>
      <c r="D1516" t="s">
        <v>3394</v>
      </c>
      <c r="E1516" t="s">
        <v>3395</v>
      </c>
      <c r="F1516" t="s">
        <v>3396</v>
      </c>
      <c r="G1516" t="s">
        <v>117</v>
      </c>
      <c r="H1516" t="s">
        <v>5453</v>
      </c>
      <c r="I1516" t="s">
        <v>5454</v>
      </c>
      <c r="J1516" t="s">
        <v>1409</v>
      </c>
      <c r="K1516" t="s">
        <v>55</v>
      </c>
      <c r="L1516" t="s">
        <v>5455</v>
      </c>
      <c r="M1516" t="s">
        <v>57</v>
      </c>
      <c r="N1516" t="str">
        <f>"043711"</f>
        <v>043711</v>
      </c>
      <c r="O1516" t="s">
        <v>3000</v>
      </c>
      <c r="P1516" t="s">
        <v>68</v>
      </c>
      <c r="Q1516">
        <v>100</v>
      </c>
      <c r="R1516">
        <v>71.8</v>
      </c>
      <c r="S1516" t="s">
        <v>77</v>
      </c>
    </row>
    <row r="1517" spans="1:19" x14ac:dyDescent="0.35">
      <c r="A1517">
        <v>13425</v>
      </c>
      <c r="B1517" t="str">
        <f>"013425"</f>
        <v>013425</v>
      </c>
      <c r="C1517" t="s">
        <v>5456</v>
      </c>
      <c r="D1517" t="s">
        <v>3394</v>
      </c>
      <c r="E1517" t="s">
        <v>3395</v>
      </c>
      <c r="F1517" t="s">
        <v>3396</v>
      </c>
      <c r="G1517" t="s">
        <v>400</v>
      </c>
      <c r="H1517" t="s">
        <v>2122</v>
      </c>
      <c r="I1517" t="s">
        <v>2123</v>
      </c>
      <c r="J1517" t="s">
        <v>2124</v>
      </c>
      <c r="K1517" t="s">
        <v>55</v>
      </c>
      <c r="L1517" t="s">
        <v>2125</v>
      </c>
      <c r="M1517" t="s">
        <v>57</v>
      </c>
      <c r="N1517" t="str">
        <f>"045385"</f>
        <v>045385</v>
      </c>
      <c r="O1517" t="s">
        <v>2121</v>
      </c>
      <c r="P1517" t="s">
        <v>68</v>
      </c>
      <c r="Q1517">
        <v>34.299999999999997</v>
      </c>
      <c r="R1517">
        <v>11.400000000000006</v>
      </c>
      <c r="S1517" t="s">
        <v>156</v>
      </c>
    </row>
    <row r="1518" spans="1:19" x14ac:dyDescent="0.35">
      <c r="A1518">
        <v>13433</v>
      </c>
      <c r="B1518" t="str">
        <f>"013433"</f>
        <v>013433</v>
      </c>
      <c r="C1518" t="s">
        <v>5457</v>
      </c>
      <c r="D1518" t="s">
        <v>3398</v>
      </c>
      <c r="E1518" t="s">
        <v>3395</v>
      </c>
      <c r="F1518" t="s">
        <v>3396</v>
      </c>
      <c r="G1518" t="s">
        <v>400</v>
      </c>
      <c r="H1518" t="s">
        <v>5458</v>
      </c>
      <c r="I1518" t="s">
        <v>5459</v>
      </c>
      <c r="J1518" t="s">
        <v>2124</v>
      </c>
      <c r="K1518" t="s">
        <v>55</v>
      </c>
      <c r="L1518" t="s">
        <v>2125</v>
      </c>
      <c r="M1518" t="s">
        <v>57</v>
      </c>
      <c r="N1518" t="str">
        <f>"045385"</f>
        <v>045385</v>
      </c>
      <c r="O1518" t="s">
        <v>2121</v>
      </c>
      <c r="P1518" t="s">
        <v>68</v>
      </c>
      <c r="Q1518">
        <v>33.6</v>
      </c>
      <c r="R1518">
        <v>16.099999999999994</v>
      </c>
      <c r="S1518" t="s">
        <v>156</v>
      </c>
    </row>
    <row r="1519" spans="1:19" x14ac:dyDescent="0.35">
      <c r="A1519">
        <v>13458</v>
      </c>
      <c r="B1519" t="str">
        <f>"013458"</f>
        <v>013458</v>
      </c>
      <c r="C1519" t="s">
        <v>5460</v>
      </c>
      <c r="D1519" t="s">
        <v>3400</v>
      </c>
      <c r="E1519" t="s">
        <v>3395</v>
      </c>
      <c r="F1519" t="s">
        <v>3396</v>
      </c>
      <c r="G1519" t="s">
        <v>150</v>
      </c>
      <c r="H1519" t="s">
        <v>5461</v>
      </c>
      <c r="I1519" t="s">
        <v>5462</v>
      </c>
      <c r="J1519" t="s">
        <v>460</v>
      </c>
      <c r="K1519" t="s">
        <v>55</v>
      </c>
      <c r="L1519" t="s">
        <v>461</v>
      </c>
      <c r="M1519" t="s">
        <v>57</v>
      </c>
      <c r="N1519" t="str">
        <f>"049395"</f>
        <v>049395</v>
      </c>
      <c r="O1519" t="s">
        <v>457</v>
      </c>
      <c r="P1519" t="s">
        <v>68</v>
      </c>
      <c r="Q1519">
        <v>26.1</v>
      </c>
      <c r="R1519">
        <v>3.2000000000000028</v>
      </c>
      <c r="S1519" t="s">
        <v>156</v>
      </c>
    </row>
    <row r="1520" spans="1:19" x14ac:dyDescent="0.35">
      <c r="A1520">
        <v>13482</v>
      </c>
      <c r="B1520" t="str">
        <f>"013482"</f>
        <v>013482</v>
      </c>
      <c r="C1520" t="s">
        <v>5463</v>
      </c>
      <c r="D1520" t="s">
        <v>3398</v>
      </c>
      <c r="E1520" t="s">
        <v>3395</v>
      </c>
      <c r="F1520" t="s">
        <v>3396</v>
      </c>
      <c r="G1520" t="s">
        <v>169</v>
      </c>
      <c r="H1520" t="s">
        <v>5464</v>
      </c>
      <c r="I1520" t="s">
        <v>5465</v>
      </c>
      <c r="J1520" t="s">
        <v>2933</v>
      </c>
      <c r="K1520" t="s">
        <v>55</v>
      </c>
      <c r="L1520" t="s">
        <v>2934</v>
      </c>
      <c r="M1520" t="s">
        <v>57</v>
      </c>
      <c r="N1520" t="str">
        <f>"044065"</f>
        <v>044065</v>
      </c>
      <c r="O1520" t="s">
        <v>2930</v>
      </c>
      <c r="P1520" t="s">
        <v>68</v>
      </c>
      <c r="Q1520">
        <v>50.5</v>
      </c>
      <c r="R1520">
        <v>19.799999999999997</v>
      </c>
      <c r="S1520" t="s">
        <v>77</v>
      </c>
    </row>
    <row r="1521" spans="1:19" x14ac:dyDescent="0.35">
      <c r="A1521">
        <v>13508</v>
      </c>
      <c r="B1521" t="str">
        <f>"013508"</f>
        <v>013508</v>
      </c>
      <c r="C1521" t="s">
        <v>5466</v>
      </c>
      <c r="D1521" t="s">
        <v>3394</v>
      </c>
      <c r="E1521" t="s">
        <v>3395</v>
      </c>
      <c r="F1521" t="s">
        <v>3396</v>
      </c>
      <c r="G1521" t="s">
        <v>150</v>
      </c>
      <c r="H1521" t="s">
        <v>5467</v>
      </c>
      <c r="I1521" t="s">
        <v>5468</v>
      </c>
      <c r="J1521" t="s">
        <v>257</v>
      </c>
      <c r="K1521" t="s">
        <v>55</v>
      </c>
      <c r="L1521" t="s">
        <v>3243</v>
      </c>
      <c r="M1521" t="s">
        <v>57</v>
      </c>
      <c r="N1521" t="str">
        <f>"049379"</f>
        <v>049379</v>
      </c>
      <c r="O1521" t="s">
        <v>3240</v>
      </c>
      <c r="P1521" t="s">
        <v>68</v>
      </c>
      <c r="Q1521">
        <v>4.4000000000000004</v>
      </c>
      <c r="R1521">
        <v>2.7000000000000028</v>
      </c>
      <c r="S1521" t="s">
        <v>156</v>
      </c>
    </row>
    <row r="1522" spans="1:19" x14ac:dyDescent="0.35">
      <c r="A1522">
        <v>13532</v>
      </c>
      <c r="B1522" t="str">
        <f>"013532"</f>
        <v>013532</v>
      </c>
      <c r="C1522" t="s">
        <v>5469</v>
      </c>
      <c r="D1522" t="s">
        <v>3398</v>
      </c>
      <c r="E1522" t="s">
        <v>3395</v>
      </c>
      <c r="F1522" t="s">
        <v>3396</v>
      </c>
      <c r="G1522" t="s">
        <v>1041</v>
      </c>
      <c r="H1522" t="s">
        <v>5470</v>
      </c>
      <c r="I1522" t="s">
        <v>5471</v>
      </c>
      <c r="J1522" t="s">
        <v>215</v>
      </c>
      <c r="K1522" t="s">
        <v>55</v>
      </c>
      <c r="L1522" t="s">
        <v>2026</v>
      </c>
      <c r="M1522" t="s">
        <v>57</v>
      </c>
      <c r="N1522" t="str">
        <f>"046359"</f>
        <v>046359</v>
      </c>
      <c r="O1522" t="s">
        <v>1040</v>
      </c>
      <c r="P1522" t="s">
        <v>68</v>
      </c>
      <c r="Q1522">
        <v>29.3</v>
      </c>
      <c r="R1522">
        <v>15.099999999999994</v>
      </c>
      <c r="S1522" t="s">
        <v>217</v>
      </c>
    </row>
    <row r="1523" spans="1:19" x14ac:dyDescent="0.35">
      <c r="A1523">
        <v>13581</v>
      </c>
      <c r="B1523" t="str">
        <f>"013581"</f>
        <v>013581</v>
      </c>
      <c r="C1523" t="s">
        <v>5472</v>
      </c>
      <c r="D1523" t="s">
        <v>3394</v>
      </c>
      <c r="E1523" t="s">
        <v>3395</v>
      </c>
      <c r="F1523" t="s">
        <v>3396</v>
      </c>
      <c r="G1523" t="s">
        <v>212</v>
      </c>
      <c r="H1523" t="s">
        <v>5473</v>
      </c>
      <c r="I1523" t="s">
        <v>5474</v>
      </c>
      <c r="J1523" t="s">
        <v>215</v>
      </c>
      <c r="K1523" t="s">
        <v>55</v>
      </c>
      <c r="L1523" t="s">
        <v>5475</v>
      </c>
      <c r="M1523" t="s">
        <v>57</v>
      </c>
      <c r="N1523" t="str">
        <f>"044677"</f>
        <v>044677</v>
      </c>
      <c r="O1523" t="s">
        <v>2499</v>
      </c>
      <c r="P1523" t="s">
        <v>68</v>
      </c>
      <c r="Q1523">
        <v>77.400000000000006</v>
      </c>
      <c r="R1523">
        <v>87.9</v>
      </c>
      <c r="S1523" t="s">
        <v>217</v>
      </c>
    </row>
    <row r="1524" spans="1:19" x14ac:dyDescent="0.35">
      <c r="A1524">
        <v>13599</v>
      </c>
      <c r="B1524" t="str">
        <f>"013599"</f>
        <v>013599</v>
      </c>
      <c r="C1524" t="s">
        <v>5476</v>
      </c>
      <c r="D1524" t="s">
        <v>3394</v>
      </c>
      <c r="E1524" t="s">
        <v>3395</v>
      </c>
      <c r="F1524" t="s">
        <v>3396</v>
      </c>
      <c r="G1524" t="s">
        <v>200</v>
      </c>
      <c r="H1524" t="s">
        <v>5477</v>
      </c>
      <c r="I1524" t="s">
        <v>5478</v>
      </c>
      <c r="J1524" t="s">
        <v>304</v>
      </c>
      <c r="K1524" t="s">
        <v>55</v>
      </c>
      <c r="L1524" t="s">
        <v>3835</v>
      </c>
      <c r="M1524" t="s">
        <v>57</v>
      </c>
      <c r="N1524" t="str">
        <f>"044909"</f>
        <v>044909</v>
      </c>
      <c r="O1524" t="s">
        <v>3318</v>
      </c>
      <c r="P1524" t="s">
        <v>68</v>
      </c>
      <c r="Q1524">
        <v>99.7</v>
      </c>
      <c r="R1524">
        <v>75.8</v>
      </c>
      <c r="S1524" t="s">
        <v>156</v>
      </c>
    </row>
    <row r="1525" spans="1:19" x14ac:dyDescent="0.35">
      <c r="A1525">
        <v>13607</v>
      </c>
      <c r="B1525" t="str">
        <f>"013607"</f>
        <v>013607</v>
      </c>
      <c r="C1525" t="s">
        <v>5479</v>
      </c>
      <c r="D1525" t="s">
        <v>3394</v>
      </c>
      <c r="E1525" t="s">
        <v>3395</v>
      </c>
      <c r="F1525" t="s">
        <v>3396</v>
      </c>
      <c r="G1525" t="s">
        <v>63</v>
      </c>
      <c r="H1525" t="s">
        <v>5480</v>
      </c>
      <c r="I1525" t="s">
        <v>5481</v>
      </c>
      <c r="J1525" t="s">
        <v>2080</v>
      </c>
      <c r="K1525" t="s">
        <v>55</v>
      </c>
      <c r="L1525" t="s">
        <v>2081</v>
      </c>
      <c r="M1525" t="s">
        <v>57</v>
      </c>
      <c r="N1525" t="str">
        <f>"043562"</f>
        <v>043562</v>
      </c>
      <c r="O1525" t="s">
        <v>2077</v>
      </c>
      <c r="P1525" t="s">
        <v>68</v>
      </c>
      <c r="Q1525">
        <v>70.900000000000006</v>
      </c>
      <c r="R1525">
        <v>89.5</v>
      </c>
      <c r="S1525" t="s">
        <v>69</v>
      </c>
    </row>
    <row r="1526" spans="1:19" x14ac:dyDescent="0.35">
      <c r="A1526">
        <v>13615</v>
      </c>
      <c r="B1526" t="str">
        <f>"013615"</f>
        <v>013615</v>
      </c>
      <c r="C1526" t="s">
        <v>5482</v>
      </c>
      <c r="D1526" t="s">
        <v>3394</v>
      </c>
      <c r="E1526" t="s">
        <v>3395</v>
      </c>
      <c r="F1526" t="s">
        <v>3396</v>
      </c>
      <c r="G1526" t="s">
        <v>1551</v>
      </c>
      <c r="H1526" t="s">
        <v>5483</v>
      </c>
      <c r="I1526" t="s">
        <v>5484</v>
      </c>
      <c r="J1526" t="s">
        <v>5485</v>
      </c>
      <c r="K1526" t="s">
        <v>55</v>
      </c>
      <c r="L1526" t="s">
        <v>5486</v>
      </c>
      <c r="M1526" t="s">
        <v>57</v>
      </c>
      <c r="N1526" t="str">
        <f>"049056"</f>
        <v>049056</v>
      </c>
      <c r="O1526" t="s">
        <v>1590</v>
      </c>
      <c r="P1526" t="s">
        <v>68</v>
      </c>
      <c r="Q1526">
        <v>32.4</v>
      </c>
      <c r="R1526">
        <v>3.5999999999999943</v>
      </c>
      <c r="S1526" t="s">
        <v>130</v>
      </c>
    </row>
    <row r="1527" spans="1:19" x14ac:dyDescent="0.35">
      <c r="A1527">
        <v>13656</v>
      </c>
      <c r="B1527" t="str">
        <f>"013656"</f>
        <v>013656</v>
      </c>
      <c r="C1527" t="s">
        <v>5487</v>
      </c>
      <c r="D1527" t="s">
        <v>3398</v>
      </c>
      <c r="E1527" t="s">
        <v>3395</v>
      </c>
      <c r="F1527" t="s">
        <v>3396</v>
      </c>
      <c r="G1527" t="s">
        <v>674</v>
      </c>
      <c r="H1527" t="s">
        <v>5488</v>
      </c>
      <c r="I1527" t="s">
        <v>5489</v>
      </c>
      <c r="J1527" t="s">
        <v>677</v>
      </c>
      <c r="K1527" t="s">
        <v>55</v>
      </c>
      <c r="L1527" t="s">
        <v>678</v>
      </c>
      <c r="M1527" t="s">
        <v>57</v>
      </c>
      <c r="N1527" t="str">
        <f>"048835"</f>
        <v>048835</v>
      </c>
      <c r="O1527" t="s">
        <v>673</v>
      </c>
      <c r="P1527" t="s">
        <v>68</v>
      </c>
      <c r="Q1527">
        <v>24.4</v>
      </c>
      <c r="R1527">
        <v>7.5999999999999943</v>
      </c>
      <c r="S1527" t="s">
        <v>130</v>
      </c>
    </row>
    <row r="1528" spans="1:19" x14ac:dyDescent="0.35">
      <c r="A1528">
        <v>13680</v>
      </c>
      <c r="B1528" t="str">
        <f>"013680"</f>
        <v>013680</v>
      </c>
      <c r="C1528" t="s">
        <v>5490</v>
      </c>
      <c r="D1528" t="s">
        <v>3398</v>
      </c>
      <c r="E1528" t="s">
        <v>3395</v>
      </c>
      <c r="F1528" t="s">
        <v>3396</v>
      </c>
      <c r="G1528" t="s">
        <v>63</v>
      </c>
      <c r="H1528" t="s">
        <v>5491</v>
      </c>
      <c r="I1528" t="s">
        <v>5492</v>
      </c>
      <c r="J1528" t="s">
        <v>285</v>
      </c>
      <c r="K1528" t="s">
        <v>55</v>
      </c>
      <c r="L1528" t="s">
        <v>5493</v>
      </c>
      <c r="M1528" t="s">
        <v>57</v>
      </c>
      <c r="N1528" t="str">
        <f>"043786"</f>
        <v>043786</v>
      </c>
      <c r="O1528" t="s">
        <v>1340</v>
      </c>
      <c r="P1528" t="s">
        <v>68</v>
      </c>
      <c r="Q1528">
        <v>100</v>
      </c>
      <c r="R1528">
        <v>100</v>
      </c>
      <c r="S1528" t="s">
        <v>69</v>
      </c>
    </row>
    <row r="1529" spans="1:19" x14ac:dyDescent="0.35">
      <c r="A1529">
        <v>13706</v>
      </c>
      <c r="B1529" t="str">
        <f>"013706"</f>
        <v>013706</v>
      </c>
      <c r="C1529" t="s">
        <v>5494</v>
      </c>
      <c r="D1529" t="s">
        <v>3394</v>
      </c>
      <c r="E1529" t="s">
        <v>3395</v>
      </c>
      <c r="F1529" t="s">
        <v>3396</v>
      </c>
      <c r="G1529" t="s">
        <v>200</v>
      </c>
      <c r="H1529" t="s">
        <v>5495</v>
      </c>
      <c r="I1529" t="s">
        <v>5496</v>
      </c>
      <c r="J1529" t="s">
        <v>304</v>
      </c>
      <c r="K1529" t="s">
        <v>55</v>
      </c>
      <c r="L1529" t="s">
        <v>5497</v>
      </c>
      <c r="M1529" t="s">
        <v>57</v>
      </c>
      <c r="N1529" t="str">
        <f>"044909"</f>
        <v>044909</v>
      </c>
      <c r="O1529" t="s">
        <v>3318</v>
      </c>
      <c r="P1529" t="s">
        <v>68</v>
      </c>
      <c r="Q1529">
        <v>90.2</v>
      </c>
      <c r="R1529">
        <v>87.1</v>
      </c>
      <c r="S1529" t="s">
        <v>156</v>
      </c>
    </row>
    <row r="1530" spans="1:19" x14ac:dyDescent="0.35">
      <c r="A1530">
        <v>13730</v>
      </c>
      <c r="B1530" t="str">
        <f>"013730"</f>
        <v>013730</v>
      </c>
      <c r="C1530" t="s">
        <v>5498</v>
      </c>
      <c r="D1530" t="s">
        <v>3398</v>
      </c>
      <c r="E1530" t="s">
        <v>3395</v>
      </c>
      <c r="F1530" t="s">
        <v>3396</v>
      </c>
      <c r="G1530" t="s">
        <v>219</v>
      </c>
      <c r="H1530" t="s">
        <v>947</v>
      </c>
      <c r="I1530" t="s">
        <v>948</v>
      </c>
      <c r="J1530" t="s">
        <v>949</v>
      </c>
      <c r="K1530" t="s">
        <v>55</v>
      </c>
      <c r="L1530" t="s">
        <v>223</v>
      </c>
      <c r="M1530" t="s">
        <v>57</v>
      </c>
      <c r="N1530" t="str">
        <f>"044461"</f>
        <v>044461</v>
      </c>
      <c r="O1530" t="s">
        <v>946</v>
      </c>
      <c r="P1530" t="s">
        <v>68</v>
      </c>
      <c r="Q1530">
        <v>100</v>
      </c>
      <c r="R1530">
        <v>17.299999999999997</v>
      </c>
      <c r="S1530" t="s">
        <v>130</v>
      </c>
    </row>
    <row r="1531" spans="1:19" x14ac:dyDescent="0.35">
      <c r="A1531">
        <v>13755</v>
      </c>
      <c r="B1531" t="str">
        <f>"013755"</f>
        <v>013755</v>
      </c>
      <c r="C1531" t="s">
        <v>5499</v>
      </c>
      <c r="D1531" t="s">
        <v>3398</v>
      </c>
      <c r="E1531" t="s">
        <v>3395</v>
      </c>
      <c r="F1531" t="s">
        <v>3396</v>
      </c>
      <c r="G1531" t="s">
        <v>493</v>
      </c>
      <c r="H1531" t="s">
        <v>499</v>
      </c>
      <c r="I1531" t="s">
        <v>500</v>
      </c>
      <c r="J1531" t="s">
        <v>501</v>
      </c>
      <c r="K1531" t="s">
        <v>55</v>
      </c>
      <c r="L1531" t="s">
        <v>502</v>
      </c>
      <c r="M1531" t="s">
        <v>57</v>
      </c>
      <c r="N1531" t="str">
        <f>"045922"</f>
        <v>045922</v>
      </c>
      <c r="O1531" t="s">
        <v>498</v>
      </c>
      <c r="P1531" t="s">
        <v>68</v>
      </c>
      <c r="Q1531">
        <v>100</v>
      </c>
      <c r="R1531">
        <v>3.7000000000000028</v>
      </c>
      <c r="S1531" t="s">
        <v>130</v>
      </c>
    </row>
    <row r="1532" spans="1:19" x14ac:dyDescent="0.35">
      <c r="A1532">
        <v>13771</v>
      </c>
      <c r="B1532" t="str">
        <f>"013771"</f>
        <v>013771</v>
      </c>
      <c r="C1532" t="s">
        <v>5500</v>
      </c>
      <c r="D1532" t="s">
        <v>3394</v>
      </c>
      <c r="E1532" t="s">
        <v>3395</v>
      </c>
      <c r="F1532" t="s">
        <v>3396</v>
      </c>
      <c r="G1532" t="s">
        <v>264</v>
      </c>
      <c r="H1532" t="s">
        <v>5501</v>
      </c>
      <c r="I1532" t="s">
        <v>5502</v>
      </c>
      <c r="J1532" t="s">
        <v>267</v>
      </c>
      <c r="K1532" t="s">
        <v>55</v>
      </c>
      <c r="L1532" t="s">
        <v>5503</v>
      </c>
      <c r="M1532" t="s">
        <v>57</v>
      </c>
      <c r="N1532" t="str">
        <f>"043489"</f>
        <v>043489</v>
      </c>
      <c r="O1532" t="s">
        <v>3176</v>
      </c>
      <c r="P1532" t="s">
        <v>68</v>
      </c>
      <c r="Q1532">
        <v>100</v>
      </c>
      <c r="R1532">
        <v>82.5</v>
      </c>
      <c r="S1532" t="s">
        <v>77</v>
      </c>
    </row>
    <row r="1533" spans="1:19" x14ac:dyDescent="0.35">
      <c r="A1533">
        <v>13797</v>
      </c>
      <c r="B1533" t="str">
        <f>"013797"</f>
        <v>013797</v>
      </c>
      <c r="C1533" t="s">
        <v>5504</v>
      </c>
      <c r="D1533" t="s">
        <v>3394</v>
      </c>
      <c r="E1533" t="s">
        <v>3395</v>
      </c>
      <c r="F1533" t="s">
        <v>3396</v>
      </c>
      <c r="G1533" t="s">
        <v>63</v>
      </c>
      <c r="H1533" t="s">
        <v>5505</v>
      </c>
      <c r="I1533" t="s">
        <v>5506</v>
      </c>
      <c r="J1533" t="s">
        <v>871</v>
      </c>
      <c r="K1533" t="s">
        <v>55</v>
      </c>
      <c r="L1533" t="s">
        <v>872</v>
      </c>
      <c r="M1533" t="s">
        <v>57</v>
      </c>
      <c r="N1533" t="str">
        <f>"044701"</f>
        <v>044701</v>
      </c>
      <c r="O1533" t="s">
        <v>1883</v>
      </c>
      <c r="P1533" t="s">
        <v>68</v>
      </c>
      <c r="Q1533">
        <v>9</v>
      </c>
      <c r="R1533">
        <v>10.799999999999997</v>
      </c>
      <c r="S1533" t="s">
        <v>69</v>
      </c>
    </row>
    <row r="1534" spans="1:19" x14ac:dyDescent="0.35">
      <c r="A1534">
        <v>13839</v>
      </c>
      <c r="B1534" t="str">
        <f>"013839"</f>
        <v>013839</v>
      </c>
      <c r="C1534" t="s">
        <v>5507</v>
      </c>
      <c r="D1534" t="s">
        <v>3394</v>
      </c>
      <c r="E1534" t="s">
        <v>3395</v>
      </c>
      <c r="F1534" t="s">
        <v>3396</v>
      </c>
      <c r="G1534" t="s">
        <v>264</v>
      </c>
      <c r="H1534" t="s">
        <v>5508</v>
      </c>
      <c r="I1534" t="s">
        <v>5509</v>
      </c>
      <c r="J1534" t="s">
        <v>2497</v>
      </c>
      <c r="K1534" t="s">
        <v>55</v>
      </c>
      <c r="L1534" t="s">
        <v>2498</v>
      </c>
      <c r="M1534" t="s">
        <v>57</v>
      </c>
      <c r="N1534" t="str">
        <f>"043836"</f>
        <v>043836</v>
      </c>
      <c r="O1534" t="s">
        <v>2494</v>
      </c>
      <c r="P1534" t="s">
        <v>68</v>
      </c>
      <c r="Q1534">
        <v>52.5</v>
      </c>
      <c r="R1534">
        <v>28.400000000000006</v>
      </c>
      <c r="S1534" t="s">
        <v>77</v>
      </c>
    </row>
    <row r="1535" spans="1:19" x14ac:dyDescent="0.35">
      <c r="A1535">
        <v>13847</v>
      </c>
      <c r="B1535" t="str">
        <f>"013847"</f>
        <v>013847</v>
      </c>
      <c r="C1535" t="s">
        <v>5510</v>
      </c>
      <c r="D1535" t="s">
        <v>3394</v>
      </c>
      <c r="E1535" t="s">
        <v>3395</v>
      </c>
      <c r="F1535" t="s">
        <v>3396</v>
      </c>
      <c r="G1535" t="s">
        <v>63</v>
      </c>
      <c r="H1535" t="s">
        <v>5511</v>
      </c>
      <c r="I1535" t="s">
        <v>5512</v>
      </c>
      <c r="J1535" t="s">
        <v>285</v>
      </c>
      <c r="K1535" t="s">
        <v>55</v>
      </c>
      <c r="L1535" t="s">
        <v>3458</v>
      </c>
      <c r="M1535" t="s">
        <v>57</v>
      </c>
      <c r="N1535" t="str">
        <f>"043786"</f>
        <v>043786</v>
      </c>
      <c r="O1535" t="s">
        <v>1340</v>
      </c>
      <c r="P1535" t="s">
        <v>68</v>
      </c>
      <c r="Q1535">
        <v>100</v>
      </c>
      <c r="R1535">
        <v>77</v>
      </c>
      <c r="S1535" t="s">
        <v>69</v>
      </c>
    </row>
    <row r="1536" spans="1:19" x14ac:dyDescent="0.35">
      <c r="A1536">
        <v>13862</v>
      </c>
      <c r="B1536" t="str">
        <f>"013862"</f>
        <v>013862</v>
      </c>
      <c r="C1536" t="s">
        <v>5513</v>
      </c>
      <c r="D1536" t="s">
        <v>3394</v>
      </c>
      <c r="E1536" t="s">
        <v>3395</v>
      </c>
      <c r="F1536" t="s">
        <v>3396</v>
      </c>
      <c r="G1536" t="s">
        <v>344</v>
      </c>
      <c r="H1536" t="s">
        <v>3011</v>
      </c>
      <c r="I1536" t="s">
        <v>3012</v>
      </c>
      <c r="J1536" t="s">
        <v>2298</v>
      </c>
      <c r="K1536" t="s">
        <v>55</v>
      </c>
      <c r="L1536" t="s">
        <v>3013</v>
      </c>
      <c r="M1536" t="s">
        <v>57</v>
      </c>
      <c r="N1536" t="str">
        <f>"047068"</f>
        <v>047068</v>
      </c>
      <c r="O1536" t="s">
        <v>3010</v>
      </c>
      <c r="P1536" t="s">
        <v>68</v>
      </c>
      <c r="Q1536">
        <v>40</v>
      </c>
      <c r="R1536">
        <v>14.200000000000003</v>
      </c>
      <c r="S1536" t="s">
        <v>156</v>
      </c>
    </row>
    <row r="1537" spans="1:19" x14ac:dyDescent="0.35">
      <c r="A1537">
        <v>13870</v>
      </c>
      <c r="B1537" t="str">
        <f>"013870"</f>
        <v>013870</v>
      </c>
      <c r="C1537" t="s">
        <v>5514</v>
      </c>
      <c r="D1537" t="s">
        <v>3398</v>
      </c>
      <c r="E1537" t="s">
        <v>3395</v>
      </c>
      <c r="F1537" t="s">
        <v>3396</v>
      </c>
      <c r="G1537" t="s">
        <v>344</v>
      </c>
      <c r="H1537" t="s">
        <v>3011</v>
      </c>
      <c r="I1537" t="s">
        <v>3012</v>
      </c>
      <c r="J1537" t="s">
        <v>2298</v>
      </c>
      <c r="K1537" t="s">
        <v>55</v>
      </c>
      <c r="L1537" t="s">
        <v>3013</v>
      </c>
      <c r="M1537" t="s">
        <v>57</v>
      </c>
      <c r="N1537" t="str">
        <f>"047068"</f>
        <v>047068</v>
      </c>
      <c r="O1537" t="s">
        <v>3010</v>
      </c>
      <c r="P1537" t="s">
        <v>68</v>
      </c>
      <c r="Q1537">
        <v>40.4</v>
      </c>
      <c r="R1537">
        <v>17</v>
      </c>
      <c r="S1537" t="s">
        <v>156</v>
      </c>
    </row>
    <row r="1538" spans="1:19" x14ac:dyDescent="0.35">
      <c r="A1538">
        <v>13896</v>
      </c>
      <c r="B1538" t="str">
        <f>"013896"</f>
        <v>013896</v>
      </c>
      <c r="C1538" t="s">
        <v>5515</v>
      </c>
      <c r="D1538" t="s">
        <v>3394</v>
      </c>
      <c r="E1538" t="s">
        <v>3395</v>
      </c>
      <c r="F1538" t="s">
        <v>3396</v>
      </c>
      <c r="G1538" t="s">
        <v>117</v>
      </c>
      <c r="H1538" t="s">
        <v>5516</v>
      </c>
      <c r="I1538" t="s">
        <v>5517</v>
      </c>
      <c r="J1538" t="s">
        <v>977</v>
      </c>
      <c r="K1538" t="s">
        <v>55</v>
      </c>
      <c r="L1538" t="s">
        <v>1779</v>
      </c>
      <c r="M1538" t="s">
        <v>57</v>
      </c>
      <c r="N1538" t="str">
        <f>"044354"</f>
        <v>044354</v>
      </c>
      <c r="O1538" t="s">
        <v>974</v>
      </c>
      <c r="P1538" t="s">
        <v>68</v>
      </c>
      <c r="Q1538">
        <v>100</v>
      </c>
      <c r="R1538">
        <v>26.599999999999994</v>
      </c>
      <c r="S1538" t="s">
        <v>77</v>
      </c>
    </row>
    <row r="1539" spans="1:19" x14ac:dyDescent="0.35">
      <c r="A1539">
        <v>13912</v>
      </c>
      <c r="B1539" t="str">
        <f>"013912"</f>
        <v>013912</v>
      </c>
      <c r="C1539" t="s">
        <v>5518</v>
      </c>
      <c r="D1539" t="s">
        <v>3394</v>
      </c>
      <c r="E1539" t="s">
        <v>3395</v>
      </c>
      <c r="F1539" t="s">
        <v>3396</v>
      </c>
      <c r="G1539" t="s">
        <v>1041</v>
      </c>
      <c r="H1539" t="s">
        <v>5519</v>
      </c>
      <c r="I1539" t="s">
        <v>5520</v>
      </c>
      <c r="J1539" t="s">
        <v>2638</v>
      </c>
      <c r="K1539" t="s">
        <v>55</v>
      </c>
      <c r="L1539" t="s">
        <v>2639</v>
      </c>
      <c r="M1539" t="s">
        <v>57</v>
      </c>
      <c r="N1539" t="str">
        <f>"046342"</f>
        <v>046342</v>
      </c>
      <c r="O1539" t="s">
        <v>2635</v>
      </c>
      <c r="P1539" t="s">
        <v>68</v>
      </c>
      <c r="Q1539">
        <v>39.799999999999997</v>
      </c>
      <c r="R1539">
        <v>12.5</v>
      </c>
      <c r="S1539" t="s">
        <v>217</v>
      </c>
    </row>
    <row r="1540" spans="1:19" x14ac:dyDescent="0.35">
      <c r="A1540">
        <v>13920</v>
      </c>
      <c r="B1540" t="str">
        <f>"013920"</f>
        <v>013920</v>
      </c>
      <c r="C1540" t="s">
        <v>5521</v>
      </c>
      <c r="D1540" t="s">
        <v>3398</v>
      </c>
      <c r="E1540" t="s">
        <v>3395</v>
      </c>
      <c r="F1540" t="s">
        <v>3396</v>
      </c>
      <c r="G1540" t="s">
        <v>1041</v>
      </c>
      <c r="H1540" t="s">
        <v>5522</v>
      </c>
      <c r="I1540" t="s">
        <v>5523</v>
      </c>
      <c r="J1540" t="s">
        <v>2638</v>
      </c>
      <c r="K1540" t="s">
        <v>55</v>
      </c>
      <c r="L1540" t="s">
        <v>2639</v>
      </c>
      <c r="M1540" t="s">
        <v>57</v>
      </c>
      <c r="N1540" t="str">
        <f>"046342"</f>
        <v>046342</v>
      </c>
      <c r="O1540" t="s">
        <v>2635</v>
      </c>
      <c r="P1540" t="s">
        <v>68</v>
      </c>
      <c r="Q1540">
        <v>41.2</v>
      </c>
      <c r="R1540">
        <v>11.099999999999994</v>
      </c>
      <c r="S1540" t="s">
        <v>217</v>
      </c>
    </row>
    <row r="1541" spans="1:19" x14ac:dyDescent="0.35">
      <c r="A1541">
        <v>13938</v>
      </c>
      <c r="B1541" t="str">
        <f>"013938"</f>
        <v>013938</v>
      </c>
      <c r="C1541" t="s">
        <v>5524</v>
      </c>
      <c r="D1541" t="s">
        <v>3394</v>
      </c>
      <c r="E1541" t="s">
        <v>3395</v>
      </c>
      <c r="F1541" t="s">
        <v>3396</v>
      </c>
      <c r="G1541" t="s">
        <v>600</v>
      </c>
      <c r="H1541" t="s">
        <v>5525</v>
      </c>
      <c r="I1541" t="s">
        <v>5526</v>
      </c>
      <c r="J1541" t="s">
        <v>2536</v>
      </c>
      <c r="K1541" t="s">
        <v>55</v>
      </c>
      <c r="L1541" t="s">
        <v>2537</v>
      </c>
      <c r="M1541" t="s">
        <v>57</v>
      </c>
      <c r="N1541" t="str">
        <f>"046961"</f>
        <v>046961</v>
      </c>
      <c r="O1541" t="s">
        <v>2533</v>
      </c>
      <c r="P1541" t="s">
        <v>68</v>
      </c>
      <c r="Q1541">
        <v>44.9</v>
      </c>
      <c r="R1541">
        <v>63.5</v>
      </c>
      <c r="S1541" t="s">
        <v>60</v>
      </c>
    </row>
    <row r="1542" spans="1:19" x14ac:dyDescent="0.35">
      <c r="A1542">
        <v>13946</v>
      </c>
      <c r="B1542" t="str">
        <f>"013946"</f>
        <v>013946</v>
      </c>
      <c r="C1542" t="s">
        <v>5527</v>
      </c>
      <c r="D1542" t="s">
        <v>3400</v>
      </c>
      <c r="E1542" t="s">
        <v>3395</v>
      </c>
      <c r="F1542" t="s">
        <v>3396</v>
      </c>
      <c r="G1542" t="s">
        <v>1041</v>
      </c>
      <c r="H1542" t="s">
        <v>5528</v>
      </c>
      <c r="I1542" t="s">
        <v>5529</v>
      </c>
      <c r="J1542" t="s">
        <v>2638</v>
      </c>
      <c r="K1542" t="s">
        <v>55</v>
      </c>
      <c r="L1542" t="s">
        <v>2639</v>
      </c>
      <c r="M1542" t="s">
        <v>57</v>
      </c>
      <c r="N1542" t="str">
        <f>"046342"</f>
        <v>046342</v>
      </c>
      <c r="O1542" t="s">
        <v>2635</v>
      </c>
      <c r="P1542" t="s">
        <v>68</v>
      </c>
      <c r="Q1542">
        <v>44.9</v>
      </c>
      <c r="R1542">
        <v>11.799999999999997</v>
      </c>
      <c r="S1542" t="s">
        <v>217</v>
      </c>
    </row>
    <row r="1543" spans="1:19" x14ac:dyDescent="0.35">
      <c r="A1543">
        <v>13995</v>
      </c>
      <c r="B1543" t="str">
        <f>"013995"</f>
        <v>013995</v>
      </c>
      <c r="C1543" t="s">
        <v>5530</v>
      </c>
      <c r="D1543" t="s">
        <v>3400</v>
      </c>
      <c r="E1543" t="s">
        <v>3395</v>
      </c>
      <c r="F1543" t="s">
        <v>3396</v>
      </c>
      <c r="G1543" t="s">
        <v>543</v>
      </c>
      <c r="H1543" t="s">
        <v>5531</v>
      </c>
      <c r="I1543" t="s">
        <v>5532</v>
      </c>
      <c r="J1543" t="s">
        <v>687</v>
      </c>
      <c r="K1543" t="s">
        <v>55</v>
      </c>
      <c r="L1543" t="s">
        <v>2578</v>
      </c>
      <c r="M1543" t="s">
        <v>57</v>
      </c>
      <c r="N1543" t="str">
        <f>"048736"</f>
        <v>048736</v>
      </c>
      <c r="O1543" t="s">
        <v>109</v>
      </c>
      <c r="P1543" t="s">
        <v>68</v>
      </c>
      <c r="Q1543">
        <v>100</v>
      </c>
      <c r="R1543">
        <v>43.5</v>
      </c>
      <c r="S1543" t="s">
        <v>180</v>
      </c>
    </row>
    <row r="1544" spans="1:19" x14ac:dyDescent="0.35">
      <c r="A1544">
        <v>14001</v>
      </c>
      <c r="B1544" t="str">
        <f>"014001"</f>
        <v>014001</v>
      </c>
      <c r="C1544" t="s">
        <v>5533</v>
      </c>
      <c r="D1544" t="s">
        <v>3394</v>
      </c>
      <c r="E1544" t="s">
        <v>3395</v>
      </c>
      <c r="F1544" t="s">
        <v>3396</v>
      </c>
      <c r="G1544" t="s">
        <v>406</v>
      </c>
      <c r="H1544" t="s">
        <v>5534</v>
      </c>
      <c r="I1544" t="s">
        <v>5535</v>
      </c>
      <c r="J1544" t="s">
        <v>909</v>
      </c>
      <c r="K1544" t="s">
        <v>55</v>
      </c>
      <c r="L1544" t="s">
        <v>910</v>
      </c>
      <c r="M1544" t="s">
        <v>57</v>
      </c>
      <c r="N1544" t="str">
        <f>"043661"</f>
        <v>043661</v>
      </c>
      <c r="O1544" t="s">
        <v>906</v>
      </c>
      <c r="P1544" t="s">
        <v>68</v>
      </c>
      <c r="Q1544">
        <v>29</v>
      </c>
      <c r="R1544">
        <v>14.200000000000003</v>
      </c>
      <c r="S1544" t="s">
        <v>77</v>
      </c>
    </row>
    <row r="1545" spans="1:19" x14ac:dyDescent="0.35">
      <c r="A1545">
        <v>14027</v>
      </c>
      <c r="B1545" t="str">
        <f>"014027"</f>
        <v>014027</v>
      </c>
      <c r="C1545" t="s">
        <v>5536</v>
      </c>
      <c r="D1545" t="s">
        <v>3398</v>
      </c>
      <c r="E1545" t="s">
        <v>3395</v>
      </c>
      <c r="F1545" t="s">
        <v>3396</v>
      </c>
      <c r="G1545" t="s">
        <v>206</v>
      </c>
      <c r="H1545" t="s">
        <v>5537</v>
      </c>
      <c r="I1545" t="s">
        <v>5538</v>
      </c>
      <c r="J1545" t="s">
        <v>709</v>
      </c>
      <c r="K1545" t="s">
        <v>55</v>
      </c>
      <c r="L1545" t="s">
        <v>710</v>
      </c>
      <c r="M1545" t="s">
        <v>57</v>
      </c>
      <c r="N1545" t="str">
        <f>"046193"</f>
        <v>046193</v>
      </c>
      <c r="O1545" t="s">
        <v>706</v>
      </c>
      <c r="P1545" t="s">
        <v>68</v>
      </c>
      <c r="Q1545">
        <v>30.8</v>
      </c>
      <c r="R1545">
        <v>7.5</v>
      </c>
      <c r="S1545" t="s">
        <v>180</v>
      </c>
    </row>
    <row r="1546" spans="1:19" x14ac:dyDescent="0.35">
      <c r="A1546">
        <v>14035</v>
      </c>
      <c r="B1546" t="str">
        <f>"014035"</f>
        <v>014035</v>
      </c>
      <c r="C1546" t="s">
        <v>5539</v>
      </c>
      <c r="D1546" t="s">
        <v>3394</v>
      </c>
      <c r="E1546" t="s">
        <v>3395</v>
      </c>
      <c r="F1546" t="s">
        <v>3396</v>
      </c>
      <c r="G1546" t="s">
        <v>206</v>
      </c>
      <c r="H1546" t="s">
        <v>5540</v>
      </c>
      <c r="I1546" t="s">
        <v>5541</v>
      </c>
      <c r="J1546" t="s">
        <v>709</v>
      </c>
      <c r="K1546" t="s">
        <v>55</v>
      </c>
      <c r="L1546" t="s">
        <v>710</v>
      </c>
      <c r="M1546" t="s">
        <v>57</v>
      </c>
      <c r="N1546" t="str">
        <f>"046193"</f>
        <v>046193</v>
      </c>
      <c r="O1546" t="s">
        <v>706</v>
      </c>
      <c r="P1546" t="s">
        <v>68</v>
      </c>
      <c r="Q1546">
        <v>37</v>
      </c>
      <c r="R1546">
        <v>8.0999999999999943</v>
      </c>
      <c r="S1546" t="s">
        <v>180</v>
      </c>
    </row>
    <row r="1547" spans="1:19" x14ac:dyDescent="0.35">
      <c r="A1547">
        <v>14035</v>
      </c>
      <c r="B1547" t="str">
        <f>"014035"</f>
        <v>014035</v>
      </c>
      <c r="C1547" t="s">
        <v>5539</v>
      </c>
      <c r="D1547" t="s">
        <v>3929</v>
      </c>
      <c r="E1547" t="s">
        <v>3395</v>
      </c>
      <c r="F1547" t="s">
        <v>3396</v>
      </c>
      <c r="G1547" t="s">
        <v>206</v>
      </c>
      <c r="H1547" t="s">
        <v>5540</v>
      </c>
      <c r="I1547" t="s">
        <v>5541</v>
      </c>
      <c r="J1547" t="s">
        <v>709</v>
      </c>
      <c r="K1547" t="s">
        <v>55</v>
      </c>
      <c r="L1547" t="s">
        <v>710</v>
      </c>
      <c r="M1547" t="s">
        <v>57</v>
      </c>
      <c r="N1547" t="str">
        <f>"046193"</f>
        <v>046193</v>
      </c>
      <c r="O1547" t="s">
        <v>706</v>
      </c>
      <c r="P1547" t="s">
        <v>68</v>
      </c>
      <c r="Q1547">
        <v>37</v>
      </c>
      <c r="R1547">
        <v>8.0999999999999943</v>
      </c>
      <c r="S1547" t="s">
        <v>180</v>
      </c>
    </row>
    <row r="1548" spans="1:19" x14ac:dyDescent="0.35">
      <c r="A1548">
        <v>14076</v>
      </c>
      <c r="B1548" t="str">
        <f>"014076"</f>
        <v>014076</v>
      </c>
      <c r="C1548" t="s">
        <v>5542</v>
      </c>
      <c r="D1548" t="s">
        <v>3394</v>
      </c>
      <c r="E1548" t="s">
        <v>3395</v>
      </c>
      <c r="F1548" t="s">
        <v>3396</v>
      </c>
      <c r="G1548" t="s">
        <v>226</v>
      </c>
      <c r="H1548" t="s">
        <v>5543</v>
      </c>
      <c r="I1548" t="s">
        <v>5544</v>
      </c>
      <c r="J1548" t="s">
        <v>5545</v>
      </c>
      <c r="K1548" t="s">
        <v>55</v>
      </c>
      <c r="L1548" t="s">
        <v>5546</v>
      </c>
      <c r="M1548" t="s">
        <v>57</v>
      </c>
      <c r="N1548" t="str">
        <f>"050724"</f>
        <v>050724</v>
      </c>
      <c r="O1548" t="s">
        <v>807</v>
      </c>
      <c r="P1548" t="s">
        <v>68</v>
      </c>
      <c r="Q1548">
        <v>27.2</v>
      </c>
      <c r="R1548">
        <v>9.0999999999999943</v>
      </c>
      <c r="S1548" t="s">
        <v>156</v>
      </c>
    </row>
    <row r="1549" spans="1:19" x14ac:dyDescent="0.35">
      <c r="A1549">
        <v>14084</v>
      </c>
      <c r="B1549" t="str">
        <f>"014084"</f>
        <v>014084</v>
      </c>
      <c r="C1549" t="s">
        <v>5547</v>
      </c>
      <c r="D1549" t="s">
        <v>3400</v>
      </c>
      <c r="E1549" t="s">
        <v>3395</v>
      </c>
      <c r="F1549" t="s">
        <v>3396</v>
      </c>
      <c r="G1549" t="s">
        <v>132</v>
      </c>
      <c r="H1549" t="s">
        <v>3251</v>
      </c>
      <c r="I1549" t="s">
        <v>3252</v>
      </c>
      <c r="J1549" t="s">
        <v>3253</v>
      </c>
      <c r="K1549" t="s">
        <v>55</v>
      </c>
      <c r="L1549" t="s">
        <v>3254</v>
      </c>
      <c r="M1549" t="s">
        <v>57</v>
      </c>
      <c r="N1549" t="str">
        <f>"045864"</f>
        <v>045864</v>
      </c>
      <c r="O1549" t="s">
        <v>3250</v>
      </c>
      <c r="P1549" t="s">
        <v>68</v>
      </c>
      <c r="Q1549">
        <v>46.2</v>
      </c>
      <c r="R1549">
        <v>5.9000000000000057</v>
      </c>
      <c r="S1549" t="s">
        <v>69</v>
      </c>
    </row>
    <row r="1550" spans="1:19" x14ac:dyDescent="0.35">
      <c r="A1550">
        <v>14092</v>
      </c>
      <c r="B1550" t="str">
        <f>"014092"</f>
        <v>014092</v>
      </c>
      <c r="C1550" t="s">
        <v>5548</v>
      </c>
      <c r="D1550" t="s">
        <v>3398</v>
      </c>
      <c r="E1550" t="s">
        <v>3395</v>
      </c>
      <c r="F1550" t="s">
        <v>3396</v>
      </c>
      <c r="G1550" t="s">
        <v>132</v>
      </c>
      <c r="H1550" t="s">
        <v>3251</v>
      </c>
      <c r="I1550" t="s">
        <v>3252</v>
      </c>
      <c r="J1550" t="s">
        <v>3253</v>
      </c>
      <c r="K1550" t="s">
        <v>55</v>
      </c>
      <c r="L1550" t="s">
        <v>3254</v>
      </c>
      <c r="M1550" t="s">
        <v>57</v>
      </c>
      <c r="N1550" t="str">
        <f>"045864"</f>
        <v>045864</v>
      </c>
      <c r="O1550" t="s">
        <v>3250</v>
      </c>
      <c r="P1550" t="s">
        <v>68</v>
      </c>
      <c r="Q1550">
        <v>39.1</v>
      </c>
      <c r="R1550">
        <v>7.0999999999999943</v>
      </c>
      <c r="S1550" t="s">
        <v>69</v>
      </c>
    </row>
    <row r="1551" spans="1:19" x14ac:dyDescent="0.35">
      <c r="A1551">
        <v>14100</v>
      </c>
      <c r="B1551" t="str">
        <f>"014100"</f>
        <v>014100</v>
      </c>
      <c r="C1551" t="s">
        <v>5549</v>
      </c>
      <c r="D1551" t="s">
        <v>3398</v>
      </c>
      <c r="E1551" t="s">
        <v>3395</v>
      </c>
      <c r="F1551" t="s">
        <v>3396</v>
      </c>
      <c r="G1551" t="s">
        <v>600</v>
      </c>
      <c r="H1551" t="s">
        <v>1781</v>
      </c>
      <c r="I1551" t="s">
        <v>1782</v>
      </c>
      <c r="J1551" t="s">
        <v>1348</v>
      </c>
      <c r="K1551" t="s">
        <v>55</v>
      </c>
      <c r="L1551" t="s">
        <v>1783</v>
      </c>
      <c r="M1551" t="s">
        <v>57</v>
      </c>
      <c r="N1551" t="str">
        <f>"044073"</f>
        <v>044073</v>
      </c>
      <c r="O1551" t="s">
        <v>1780</v>
      </c>
      <c r="P1551" t="s">
        <v>68</v>
      </c>
      <c r="Q1551">
        <v>7.3</v>
      </c>
      <c r="R1551">
        <v>9.0999999999999943</v>
      </c>
      <c r="S1551" t="s">
        <v>60</v>
      </c>
    </row>
    <row r="1552" spans="1:19" x14ac:dyDescent="0.35">
      <c r="A1552">
        <v>14118</v>
      </c>
      <c r="B1552" t="str">
        <f>"014118"</f>
        <v>014118</v>
      </c>
      <c r="C1552" t="s">
        <v>5550</v>
      </c>
      <c r="D1552" t="s">
        <v>3400</v>
      </c>
      <c r="E1552" t="s">
        <v>3395</v>
      </c>
      <c r="F1552" t="s">
        <v>3396</v>
      </c>
      <c r="G1552" t="s">
        <v>600</v>
      </c>
      <c r="H1552" t="s">
        <v>5551</v>
      </c>
      <c r="I1552" t="s">
        <v>5552</v>
      </c>
      <c r="J1552" t="s">
        <v>1348</v>
      </c>
      <c r="K1552" t="s">
        <v>55</v>
      </c>
      <c r="L1552" t="s">
        <v>1783</v>
      </c>
      <c r="M1552" t="s">
        <v>57</v>
      </c>
      <c r="N1552" t="str">
        <f>"044073"</f>
        <v>044073</v>
      </c>
      <c r="O1552" t="s">
        <v>1780</v>
      </c>
      <c r="P1552" t="s">
        <v>68</v>
      </c>
      <c r="Q1552">
        <v>3.9</v>
      </c>
      <c r="R1552">
        <v>9.2000000000000028</v>
      </c>
      <c r="S1552" t="s">
        <v>60</v>
      </c>
    </row>
    <row r="1553" spans="1:19" x14ac:dyDescent="0.35">
      <c r="A1553">
        <v>14142</v>
      </c>
      <c r="B1553" t="str">
        <f>"014142"</f>
        <v>014142</v>
      </c>
      <c r="C1553" t="s">
        <v>5553</v>
      </c>
      <c r="D1553" t="s">
        <v>3394</v>
      </c>
      <c r="E1553" t="s">
        <v>3395</v>
      </c>
      <c r="F1553" t="s">
        <v>3396</v>
      </c>
      <c r="G1553" t="s">
        <v>63</v>
      </c>
      <c r="H1553" t="s">
        <v>5554</v>
      </c>
      <c r="I1553" t="s">
        <v>5555</v>
      </c>
      <c r="J1553" t="s">
        <v>1271</v>
      </c>
      <c r="K1553" t="s">
        <v>55</v>
      </c>
      <c r="L1553" t="s">
        <v>1272</v>
      </c>
      <c r="M1553" t="s">
        <v>57</v>
      </c>
      <c r="N1553" t="str">
        <f>"044198"</f>
        <v>044198</v>
      </c>
      <c r="O1553" t="s">
        <v>1268</v>
      </c>
      <c r="P1553" t="s">
        <v>68</v>
      </c>
      <c r="Q1553">
        <v>34</v>
      </c>
      <c r="R1553">
        <v>18.299999999999997</v>
      </c>
      <c r="S1553" t="s">
        <v>69</v>
      </c>
    </row>
    <row r="1554" spans="1:19" x14ac:dyDescent="0.35">
      <c r="A1554">
        <v>14175</v>
      </c>
      <c r="B1554" t="str">
        <f>"014175"</f>
        <v>014175</v>
      </c>
      <c r="C1554" t="s">
        <v>5553</v>
      </c>
      <c r="D1554" t="s">
        <v>3394</v>
      </c>
      <c r="E1554" t="s">
        <v>3395</v>
      </c>
      <c r="F1554" t="s">
        <v>3396</v>
      </c>
      <c r="G1554" t="s">
        <v>481</v>
      </c>
      <c r="H1554" t="s">
        <v>5556</v>
      </c>
      <c r="I1554" t="s">
        <v>5557</v>
      </c>
      <c r="J1554" t="s">
        <v>4970</v>
      </c>
      <c r="K1554" t="s">
        <v>55</v>
      </c>
      <c r="L1554" t="s">
        <v>1822</v>
      </c>
      <c r="M1554" t="s">
        <v>57</v>
      </c>
      <c r="N1554" t="str">
        <f>"045104"</f>
        <v>045104</v>
      </c>
      <c r="O1554" t="s">
        <v>771</v>
      </c>
      <c r="P1554" t="s">
        <v>68</v>
      </c>
      <c r="Q1554">
        <v>46.3</v>
      </c>
      <c r="R1554">
        <v>35</v>
      </c>
      <c r="S1554" t="s">
        <v>69</v>
      </c>
    </row>
    <row r="1555" spans="1:19" x14ac:dyDescent="0.35">
      <c r="A1555">
        <v>14241</v>
      </c>
      <c r="B1555" t="str">
        <f>"014241"</f>
        <v>014241</v>
      </c>
      <c r="C1555" t="s">
        <v>5558</v>
      </c>
      <c r="D1555" t="s">
        <v>3394</v>
      </c>
      <c r="E1555" t="s">
        <v>3395</v>
      </c>
      <c r="F1555" t="s">
        <v>3396</v>
      </c>
      <c r="G1555" t="s">
        <v>110</v>
      </c>
      <c r="H1555" t="s">
        <v>5559</v>
      </c>
      <c r="I1555" t="s">
        <v>5560</v>
      </c>
      <c r="J1555" t="s">
        <v>551</v>
      </c>
      <c r="K1555" t="s">
        <v>55</v>
      </c>
      <c r="L1555" t="s">
        <v>552</v>
      </c>
      <c r="M1555" t="s">
        <v>57</v>
      </c>
      <c r="N1555" t="str">
        <f>"045393"</f>
        <v>045393</v>
      </c>
      <c r="O1555" t="s">
        <v>548</v>
      </c>
      <c r="P1555" t="s">
        <v>68</v>
      </c>
      <c r="Q1555">
        <v>4.5999999999999996</v>
      </c>
      <c r="R1555">
        <v>9.9000000000000057</v>
      </c>
      <c r="S1555" t="s">
        <v>60</v>
      </c>
    </row>
    <row r="1556" spans="1:19" x14ac:dyDescent="0.35">
      <c r="A1556">
        <v>14258</v>
      </c>
      <c r="B1556" t="str">
        <f>"014258"</f>
        <v>014258</v>
      </c>
      <c r="C1556" t="s">
        <v>5561</v>
      </c>
      <c r="D1556" t="s">
        <v>3398</v>
      </c>
      <c r="E1556" t="s">
        <v>3395</v>
      </c>
      <c r="F1556" t="s">
        <v>3396</v>
      </c>
      <c r="G1556" t="s">
        <v>110</v>
      </c>
      <c r="H1556" t="s">
        <v>5562</v>
      </c>
      <c r="I1556" t="s">
        <v>5563</v>
      </c>
      <c r="J1556" t="s">
        <v>551</v>
      </c>
      <c r="K1556" t="s">
        <v>55</v>
      </c>
      <c r="L1556" t="s">
        <v>552</v>
      </c>
      <c r="M1556" t="s">
        <v>57</v>
      </c>
      <c r="N1556" t="str">
        <f>"045393"</f>
        <v>045393</v>
      </c>
      <c r="O1556" t="s">
        <v>548</v>
      </c>
      <c r="P1556" t="s">
        <v>68</v>
      </c>
      <c r="Q1556">
        <v>3.4</v>
      </c>
      <c r="R1556">
        <v>10.299999999999997</v>
      </c>
      <c r="S1556" t="s">
        <v>60</v>
      </c>
    </row>
    <row r="1557" spans="1:19" x14ac:dyDescent="0.35">
      <c r="A1557">
        <v>14316</v>
      </c>
      <c r="B1557" t="str">
        <f>"014316"</f>
        <v>014316</v>
      </c>
      <c r="C1557" t="s">
        <v>5564</v>
      </c>
      <c r="D1557" t="s">
        <v>3400</v>
      </c>
      <c r="E1557" t="s">
        <v>3395</v>
      </c>
      <c r="F1557" t="s">
        <v>3396</v>
      </c>
      <c r="G1557" t="s">
        <v>312</v>
      </c>
      <c r="H1557" t="s">
        <v>5565</v>
      </c>
      <c r="I1557" t="s">
        <v>5566</v>
      </c>
      <c r="J1557" t="s">
        <v>312</v>
      </c>
      <c r="K1557" t="s">
        <v>55</v>
      </c>
      <c r="L1557" t="s">
        <v>315</v>
      </c>
      <c r="M1557" t="s">
        <v>57</v>
      </c>
      <c r="N1557" t="str">
        <f>"048413"</f>
        <v>048413</v>
      </c>
      <c r="O1557" t="s">
        <v>1918</v>
      </c>
      <c r="P1557" t="s">
        <v>68</v>
      </c>
      <c r="Q1557">
        <v>50</v>
      </c>
      <c r="R1557">
        <v>6.2000000000000028</v>
      </c>
      <c r="S1557" t="s">
        <v>156</v>
      </c>
    </row>
    <row r="1558" spans="1:19" x14ac:dyDescent="0.35">
      <c r="A1558">
        <v>14324</v>
      </c>
      <c r="B1558" t="str">
        <f>"014324"</f>
        <v>014324</v>
      </c>
      <c r="C1558" t="s">
        <v>5567</v>
      </c>
      <c r="D1558" t="s">
        <v>3394</v>
      </c>
      <c r="E1558" t="s">
        <v>3395</v>
      </c>
      <c r="F1558" t="s">
        <v>3396</v>
      </c>
      <c r="G1558" t="s">
        <v>1543</v>
      </c>
      <c r="H1558" t="s">
        <v>5568</v>
      </c>
      <c r="I1558" t="s">
        <v>5569</v>
      </c>
      <c r="J1558" t="s">
        <v>288</v>
      </c>
      <c r="K1558" t="s">
        <v>55</v>
      </c>
      <c r="L1558" t="s">
        <v>1546</v>
      </c>
      <c r="M1558" t="s">
        <v>57</v>
      </c>
      <c r="N1558" t="str">
        <f>"044248"</f>
        <v>044248</v>
      </c>
      <c r="O1558" t="s">
        <v>1542</v>
      </c>
      <c r="P1558" t="s">
        <v>68</v>
      </c>
      <c r="Q1558">
        <v>100</v>
      </c>
      <c r="R1558">
        <v>3.7999999999999972</v>
      </c>
      <c r="S1558" t="s">
        <v>130</v>
      </c>
    </row>
    <row r="1559" spans="1:19" x14ac:dyDescent="0.35">
      <c r="A1559">
        <v>14332</v>
      </c>
      <c r="B1559" t="str">
        <f>"014332"</f>
        <v>014332</v>
      </c>
      <c r="C1559" t="s">
        <v>5567</v>
      </c>
      <c r="D1559" t="s">
        <v>3394</v>
      </c>
      <c r="E1559" t="s">
        <v>3395</v>
      </c>
      <c r="F1559" t="s">
        <v>3396</v>
      </c>
      <c r="G1559" t="s">
        <v>861</v>
      </c>
      <c r="H1559" t="s">
        <v>5570</v>
      </c>
      <c r="I1559" t="s">
        <v>5571</v>
      </c>
      <c r="J1559" t="s">
        <v>864</v>
      </c>
      <c r="K1559" t="s">
        <v>55</v>
      </c>
      <c r="L1559" t="s">
        <v>865</v>
      </c>
      <c r="M1559" t="s">
        <v>57</v>
      </c>
      <c r="N1559" t="str">
        <f>"044032"</f>
        <v>044032</v>
      </c>
      <c r="O1559" t="s">
        <v>860</v>
      </c>
      <c r="P1559" t="s">
        <v>68</v>
      </c>
      <c r="Q1559">
        <v>46.4</v>
      </c>
      <c r="R1559">
        <v>4.0999999999999943</v>
      </c>
      <c r="S1559" t="s">
        <v>130</v>
      </c>
    </row>
    <row r="1560" spans="1:19" x14ac:dyDescent="0.35">
      <c r="A1560">
        <v>14340</v>
      </c>
      <c r="B1560" t="str">
        <f>"014340"</f>
        <v>014340</v>
      </c>
      <c r="C1560" t="s">
        <v>5567</v>
      </c>
      <c r="D1560" t="s">
        <v>3394</v>
      </c>
      <c r="E1560" t="s">
        <v>3395</v>
      </c>
      <c r="F1560" t="s">
        <v>3396</v>
      </c>
      <c r="G1560" t="s">
        <v>219</v>
      </c>
      <c r="H1560" t="s">
        <v>5572</v>
      </c>
      <c r="I1560" t="s">
        <v>5573</v>
      </c>
      <c r="J1560" t="s">
        <v>2582</v>
      </c>
      <c r="K1560" t="s">
        <v>55</v>
      </c>
      <c r="L1560" t="s">
        <v>2583</v>
      </c>
      <c r="M1560" t="s">
        <v>57</v>
      </c>
      <c r="N1560" t="str">
        <f>"049619"</f>
        <v>049619</v>
      </c>
      <c r="O1560" t="s">
        <v>2579</v>
      </c>
      <c r="P1560" t="s">
        <v>68</v>
      </c>
      <c r="Q1560">
        <v>65.2</v>
      </c>
      <c r="R1560">
        <v>2.5</v>
      </c>
      <c r="S1560" t="s">
        <v>130</v>
      </c>
    </row>
    <row r="1561" spans="1:19" x14ac:dyDescent="0.35">
      <c r="A1561">
        <v>14365</v>
      </c>
      <c r="B1561" t="str">
        <f>"014365"</f>
        <v>014365</v>
      </c>
      <c r="C1561" t="s">
        <v>5574</v>
      </c>
      <c r="D1561" t="s">
        <v>3398</v>
      </c>
      <c r="E1561" t="s">
        <v>3395</v>
      </c>
      <c r="F1561" t="s">
        <v>3396</v>
      </c>
      <c r="G1561" t="s">
        <v>264</v>
      </c>
      <c r="H1561" t="s">
        <v>5575</v>
      </c>
      <c r="I1561" t="s">
        <v>5576</v>
      </c>
      <c r="J1561" t="s">
        <v>160</v>
      </c>
      <c r="K1561" t="s">
        <v>55</v>
      </c>
      <c r="L1561" t="s">
        <v>161</v>
      </c>
      <c r="M1561" t="s">
        <v>57</v>
      </c>
      <c r="N1561" t="str">
        <f>"050013"</f>
        <v>050013</v>
      </c>
      <c r="O1561" t="s">
        <v>2579</v>
      </c>
      <c r="P1561" t="s">
        <v>68</v>
      </c>
      <c r="Q1561">
        <v>17.3</v>
      </c>
      <c r="R1561">
        <v>10.799999999999997</v>
      </c>
      <c r="S1561" t="s">
        <v>77</v>
      </c>
    </row>
    <row r="1562" spans="1:19" x14ac:dyDescent="0.35">
      <c r="A1562">
        <v>14373</v>
      </c>
      <c r="B1562" t="str">
        <f>"014373"</f>
        <v>014373</v>
      </c>
      <c r="C1562" t="s">
        <v>5574</v>
      </c>
      <c r="D1562" t="s">
        <v>3398</v>
      </c>
      <c r="E1562" t="s">
        <v>3395</v>
      </c>
      <c r="F1562" t="s">
        <v>3396</v>
      </c>
      <c r="G1562" t="s">
        <v>219</v>
      </c>
      <c r="H1562" t="s">
        <v>5572</v>
      </c>
      <c r="I1562" t="s">
        <v>5573</v>
      </c>
      <c r="J1562" t="s">
        <v>2582</v>
      </c>
      <c r="K1562" t="s">
        <v>55</v>
      </c>
      <c r="L1562" t="s">
        <v>2583</v>
      </c>
      <c r="M1562" t="s">
        <v>57</v>
      </c>
      <c r="N1562" t="str">
        <f>"049619"</f>
        <v>049619</v>
      </c>
      <c r="O1562" t="s">
        <v>2579</v>
      </c>
      <c r="P1562" t="s">
        <v>68</v>
      </c>
      <c r="Q1562">
        <v>47.4</v>
      </c>
      <c r="R1562">
        <v>1.5999999999999943</v>
      </c>
      <c r="S1562" t="s">
        <v>130</v>
      </c>
    </row>
    <row r="1563" spans="1:19" x14ac:dyDescent="0.35">
      <c r="A1563">
        <v>14399</v>
      </c>
      <c r="B1563" t="str">
        <f>"014399"</f>
        <v>014399</v>
      </c>
      <c r="C1563" t="s">
        <v>5577</v>
      </c>
      <c r="D1563" t="s">
        <v>3394</v>
      </c>
      <c r="E1563" t="s">
        <v>3395</v>
      </c>
      <c r="F1563" t="s">
        <v>3396</v>
      </c>
      <c r="G1563" t="s">
        <v>400</v>
      </c>
      <c r="H1563" t="s">
        <v>5578</v>
      </c>
      <c r="I1563" t="s">
        <v>5579</v>
      </c>
      <c r="J1563" t="s">
        <v>5580</v>
      </c>
      <c r="K1563" t="s">
        <v>55</v>
      </c>
      <c r="L1563" t="s">
        <v>5581</v>
      </c>
      <c r="M1563" t="s">
        <v>57</v>
      </c>
      <c r="N1563" t="str">
        <f>"045302"</f>
        <v>045302</v>
      </c>
      <c r="O1563" t="s">
        <v>399</v>
      </c>
      <c r="P1563" t="s">
        <v>68</v>
      </c>
      <c r="Q1563">
        <v>45.8</v>
      </c>
      <c r="R1563">
        <v>16.099999999999994</v>
      </c>
      <c r="S1563" t="s">
        <v>156</v>
      </c>
    </row>
    <row r="1564" spans="1:19" x14ac:dyDescent="0.35">
      <c r="A1564">
        <v>14423</v>
      </c>
      <c r="B1564" t="str">
        <f>"014423"</f>
        <v>014423</v>
      </c>
      <c r="C1564" t="s">
        <v>5582</v>
      </c>
      <c r="D1564" t="s">
        <v>3394</v>
      </c>
      <c r="E1564" t="s">
        <v>3395</v>
      </c>
      <c r="F1564" t="s">
        <v>3396</v>
      </c>
      <c r="G1564" t="s">
        <v>63</v>
      </c>
      <c r="H1564" t="s">
        <v>5583</v>
      </c>
      <c r="I1564" t="s">
        <v>5584</v>
      </c>
      <c r="J1564" t="s">
        <v>66</v>
      </c>
      <c r="K1564" t="s">
        <v>55</v>
      </c>
      <c r="L1564" t="s">
        <v>67</v>
      </c>
      <c r="M1564" t="s">
        <v>57</v>
      </c>
      <c r="N1564" t="str">
        <f>"044636"</f>
        <v>044636</v>
      </c>
      <c r="O1564" t="s">
        <v>1331</v>
      </c>
      <c r="P1564" t="s">
        <v>68</v>
      </c>
      <c r="Q1564">
        <v>32.1</v>
      </c>
      <c r="R1564">
        <v>22</v>
      </c>
      <c r="S1564" t="s">
        <v>69</v>
      </c>
    </row>
    <row r="1565" spans="1:19" x14ac:dyDescent="0.35">
      <c r="A1565">
        <v>14431</v>
      </c>
      <c r="B1565" t="str">
        <f>"014431"</f>
        <v>014431</v>
      </c>
      <c r="C1565" t="s">
        <v>5585</v>
      </c>
      <c r="D1565" t="s">
        <v>3400</v>
      </c>
      <c r="E1565" t="s">
        <v>3395</v>
      </c>
      <c r="F1565" t="s">
        <v>3396</v>
      </c>
      <c r="G1565" t="s">
        <v>63</v>
      </c>
      <c r="H1565" t="s">
        <v>5586</v>
      </c>
      <c r="I1565" t="s">
        <v>5587</v>
      </c>
      <c r="J1565" t="s">
        <v>66</v>
      </c>
      <c r="K1565" t="s">
        <v>55</v>
      </c>
      <c r="L1565" t="s">
        <v>2232</v>
      </c>
      <c r="M1565" t="s">
        <v>57</v>
      </c>
      <c r="N1565" t="str">
        <f>"044636"</f>
        <v>044636</v>
      </c>
      <c r="O1565" t="s">
        <v>1331</v>
      </c>
      <c r="P1565" t="s">
        <v>68</v>
      </c>
      <c r="Q1565">
        <v>57.5</v>
      </c>
      <c r="R1565">
        <v>36.200000000000003</v>
      </c>
      <c r="S1565" t="s">
        <v>69</v>
      </c>
    </row>
    <row r="1566" spans="1:19" x14ac:dyDescent="0.35">
      <c r="A1566">
        <v>14456</v>
      </c>
      <c r="B1566" t="str">
        <f>"014456"</f>
        <v>014456</v>
      </c>
      <c r="C1566" t="s">
        <v>5588</v>
      </c>
      <c r="D1566" t="s">
        <v>3400</v>
      </c>
      <c r="E1566" t="s">
        <v>3395</v>
      </c>
      <c r="F1566" t="s">
        <v>3396</v>
      </c>
      <c r="G1566" t="s">
        <v>187</v>
      </c>
      <c r="H1566" t="s">
        <v>5589</v>
      </c>
      <c r="I1566" t="s">
        <v>5590</v>
      </c>
      <c r="J1566" t="s">
        <v>397</v>
      </c>
      <c r="K1566" t="s">
        <v>55</v>
      </c>
      <c r="L1566" t="s">
        <v>398</v>
      </c>
      <c r="M1566" t="s">
        <v>57</v>
      </c>
      <c r="N1566" t="str">
        <f>"050559"</f>
        <v>050559</v>
      </c>
      <c r="O1566" t="s">
        <v>2579</v>
      </c>
      <c r="P1566" t="s">
        <v>68</v>
      </c>
      <c r="Q1566">
        <v>28</v>
      </c>
      <c r="R1566">
        <v>10</v>
      </c>
      <c r="S1566" t="s">
        <v>77</v>
      </c>
    </row>
    <row r="1567" spans="1:19" x14ac:dyDescent="0.35">
      <c r="A1567">
        <v>14480</v>
      </c>
      <c r="B1567" t="str">
        <f>"014480"</f>
        <v>014480</v>
      </c>
      <c r="C1567" t="s">
        <v>5591</v>
      </c>
      <c r="D1567" t="s">
        <v>3400</v>
      </c>
      <c r="E1567" t="s">
        <v>3395</v>
      </c>
      <c r="F1567" t="s">
        <v>3396</v>
      </c>
      <c r="G1567" t="s">
        <v>642</v>
      </c>
      <c r="H1567" t="s">
        <v>5592</v>
      </c>
      <c r="I1567" t="s">
        <v>5593</v>
      </c>
      <c r="J1567" t="s">
        <v>2841</v>
      </c>
      <c r="K1567" t="s">
        <v>55</v>
      </c>
      <c r="L1567" t="s">
        <v>2842</v>
      </c>
      <c r="M1567" t="s">
        <v>57</v>
      </c>
      <c r="N1567" t="str">
        <f>"047266"</f>
        <v>047266</v>
      </c>
      <c r="O1567" t="s">
        <v>2838</v>
      </c>
      <c r="P1567" t="s">
        <v>68</v>
      </c>
      <c r="Q1567">
        <v>27.1</v>
      </c>
      <c r="R1567">
        <v>6.2000000000000028</v>
      </c>
      <c r="S1567" t="s">
        <v>180</v>
      </c>
    </row>
    <row r="1568" spans="1:19" x14ac:dyDescent="0.35">
      <c r="A1568">
        <v>14498</v>
      </c>
      <c r="B1568" t="str">
        <f>"014498"</f>
        <v>014498</v>
      </c>
      <c r="C1568" t="s">
        <v>5594</v>
      </c>
      <c r="D1568" t="s">
        <v>3398</v>
      </c>
      <c r="E1568" t="s">
        <v>3395</v>
      </c>
      <c r="F1568" t="s">
        <v>3396</v>
      </c>
      <c r="G1568" t="s">
        <v>642</v>
      </c>
      <c r="H1568" t="s">
        <v>5595</v>
      </c>
      <c r="I1568" t="s">
        <v>5596</v>
      </c>
      <c r="J1568" t="s">
        <v>2841</v>
      </c>
      <c r="K1568" t="s">
        <v>55</v>
      </c>
      <c r="L1568" t="s">
        <v>2842</v>
      </c>
      <c r="M1568" t="s">
        <v>57</v>
      </c>
      <c r="N1568" t="str">
        <f>"047266"</f>
        <v>047266</v>
      </c>
      <c r="O1568" t="s">
        <v>2838</v>
      </c>
      <c r="P1568" t="s">
        <v>68</v>
      </c>
      <c r="Q1568">
        <v>32.9</v>
      </c>
      <c r="R1568">
        <v>7.4000000000000057</v>
      </c>
      <c r="S1568" t="s">
        <v>180</v>
      </c>
    </row>
    <row r="1569" spans="1:19" x14ac:dyDescent="0.35">
      <c r="A1569">
        <v>14514</v>
      </c>
      <c r="B1569" t="str">
        <f>"014514"</f>
        <v>014514</v>
      </c>
      <c r="C1569" t="s">
        <v>5597</v>
      </c>
      <c r="D1569" t="s">
        <v>3394</v>
      </c>
      <c r="E1569" t="s">
        <v>3395</v>
      </c>
      <c r="F1569" t="s">
        <v>3396</v>
      </c>
      <c r="G1569" t="s">
        <v>719</v>
      </c>
      <c r="H1569" t="s">
        <v>2561</v>
      </c>
      <c r="I1569" t="s">
        <v>2562</v>
      </c>
      <c r="J1569" t="s">
        <v>2563</v>
      </c>
      <c r="K1569" t="s">
        <v>55</v>
      </c>
      <c r="L1569" t="s">
        <v>2564</v>
      </c>
      <c r="M1569" t="s">
        <v>57</v>
      </c>
      <c r="N1569" t="str">
        <f>"045401"</f>
        <v>045401</v>
      </c>
      <c r="O1569" t="s">
        <v>2560</v>
      </c>
      <c r="P1569" t="s">
        <v>68</v>
      </c>
      <c r="Q1569">
        <v>62.7</v>
      </c>
      <c r="R1569">
        <v>6.5999999999999943</v>
      </c>
      <c r="S1569" t="s">
        <v>130</v>
      </c>
    </row>
    <row r="1570" spans="1:19" x14ac:dyDescent="0.35">
      <c r="A1570">
        <v>14522</v>
      </c>
      <c r="B1570" t="str">
        <f>"014522"</f>
        <v>014522</v>
      </c>
      <c r="C1570" t="s">
        <v>5598</v>
      </c>
      <c r="D1570" t="s">
        <v>3400</v>
      </c>
      <c r="E1570" t="s">
        <v>3395</v>
      </c>
      <c r="F1570" t="s">
        <v>3396</v>
      </c>
      <c r="G1570" t="s">
        <v>383</v>
      </c>
      <c r="H1570" t="s">
        <v>5599</v>
      </c>
      <c r="I1570" t="s">
        <v>5600</v>
      </c>
      <c r="J1570" t="s">
        <v>1069</v>
      </c>
      <c r="K1570" t="s">
        <v>55</v>
      </c>
      <c r="L1570" t="s">
        <v>1070</v>
      </c>
      <c r="M1570" t="s">
        <v>57</v>
      </c>
      <c r="N1570" t="str">
        <f>"048363"</f>
        <v>048363</v>
      </c>
      <c r="O1570" t="s">
        <v>1066</v>
      </c>
      <c r="P1570" t="s">
        <v>68</v>
      </c>
      <c r="Q1570">
        <v>23.6</v>
      </c>
      <c r="R1570">
        <v>4.9000000000000057</v>
      </c>
      <c r="S1570" t="s">
        <v>77</v>
      </c>
    </row>
    <row r="1571" spans="1:19" x14ac:dyDescent="0.35">
      <c r="A1571">
        <v>14548</v>
      </c>
      <c r="B1571" t="str">
        <f>"014548"</f>
        <v>014548</v>
      </c>
      <c r="C1571" t="s">
        <v>5601</v>
      </c>
      <c r="D1571" t="s">
        <v>3400</v>
      </c>
      <c r="E1571" t="s">
        <v>3395</v>
      </c>
      <c r="F1571" t="s">
        <v>3396</v>
      </c>
      <c r="G1571" t="s">
        <v>212</v>
      </c>
      <c r="H1571" t="s">
        <v>5602</v>
      </c>
      <c r="I1571" t="s">
        <v>5603</v>
      </c>
      <c r="J1571" t="s">
        <v>215</v>
      </c>
      <c r="K1571" t="s">
        <v>55</v>
      </c>
      <c r="L1571" t="s">
        <v>2321</v>
      </c>
      <c r="M1571" t="s">
        <v>57</v>
      </c>
      <c r="N1571" t="str">
        <f>"044081"</f>
        <v>044081</v>
      </c>
      <c r="O1571" t="s">
        <v>2318</v>
      </c>
      <c r="P1571" t="s">
        <v>68</v>
      </c>
      <c r="Q1571">
        <v>78.599999999999994</v>
      </c>
      <c r="R1571">
        <v>94.1</v>
      </c>
      <c r="S1571" t="s">
        <v>217</v>
      </c>
    </row>
    <row r="1572" spans="1:19" x14ac:dyDescent="0.35">
      <c r="A1572">
        <v>14563</v>
      </c>
      <c r="B1572" t="str">
        <f>"014563"</f>
        <v>014563</v>
      </c>
      <c r="C1572" t="s">
        <v>5604</v>
      </c>
      <c r="D1572" t="s">
        <v>3394</v>
      </c>
      <c r="E1572" t="s">
        <v>3395</v>
      </c>
      <c r="F1572" t="s">
        <v>3396</v>
      </c>
      <c r="G1572" t="s">
        <v>543</v>
      </c>
      <c r="H1572" t="s">
        <v>5605</v>
      </c>
      <c r="I1572" t="s">
        <v>5606</v>
      </c>
      <c r="J1572" t="s">
        <v>1961</v>
      </c>
      <c r="K1572" t="s">
        <v>55</v>
      </c>
      <c r="L1572" t="s">
        <v>3787</v>
      </c>
      <c r="M1572" t="s">
        <v>57</v>
      </c>
      <c r="N1572" t="str">
        <f>"044180"</f>
        <v>044180</v>
      </c>
      <c r="O1572" t="s">
        <v>1963</v>
      </c>
      <c r="P1572" t="s">
        <v>68</v>
      </c>
      <c r="Q1572">
        <v>65.3</v>
      </c>
      <c r="R1572">
        <v>31.700000000000003</v>
      </c>
      <c r="S1572" t="s">
        <v>180</v>
      </c>
    </row>
    <row r="1573" spans="1:19" x14ac:dyDescent="0.35">
      <c r="A1573">
        <v>14571</v>
      </c>
      <c r="B1573" t="str">
        <f>"014571"</f>
        <v>014571</v>
      </c>
      <c r="C1573" t="s">
        <v>5607</v>
      </c>
      <c r="D1573" t="s">
        <v>3398</v>
      </c>
      <c r="E1573" t="s">
        <v>3395</v>
      </c>
      <c r="F1573" t="s">
        <v>3396</v>
      </c>
      <c r="G1573" t="s">
        <v>777</v>
      </c>
      <c r="H1573" t="s">
        <v>5051</v>
      </c>
      <c r="I1573" t="s">
        <v>5052</v>
      </c>
      <c r="J1573" t="s">
        <v>2924</v>
      </c>
      <c r="K1573" t="s">
        <v>55</v>
      </c>
      <c r="L1573" t="s">
        <v>2925</v>
      </c>
      <c r="M1573" t="s">
        <v>57</v>
      </c>
      <c r="N1573" t="str">
        <f>"046235"</f>
        <v>046235</v>
      </c>
      <c r="O1573" t="s">
        <v>2921</v>
      </c>
      <c r="P1573" t="s">
        <v>68</v>
      </c>
      <c r="Q1573">
        <v>40.5</v>
      </c>
      <c r="R1573">
        <v>10</v>
      </c>
      <c r="S1573" t="s">
        <v>180</v>
      </c>
    </row>
    <row r="1574" spans="1:19" x14ac:dyDescent="0.35">
      <c r="A1574">
        <v>14597</v>
      </c>
      <c r="B1574" t="str">
        <f>"014597"</f>
        <v>014597</v>
      </c>
      <c r="C1574" t="s">
        <v>5608</v>
      </c>
      <c r="D1574" t="s">
        <v>3394</v>
      </c>
      <c r="E1574" t="s">
        <v>3395</v>
      </c>
      <c r="F1574" t="s">
        <v>3396</v>
      </c>
      <c r="G1574" t="s">
        <v>600</v>
      </c>
      <c r="H1574" t="s">
        <v>5609</v>
      </c>
      <c r="I1574" t="s">
        <v>5610</v>
      </c>
      <c r="J1574" t="s">
        <v>1017</v>
      </c>
      <c r="K1574" t="s">
        <v>55</v>
      </c>
      <c r="L1574" t="s">
        <v>5611</v>
      </c>
      <c r="M1574" t="s">
        <v>57</v>
      </c>
      <c r="N1574" t="str">
        <f>"044933"</f>
        <v>044933</v>
      </c>
      <c r="O1574" t="s">
        <v>1014</v>
      </c>
      <c r="P1574" t="s">
        <v>68</v>
      </c>
      <c r="Q1574">
        <v>6.2</v>
      </c>
      <c r="R1574">
        <v>20.5</v>
      </c>
      <c r="S1574" t="s">
        <v>60</v>
      </c>
    </row>
    <row r="1575" spans="1:19" x14ac:dyDescent="0.35">
      <c r="A1575">
        <v>14613</v>
      </c>
      <c r="B1575" t="str">
        <f>"014613"</f>
        <v>014613</v>
      </c>
      <c r="C1575" t="s">
        <v>5612</v>
      </c>
      <c r="D1575" t="s">
        <v>3394</v>
      </c>
      <c r="E1575" t="s">
        <v>3395</v>
      </c>
      <c r="F1575" t="s">
        <v>3396</v>
      </c>
      <c r="G1575" t="s">
        <v>63</v>
      </c>
      <c r="H1575" t="s">
        <v>5613</v>
      </c>
      <c r="I1575" t="s">
        <v>5614</v>
      </c>
      <c r="J1575" t="s">
        <v>3423</v>
      </c>
      <c r="K1575" t="s">
        <v>55</v>
      </c>
      <c r="L1575" t="s">
        <v>3424</v>
      </c>
      <c r="M1575" t="s">
        <v>57</v>
      </c>
      <c r="N1575" t="str">
        <f>"044792"</f>
        <v>044792</v>
      </c>
      <c r="O1575" t="s">
        <v>2331</v>
      </c>
      <c r="P1575" t="s">
        <v>68</v>
      </c>
      <c r="Q1575">
        <v>65.7</v>
      </c>
      <c r="R1575">
        <v>91</v>
      </c>
      <c r="S1575" t="s">
        <v>69</v>
      </c>
    </row>
    <row r="1576" spans="1:19" x14ac:dyDescent="0.35">
      <c r="A1576">
        <v>14621</v>
      </c>
      <c r="B1576" t="str">
        <f>"014621"</f>
        <v>014621</v>
      </c>
      <c r="C1576" t="s">
        <v>5615</v>
      </c>
      <c r="D1576" t="s">
        <v>3398</v>
      </c>
      <c r="E1576" t="s">
        <v>3395</v>
      </c>
      <c r="F1576" t="s">
        <v>3396</v>
      </c>
      <c r="G1576" t="s">
        <v>175</v>
      </c>
      <c r="H1576" t="s">
        <v>5616</v>
      </c>
      <c r="I1576" t="s">
        <v>5617</v>
      </c>
      <c r="J1576" t="s">
        <v>178</v>
      </c>
      <c r="K1576" t="s">
        <v>55</v>
      </c>
      <c r="L1576" t="s">
        <v>179</v>
      </c>
      <c r="M1576" t="s">
        <v>57</v>
      </c>
      <c r="N1576" t="str">
        <f>"044099"</f>
        <v>044099</v>
      </c>
      <c r="O1576" t="s">
        <v>174</v>
      </c>
      <c r="P1576" t="s">
        <v>68</v>
      </c>
      <c r="Q1576">
        <v>34.1</v>
      </c>
      <c r="R1576">
        <v>7.0999999999999943</v>
      </c>
      <c r="S1576" t="s">
        <v>180</v>
      </c>
    </row>
    <row r="1577" spans="1:19" x14ac:dyDescent="0.35">
      <c r="A1577">
        <v>14639</v>
      </c>
      <c r="B1577" t="str">
        <f>"014639"</f>
        <v>014639</v>
      </c>
      <c r="C1577" t="s">
        <v>5618</v>
      </c>
      <c r="D1577" t="s">
        <v>3400</v>
      </c>
      <c r="E1577" t="s">
        <v>3395</v>
      </c>
      <c r="F1577" t="s">
        <v>3396</v>
      </c>
      <c r="G1577" t="s">
        <v>175</v>
      </c>
      <c r="H1577" t="s">
        <v>4881</v>
      </c>
      <c r="I1577" t="s">
        <v>4882</v>
      </c>
      <c r="J1577" t="s">
        <v>178</v>
      </c>
      <c r="K1577" t="s">
        <v>55</v>
      </c>
      <c r="L1577" t="s">
        <v>179</v>
      </c>
      <c r="M1577" t="s">
        <v>57</v>
      </c>
      <c r="N1577" t="str">
        <f>"044099"</f>
        <v>044099</v>
      </c>
      <c r="O1577" t="s">
        <v>174</v>
      </c>
      <c r="P1577" t="s">
        <v>68</v>
      </c>
      <c r="Q1577">
        <v>45.9</v>
      </c>
      <c r="R1577">
        <v>8.2000000000000028</v>
      </c>
      <c r="S1577" t="s">
        <v>180</v>
      </c>
    </row>
    <row r="1578" spans="1:19" x14ac:dyDescent="0.35">
      <c r="A1578">
        <v>14654</v>
      </c>
      <c r="B1578" t="str">
        <f>"014654"</f>
        <v>014654</v>
      </c>
      <c r="C1578" t="s">
        <v>5619</v>
      </c>
      <c r="D1578" t="s">
        <v>3394</v>
      </c>
      <c r="E1578" t="s">
        <v>3395</v>
      </c>
      <c r="F1578" t="s">
        <v>3396</v>
      </c>
      <c r="G1578" t="s">
        <v>264</v>
      </c>
      <c r="H1578" t="s">
        <v>5620</v>
      </c>
      <c r="I1578" t="s">
        <v>5621</v>
      </c>
      <c r="J1578" t="s">
        <v>5622</v>
      </c>
      <c r="K1578" t="s">
        <v>55</v>
      </c>
      <c r="L1578" t="s">
        <v>5623</v>
      </c>
      <c r="M1578" t="s">
        <v>57</v>
      </c>
      <c r="N1578" t="str">
        <f>"050013"</f>
        <v>050013</v>
      </c>
      <c r="O1578" t="s">
        <v>2579</v>
      </c>
      <c r="P1578" t="s">
        <v>68</v>
      </c>
      <c r="Q1578">
        <v>21.7</v>
      </c>
      <c r="R1578">
        <v>13.200000000000003</v>
      </c>
      <c r="S1578" t="s">
        <v>77</v>
      </c>
    </row>
    <row r="1579" spans="1:19" x14ac:dyDescent="0.35">
      <c r="A1579">
        <v>14688</v>
      </c>
      <c r="B1579" t="str">
        <f>"014688"</f>
        <v>014688</v>
      </c>
      <c r="C1579" t="s">
        <v>5624</v>
      </c>
      <c r="D1579" t="s">
        <v>3394</v>
      </c>
      <c r="E1579" t="s">
        <v>3395</v>
      </c>
      <c r="F1579" t="s">
        <v>3396</v>
      </c>
      <c r="G1579" t="s">
        <v>200</v>
      </c>
      <c r="H1579" t="s">
        <v>5625</v>
      </c>
      <c r="I1579" t="s">
        <v>5626</v>
      </c>
      <c r="J1579" t="s">
        <v>304</v>
      </c>
      <c r="K1579" t="s">
        <v>55</v>
      </c>
      <c r="L1579" t="s">
        <v>305</v>
      </c>
      <c r="M1579" t="s">
        <v>57</v>
      </c>
      <c r="N1579" t="str">
        <f>"044909"</f>
        <v>044909</v>
      </c>
      <c r="O1579" t="s">
        <v>3318</v>
      </c>
      <c r="P1579" t="s">
        <v>68</v>
      </c>
      <c r="Q1579">
        <v>91.6</v>
      </c>
      <c r="R1579">
        <v>77.2</v>
      </c>
      <c r="S1579" t="s">
        <v>156</v>
      </c>
    </row>
    <row r="1580" spans="1:19" x14ac:dyDescent="0.35">
      <c r="A1580">
        <v>14696</v>
      </c>
      <c r="B1580" t="str">
        <f>"014696"</f>
        <v>014696</v>
      </c>
      <c r="C1580" t="s">
        <v>5627</v>
      </c>
      <c r="D1580" t="s">
        <v>3394</v>
      </c>
      <c r="E1580" t="s">
        <v>3395</v>
      </c>
      <c r="F1580" t="s">
        <v>3396</v>
      </c>
      <c r="G1580" t="s">
        <v>600</v>
      </c>
      <c r="H1580" t="s">
        <v>5628</v>
      </c>
      <c r="I1580" t="s">
        <v>5629</v>
      </c>
      <c r="J1580" t="s">
        <v>1081</v>
      </c>
      <c r="K1580" t="s">
        <v>55</v>
      </c>
      <c r="L1580" t="s">
        <v>1082</v>
      </c>
      <c r="M1580" t="s">
        <v>57</v>
      </c>
      <c r="N1580" t="str">
        <f>"046979"</f>
        <v>046979</v>
      </c>
      <c r="O1580" t="s">
        <v>1587</v>
      </c>
      <c r="P1580" t="s">
        <v>68</v>
      </c>
      <c r="Q1580">
        <v>57.7</v>
      </c>
      <c r="R1580">
        <v>51.1</v>
      </c>
      <c r="S1580" t="s">
        <v>60</v>
      </c>
    </row>
    <row r="1581" spans="1:19" x14ac:dyDescent="0.35">
      <c r="A1581">
        <v>14704</v>
      </c>
      <c r="B1581" t="str">
        <f>"014704"</f>
        <v>014704</v>
      </c>
      <c r="C1581" t="s">
        <v>5630</v>
      </c>
      <c r="D1581" t="s">
        <v>3398</v>
      </c>
      <c r="E1581" t="s">
        <v>3395</v>
      </c>
      <c r="F1581" t="s">
        <v>3396</v>
      </c>
      <c r="G1581" t="s">
        <v>600</v>
      </c>
      <c r="H1581" t="s">
        <v>5631</v>
      </c>
      <c r="I1581" t="s">
        <v>5632</v>
      </c>
      <c r="J1581" t="s">
        <v>1081</v>
      </c>
      <c r="K1581" t="s">
        <v>55</v>
      </c>
      <c r="L1581" t="s">
        <v>1082</v>
      </c>
      <c r="M1581" t="s">
        <v>57</v>
      </c>
      <c r="N1581" t="str">
        <f>"046979"</f>
        <v>046979</v>
      </c>
      <c r="O1581" t="s">
        <v>1587</v>
      </c>
      <c r="P1581" t="s">
        <v>68</v>
      </c>
      <c r="Q1581">
        <v>72.5</v>
      </c>
      <c r="R1581">
        <v>73.599999999999994</v>
      </c>
      <c r="S1581" t="s">
        <v>60</v>
      </c>
    </row>
    <row r="1582" spans="1:19" x14ac:dyDescent="0.35">
      <c r="A1582">
        <v>14712</v>
      </c>
      <c r="B1582" t="str">
        <f>"014712"</f>
        <v>014712</v>
      </c>
      <c r="C1582" t="s">
        <v>5633</v>
      </c>
      <c r="D1582" t="s">
        <v>3400</v>
      </c>
      <c r="E1582" t="s">
        <v>3395</v>
      </c>
      <c r="F1582" t="s">
        <v>3396</v>
      </c>
      <c r="G1582" t="s">
        <v>600</v>
      </c>
      <c r="H1582" t="s">
        <v>5634</v>
      </c>
      <c r="I1582" t="s">
        <v>5635</v>
      </c>
      <c r="J1582" t="s">
        <v>1081</v>
      </c>
      <c r="K1582" t="s">
        <v>55</v>
      </c>
      <c r="L1582" t="s">
        <v>1082</v>
      </c>
      <c r="M1582" t="s">
        <v>57</v>
      </c>
      <c r="N1582" t="str">
        <f>"046979"</f>
        <v>046979</v>
      </c>
      <c r="O1582" t="s">
        <v>1587</v>
      </c>
      <c r="P1582" t="s">
        <v>68</v>
      </c>
      <c r="Q1582">
        <v>69.599999999999994</v>
      </c>
      <c r="R1582">
        <v>74.099999999999994</v>
      </c>
      <c r="S1582" t="s">
        <v>60</v>
      </c>
    </row>
    <row r="1583" spans="1:19" x14ac:dyDescent="0.35">
      <c r="A1583">
        <v>14720</v>
      </c>
      <c r="B1583" t="str">
        <f>"014720"</f>
        <v>014720</v>
      </c>
      <c r="C1583" t="s">
        <v>5636</v>
      </c>
      <c r="D1583" t="s">
        <v>3394</v>
      </c>
      <c r="E1583" t="s">
        <v>3395</v>
      </c>
      <c r="F1583" t="s">
        <v>3396</v>
      </c>
      <c r="G1583" t="s">
        <v>434</v>
      </c>
      <c r="H1583" t="s">
        <v>5637</v>
      </c>
      <c r="I1583" t="s">
        <v>5638</v>
      </c>
      <c r="J1583" t="s">
        <v>5639</v>
      </c>
      <c r="K1583" t="s">
        <v>55</v>
      </c>
      <c r="L1583" t="s">
        <v>5640</v>
      </c>
      <c r="M1583" t="s">
        <v>57</v>
      </c>
      <c r="N1583" t="str">
        <f>"049031"</f>
        <v>049031</v>
      </c>
      <c r="O1583" t="s">
        <v>1439</v>
      </c>
      <c r="P1583" t="s">
        <v>68</v>
      </c>
      <c r="Q1583">
        <v>42.7</v>
      </c>
      <c r="R1583">
        <v>7.0999999999999943</v>
      </c>
      <c r="S1583" t="s">
        <v>156</v>
      </c>
    </row>
    <row r="1584" spans="1:19" x14ac:dyDescent="0.35">
      <c r="A1584">
        <v>14787</v>
      </c>
      <c r="B1584" t="str">
        <f>"014787"</f>
        <v>014787</v>
      </c>
      <c r="C1584" t="s">
        <v>5641</v>
      </c>
      <c r="D1584" t="s">
        <v>3394</v>
      </c>
      <c r="E1584" t="s">
        <v>3395</v>
      </c>
      <c r="F1584" t="s">
        <v>3396</v>
      </c>
      <c r="G1584" t="s">
        <v>511</v>
      </c>
      <c r="H1584" t="s">
        <v>5642</v>
      </c>
      <c r="I1584" t="s">
        <v>5643</v>
      </c>
      <c r="J1584" t="s">
        <v>1049</v>
      </c>
      <c r="K1584" t="s">
        <v>55</v>
      </c>
      <c r="L1584" t="s">
        <v>2330</v>
      </c>
      <c r="M1584" t="s">
        <v>57</v>
      </c>
      <c r="N1584" t="str">
        <f>"045286"</f>
        <v>045286</v>
      </c>
      <c r="O1584" t="s">
        <v>2327</v>
      </c>
      <c r="P1584" t="s">
        <v>68</v>
      </c>
      <c r="Q1584">
        <v>3.7</v>
      </c>
      <c r="R1584">
        <v>9.2000000000000028</v>
      </c>
      <c r="S1584" t="s">
        <v>69</v>
      </c>
    </row>
    <row r="1585" spans="1:19" x14ac:dyDescent="0.35">
      <c r="A1585">
        <v>14795</v>
      </c>
      <c r="B1585" t="str">
        <f>"014795"</f>
        <v>014795</v>
      </c>
      <c r="C1585" t="s">
        <v>5644</v>
      </c>
      <c r="D1585" t="s">
        <v>3394</v>
      </c>
      <c r="E1585" t="s">
        <v>3395</v>
      </c>
      <c r="F1585" t="s">
        <v>3396</v>
      </c>
      <c r="G1585" t="s">
        <v>169</v>
      </c>
      <c r="H1585" t="s">
        <v>1538</v>
      </c>
      <c r="I1585" t="s">
        <v>1539</v>
      </c>
      <c r="J1585" t="s">
        <v>1540</v>
      </c>
      <c r="K1585" t="s">
        <v>55</v>
      </c>
      <c r="L1585" t="s">
        <v>1541</v>
      </c>
      <c r="M1585" t="s">
        <v>57</v>
      </c>
      <c r="N1585" t="str">
        <f>"050179"</f>
        <v>050179</v>
      </c>
      <c r="O1585" t="s">
        <v>1537</v>
      </c>
      <c r="P1585" t="s">
        <v>68</v>
      </c>
      <c r="Q1585">
        <v>46.5</v>
      </c>
      <c r="R1585">
        <v>5.4000000000000057</v>
      </c>
      <c r="S1585" t="s">
        <v>77</v>
      </c>
    </row>
    <row r="1586" spans="1:19" x14ac:dyDescent="0.35">
      <c r="A1586">
        <v>14803</v>
      </c>
      <c r="B1586" t="str">
        <f>"014803"</f>
        <v>014803</v>
      </c>
      <c r="C1586" t="s">
        <v>5645</v>
      </c>
      <c r="D1586" t="s">
        <v>3400</v>
      </c>
      <c r="E1586" t="s">
        <v>3395</v>
      </c>
      <c r="F1586" t="s">
        <v>3396</v>
      </c>
      <c r="G1586" t="s">
        <v>169</v>
      </c>
      <c r="H1586" t="s">
        <v>1736</v>
      </c>
      <c r="I1586" t="s">
        <v>1737</v>
      </c>
      <c r="J1586" t="s">
        <v>1215</v>
      </c>
      <c r="K1586" t="s">
        <v>55</v>
      </c>
      <c r="L1586" t="s">
        <v>1738</v>
      </c>
      <c r="M1586" t="s">
        <v>57</v>
      </c>
      <c r="N1586" t="str">
        <f>"050195"</f>
        <v>050195</v>
      </c>
      <c r="O1586" t="s">
        <v>1735</v>
      </c>
      <c r="P1586" t="s">
        <v>68</v>
      </c>
      <c r="Q1586">
        <v>70.8</v>
      </c>
      <c r="R1586">
        <v>55.6</v>
      </c>
      <c r="S1586" t="s">
        <v>77</v>
      </c>
    </row>
    <row r="1587" spans="1:19" x14ac:dyDescent="0.35">
      <c r="A1587">
        <v>14845</v>
      </c>
      <c r="B1587" t="str">
        <f>"014845"</f>
        <v>014845</v>
      </c>
      <c r="C1587" t="s">
        <v>5646</v>
      </c>
      <c r="D1587" t="s">
        <v>3394</v>
      </c>
      <c r="E1587" t="s">
        <v>3395</v>
      </c>
      <c r="F1587" t="s">
        <v>3396</v>
      </c>
      <c r="G1587" t="s">
        <v>481</v>
      </c>
      <c r="H1587" t="s">
        <v>5647</v>
      </c>
      <c r="I1587" t="s">
        <v>5648</v>
      </c>
      <c r="J1587" t="s">
        <v>876</v>
      </c>
      <c r="K1587" t="s">
        <v>55</v>
      </c>
      <c r="L1587" t="s">
        <v>819</v>
      </c>
      <c r="M1587" t="s">
        <v>57</v>
      </c>
      <c r="N1587" t="str">
        <f>"047894"</f>
        <v>047894</v>
      </c>
      <c r="O1587" t="s">
        <v>287</v>
      </c>
      <c r="P1587" t="s">
        <v>68</v>
      </c>
      <c r="Q1587">
        <v>26.3</v>
      </c>
      <c r="R1587">
        <v>22.099999999999994</v>
      </c>
      <c r="S1587" t="s">
        <v>69</v>
      </c>
    </row>
    <row r="1588" spans="1:19" x14ac:dyDescent="0.35">
      <c r="A1588">
        <v>14878</v>
      </c>
      <c r="B1588" t="str">
        <f>"014878"</f>
        <v>014878</v>
      </c>
      <c r="C1588" t="s">
        <v>5649</v>
      </c>
      <c r="D1588" t="s">
        <v>3394</v>
      </c>
      <c r="E1588" t="s">
        <v>3395</v>
      </c>
      <c r="F1588" t="s">
        <v>3396</v>
      </c>
      <c r="G1588" t="s">
        <v>2992</v>
      </c>
      <c r="H1588" t="s">
        <v>5650</v>
      </c>
      <c r="I1588" t="s">
        <v>5651</v>
      </c>
      <c r="J1588" t="s">
        <v>5652</v>
      </c>
      <c r="K1588" t="s">
        <v>55</v>
      </c>
      <c r="L1588" t="s">
        <v>5653</v>
      </c>
      <c r="M1588" t="s">
        <v>57</v>
      </c>
      <c r="N1588" t="str">
        <f>"050393"</f>
        <v>050393</v>
      </c>
      <c r="O1588" t="s">
        <v>2991</v>
      </c>
      <c r="P1588" t="s">
        <v>68</v>
      </c>
      <c r="Q1588">
        <v>100</v>
      </c>
      <c r="R1588">
        <v>0</v>
      </c>
      <c r="S1588" t="s">
        <v>130</v>
      </c>
    </row>
    <row r="1589" spans="1:19" x14ac:dyDescent="0.35">
      <c r="A1589">
        <v>14886</v>
      </c>
      <c r="B1589" t="str">
        <f>"014886"</f>
        <v>014886</v>
      </c>
      <c r="C1589" t="s">
        <v>5654</v>
      </c>
      <c r="D1589" t="s">
        <v>3394</v>
      </c>
      <c r="E1589" t="s">
        <v>3395</v>
      </c>
      <c r="F1589" t="s">
        <v>3396</v>
      </c>
      <c r="G1589" t="s">
        <v>19</v>
      </c>
      <c r="H1589" t="s">
        <v>5655</v>
      </c>
      <c r="I1589" t="s">
        <v>5656</v>
      </c>
      <c r="J1589" t="s">
        <v>5657</v>
      </c>
      <c r="K1589" t="s">
        <v>55</v>
      </c>
      <c r="L1589" t="s">
        <v>5658</v>
      </c>
      <c r="M1589" t="s">
        <v>57</v>
      </c>
      <c r="N1589" t="str">
        <f>"046060"</f>
        <v>046060</v>
      </c>
      <c r="O1589" t="s">
        <v>560</v>
      </c>
      <c r="P1589" t="s">
        <v>68</v>
      </c>
      <c r="Q1589">
        <v>52</v>
      </c>
      <c r="R1589">
        <v>2.9000000000000057</v>
      </c>
      <c r="S1589" t="s">
        <v>217</v>
      </c>
    </row>
    <row r="1590" spans="1:19" x14ac:dyDescent="0.35">
      <c r="A1590">
        <v>14902</v>
      </c>
      <c r="B1590" t="str">
        <f>"014902"</f>
        <v>014902</v>
      </c>
      <c r="C1590" t="s">
        <v>5659</v>
      </c>
      <c r="D1590" t="s">
        <v>3394</v>
      </c>
      <c r="E1590" t="s">
        <v>3395</v>
      </c>
      <c r="F1590" t="s">
        <v>3396</v>
      </c>
      <c r="G1590" t="s">
        <v>600</v>
      </c>
      <c r="H1590" t="s">
        <v>5660</v>
      </c>
      <c r="I1590" t="s">
        <v>5661</v>
      </c>
      <c r="J1590" t="s">
        <v>1348</v>
      </c>
      <c r="K1590" t="s">
        <v>55</v>
      </c>
      <c r="L1590" t="s">
        <v>4840</v>
      </c>
      <c r="M1590" t="s">
        <v>57</v>
      </c>
      <c r="N1590" t="str">
        <f>"043802"</f>
        <v>043802</v>
      </c>
      <c r="O1590" t="s">
        <v>3171</v>
      </c>
      <c r="P1590" t="s">
        <v>68</v>
      </c>
      <c r="Q1590">
        <v>100</v>
      </c>
      <c r="R1590">
        <v>90.4</v>
      </c>
      <c r="S1590" t="s">
        <v>60</v>
      </c>
    </row>
    <row r="1591" spans="1:19" x14ac:dyDescent="0.35">
      <c r="A1591">
        <v>14910</v>
      </c>
      <c r="B1591" t="str">
        <f>"014910"</f>
        <v>014910</v>
      </c>
      <c r="C1591" t="s">
        <v>5280</v>
      </c>
      <c r="D1591" t="s">
        <v>3394</v>
      </c>
      <c r="E1591" t="s">
        <v>3395</v>
      </c>
      <c r="F1591" t="s">
        <v>3396</v>
      </c>
      <c r="G1591" t="s">
        <v>600</v>
      </c>
      <c r="H1591" t="s">
        <v>5662</v>
      </c>
      <c r="I1591" t="s">
        <v>5663</v>
      </c>
      <c r="J1591" t="s">
        <v>1348</v>
      </c>
      <c r="K1591" t="s">
        <v>55</v>
      </c>
      <c r="L1591" t="s">
        <v>2733</v>
      </c>
      <c r="M1591" t="s">
        <v>57</v>
      </c>
      <c r="N1591" t="str">
        <f>"046953"</f>
        <v>046953</v>
      </c>
      <c r="O1591" t="s">
        <v>2730</v>
      </c>
      <c r="P1591" t="s">
        <v>68</v>
      </c>
      <c r="Q1591">
        <v>64.3</v>
      </c>
      <c r="R1591">
        <v>35</v>
      </c>
      <c r="S1591" t="s">
        <v>60</v>
      </c>
    </row>
    <row r="1592" spans="1:19" x14ac:dyDescent="0.35">
      <c r="A1592">
        <v>14936</v>
      </c>
      <c r="B1592" t="str">
        <f>"014936"</f>
        <v>014936</v>
      </c>
      <c r="C1592" t="s">
        <v>5664</v>
      </c>
      <c r="D1592" t="s">
        <v>3394</v>
      </c>
      <c r="E1592" t="s">
        <v>3395</v>
      </c>
      <c r="F1592" t="s">
        <v>3396</v>
      </c>
      <c r="G1592" t="s">
        <v>200</v>
      </c>
      <c r="H1592" t="s">
        <v>5665</v>
      </c>
      <c r="I1592" t="s">
        <v>5666</v>
      </c>
      <c r="J1592" t="s">
        <v>304</v>
      </c>
      <c r="K1592" t="s">
        <v>55</v>
      </c>
      <c r="L1592" t="s">
        <v>4360</v>
      </c>
      <c r="M1592" t="s">
        <v>57</v>
      </c>
      <c r="N1592" t="str">
        <f>"044909"</f>
        <v>044909</v>
      </c>
      <c r="O1592" t="s">
        <v>3318</v>
      </c>
      <c r="P1592" t="s">
        <v>68</v>
      </c>
      <c r="Q1592">
        <v>93.8</v>
      </c>
      <c r="R1592">
        <v>90.3</v>
      </c>
      <c r="S1592" t="s">
        <v>156</v>
      </c>
    </row>
    <row r="1593" spans="1:19" x14ac:dyDescent="0.35">
      <c r="A1593">
        <v>14944</v>
      </c>
      <c r="B1593" t="str">
        <f>"014944"</f>
        <v>014944</v>
      </c>
      <c r="C1593" t="s">
        <v>5667</v>
      </c>
      <c r="D1593" t="s">
        <v>3398</v>
      </c>
      <c r="E1593" t="s">
        <v>3395</v>
      </c>
      <c r="F1593" t="s">
        <v>3396</v>
      </c>
      <c r="G1593" t="s">
        <v>600</v>
      </c>
      <c r="H1593" t="s">
        <v>5668</v>
      </c>
      <c r="I1593" t="s">
        <v>5669</v>
      </c>
      <c r="J1593" t="s">
        <v>1348</v>
      </c>
      <c r="K1593" t="s">
        <v>55</v>
      </c>
      <c r="L1593" t="s">
        <v>2733</v>
      </c>
      <c r="M1593" t="s">
        <v>57</v>
      </c>
      <c r="N1593" t="str">
        <f>"046953"</f>
        <v>046953</v>
      </c>
      <c r="O1593" t="s">
        <v>2730</v>
      </c>
      <c r="P1593" t="s">
        <v>68</v>
      </c>
      <c r="Q1593">
        <v>56.3</v>
      </c>
      <c r="R1593">
        <v>28.5</v>
      </c>
      <c r="S1593" t="s">
        <v>60</v>
      </c>
    </row>
    <row r="1594" spans="1:19" x14ac:dyDescent="0.35">
      <c r="A1594">
        <v>15032</v>
      </c>
      <c r="B1594" t="str">
        <f>"015032"</f>
        <v>015032</v>
      </c>
      <c r="C1594" t="s">
        <v>5670</v>
      </c>
      <c r="D1594" t="s">
        <v>3394</v>
      </c>
      <c r="E1594" t="s">
        <v>3395</v>
      </c>
      <c r="F1594" t="s">
        <v>3396</v>
      </c>
      <c r="G1594" t="s">
        <v>600</v>
      </c>
      <c r="H1594" t="s">
        <v>5671</v>
      </c>
      <c r="I1594" t="s">
        <v>5672</v>
      </c>
      <c r="J1594" t="s">
        <v>2690</v>
      </c>
      <c r="K1594" t="s">
        <v>55</v>
      </c>
      <c r="L1594" t="s">
        <v>2691</v>
      </c>
      <c r="M1594" t="s">
        <v>57</v>
      </c>
      <c r="N1594" t="str">
        <f>"045047"</f>
        <v>045047</v>
      </c>
      <c r="O1594" t="s">
        <v>2687</v>
      </c>
      <c r="P1594" t="s">
        <v>68</v>
      </c>
      <c r="Q1594">
        <v>18</v>
      </c>
      <c r="R1594">
        <v>31</v>
      </c>
      <c r="S1594" t="s">
        <v>60</v>
      </c>
    </row>
    <row r="1595" spans="1:19" x14ac:dyDescent="0.35">
      <c r="A1595">
        <v>15040</v>
      </c>
      <c r="B1595" t="str">
        <f>"015040"</f>
        <v>015040</v>
      </c>
      <c r="C1595" t="s">
        <v>5673</v>
      </c>
      <c r="D1595" t="s">
        <v>3394</v>
      </c>
      <c r="E1595" t="s">
        <v>3395</v>
      </c>
      <c r="F1595" t="s">
        <v>3396</v>
      </c>
      <c r="G1595" t="s">
        <v>759</v>
      </c>
      <c r="H1595" t="s">
        <v>5674</v>
      </c>
      <c r="I1595" t="s">
        <v>5675</v>
      </c>
      <c r="J1595" t="s">
        <v>400</v>
      </c>
      <c r="K1595" t="s">
        <v>55</v>
      </c>
      <c r="L1595" t="s">
        <v>762</v>
      </c>
      <c r="M1595" t="s">
        <v>57</v>
      </c>
      <c r="N1595" t="str">
        <f>"044743"</f>
        <v>044743</v>
      </c>
      <c r="O1595" t="s">
        <v>2663</v>
      </c>
      <c r="P1595" t="s">
        <v>68</v>
      </c>
      <c r="Q1595">
        <v>100</v>
      </c>
      <c r="R1595">
        <v>63.9</v>
      </c>
      <c r="S1595" t="s">
        <v>69</v>
      </c>
    </row>
    <row r="1596" spans="1:19" x14ac:dyDescent="0.35">
      <c r="A1596">
        <v>15073</v>
      </c>
      <c r="B1596" t="str">
        <f>"015073"</f>
        <v>015073</v>
      </c>
      <c r="C1596" t="s">
        <v>5676</v>
      </c>
      <c r="D1596" t="s">
        <v>3394</v>
      </c>
      <c r="E1596" t="s">
        <v>3395</v>
      </c>
      <c r="F1596" t="s">
        <v>3396</v>
      </c>
      <c r="G1596" t="s">
        <v>63</v>
      </c>
      <c r="H1596" t="s">
        <v>5677</v>
      </c>
      <c r="I1596" t="s">
        <v>5678</v>
      </c>
      <c r="J1596" t="s">
        <v>285</v>
      </c>
      <c r="K1596" t="s">
        <v>55</v>
      </c>
      <c r="L1596" t="s">
        <v>4491</v>
      </c>
      <c r="M1596" t="s">
        <v>57</v>
      </c>
      <c r="N1596" t="str">
        <f>"043786"</f>
        <v>043786</v>
      </c>
      <c r="O1596" t="s">
        <v>1340</v>
      </c>
      <c r="P1596" t="s">
        <v>68</v>
      </c>
      <c r="Q1596">
        <v>100</v>
      </c>
      <c r="R1596">
        <v>100</v>
      </c>
      <c r="S1596" t="s">
        <v>69</v>
      </c>
    </row>
    <row r="1597" spans="1:19" x14ac:dyDescent="0.35">
      <c r="A1597">
        <v>15081</v>
      </c>
      <c r="B1597" t="str">
        <f>"015081"</f>
        <v>015081</v>
      </c>
      <c r="C1597" t="s">
        <v>5679</v>
      </c>
      <c r="D1597" t="s">
        <v>3394</v>
      </c>
      <c r="E1597" t="s">
        <v>3395</v>
      </c>
      <c r="F1597" t="s">
        <v>3396</v>
      </c>
      <c r="G1597" t="s">
        <v>861</v>
      </c>
      <c r="H1597" t="s">
        <v>5680</v>
      </c>
      <c r="I1597" t="s">
        <v>5681</v>
      </c>
      <c r="J1597" t="s">
        <v>5682</v>
      </c>
      <c r="K1597" t="s">
        <v>55</v>
      </c>
      <c r="L1597" t="s">
        <v>5683</v>
      </c>
      <c r="M1597" t="s">
        <v>57</v>
      </c>
      <c r="N1597" t="str">
        <f>"065680"</f>
        <v>065680</v>
      </c>
      <c r="O1597" t="s">
        <v>1755</v>
      </c>
      <c r="P1597" t="s">
        <v>68</v>
      </c>
      <c r="Q1597">
        <v>100</v>
      </c>
      <c r="R1597">
        <v>2</v>
      </c>
      <c r="S1597" t="s">
        <v>130</v>
      </c>
    </row>
    <row r="1598" spans="1:19" x14ac:dyDescent="0.35">
      <c r="A1598">
        <v>15099</v>
      </c>
      <c r="B1598" t="str">
        <f>"015099"</f>
        <v>015099</v>
      </c>
      <c r="C1598" t="s">
        <v>5684</v>
      </c>
      <c r="D1598" t="s">
        <v>3398</v>
      </c>
      <c r="E1598" t="s">
        <v>3395</v>
      </c>
      <c r="F1598" t="s">
        <v>3396</v>
      </c>
      <c r="G1598" t="s">
        <v>861</v>
      </c>
      <c r="H1598" t="s">
        <v>5685</v>
      </c>
      <c r="I1598" t="s">
        <v>5686</v>
      </c>
      <c r="J1598" t="s">
        <v>5682</v>
      </c>
      <c r="K1598" t="s">
        <v>55</v>
      </c>
      <c r="L1598" t="s">
        <v>5683</v>
      </c>
      <c r="M1598" t="s">
        <v>57</v>
      </c>
      <c r="N1598" t="str">
        <f>"065680"</f>
        <v>065680</v>
      </c>
      <c r="O1598" t="s">
        <v>1755</v>
      </c>
      <c r="P1598" t="s">
        <v>68</v>
      </c>
      <c r="Q1598">
        <v>100</v>
      </c>
      <c r="R1598">
        <v>1.5</v>
      </c>
      <c r="S1598" t="s">
        <v>130</v>
      </c>
    </row>
    <row r="1599" spans="1:19" x14ac:dyDescent="0.35">
      <c r="A1599">
        <v>15107</v>
      </c>
      <c r="B1599" t="str">
        <f>"015107"</f>
        <v>015107</v>
      </c>
      <c r="C1599" t="s">
        <v>5687</v>
      </c>
      <c r="D1599" t="s">
        <v>3394</v>
      </c>
      <c r="E1599" t="s">
        <v>3395</v>
      </c>
      <c r="F1599" t="s">
        <v>3396</v>
      </c>
      <c r="G1599" t="s">
        <v>1239</v>
      </c>
      <c r="H1599" t="s">
        <v>5688</v>
      </c>
      <c r="I1599" t="s">
        <v>5689</v>
      </c>
      <c r="J1599" t="s">
        <v>5690</v>
      </c>
      <c r="K1599" t="s">
        <v>55</v>
      </c>
      <c r="L1599" t="s">
        <v>5691</v>
      </c>
      <c r="M1599" t="s">
        <v>57</v>
      </c>
      <c r="N1599" t="str">
        <f>"048652"</f>
        <v>048652</v>
      </c>
      <c r="O1599" t="s">
        <v>2757</v>
      </c>
      <c r="P1599" t="s">
        <v>68</v>
      </c>
      <c r="Q1599">
        <v>40.4</v>
      </c>
      <c r="R1599">
        <v>2.7000000000000028</v>
      </c>
      <c r="S1599" t="s">
        <v>130</v>
      </c>
    </row>
    <row r="1600" spans="1:19" x14ac:dyDescent="0.35">
      <c r="A1600">
        <v>15123</v>
      </c>
      <c r="B1600" t="str">
        <f>"015123"</f>
        <v>015123</v>
      </c>
      <c r="C1600" t="s">
        <v>5692</v>
      </c>
      <c r="D1600" t="s">
        <v>3394</v>
      </c>
      <c r="E1600" t="s">
        <v>3395</v>
      </c>
      <c r="F1600" t="s">
        <v>3396</v>
      </c>
      <c r="G1600" t="s">
        <v>117</v>
      </c>
      <c r="H1600" t="s">
        <v>5693</v>
      </c>
      <c r="I1600" t="s">
        <v>5694</v>
      </c>
      <c r="J1600" t="s">
        <v>1409</v>
      </c>
      <c r="K1600" t="s">
        <v>55</v>
      </c>
      <c r="L1600" t="s">
        <v>3640</v>
      </c>
      <c r="M1600" t="s">
        <v>57</v>
      </c>
      <c r="N1600" t="str">
        <f>"043711"</f>
        <v>043711</v>
      </c>
      <c r="O1600" t="s">
        <v>3000</v>
      </c>
      <c r="P1600" t="s">
        <v>68</v>
      </c>
      <c r="Q1600">
        <v>100</v>
      </c>
      <c r="R1600">
        <v>63.9</v>
      </c>
      <c r="S1600" t="s">
        <v>77</v>
      </c>
    </row>
    <row r="1601" spans="1:19" x14ac:dyDescent="0.35">
      <c r="A1601">
        <v>15131</v>
      </c>
      <c r="B1601" t="str">
        <f>"015131"</f>
        <v>015131</v>
      </c>
      <c r="C1601" t="s">
        <v>5695</v>
      </c>
      <c r="D1601" t="s">
        <v>3394</v>
      </c>
      <c r="E1601" t="s">
        <v>3395</v>
      </c>
      <c r="F1601" t="s">
        <v>3396</v>
      </c>
      <c r="G1601" t="s">
        <v>878</v>
      </c>
      <c r="H1601" t="s">
        <v>5696</v>
      </c>
      <c r="I1601" t="s">
        <v>5697</v>
      </c>
      <c r="J1601" t="s">
        <v>2521</v>
      </c>
      <c r="K1601" t="s">
        <v>55</v>
      </c>
      <c r="L1601" t="s">
        <v>2522</v>
      </c>
      <c r="M1601" t="s">
        <v>57</v>
      </c>
      <c r="N1601" t="str">
        <f>"044172"</f>
        <v>044172</v>
      </c>
      <c r="O1601" t="s">
        <v>2518</v>
      </c>
      <c r="P1601" t="s">
        <v>68</v>
      </c>
      <c r="Q1601">
        <v>57.1</v>
      </c>
      <c r="R1601">
        <v>9.2000000000000028</v>
      </c>
      <c r="S1601" t="s">
        <v>156</v>
      </c>
    </row>
    <row r="1602" spans="1:19" x14ac:dyDescent="0.35">
      <c r="A1602">
        <v>15149</v>
      </c>
      <c r="B1602" t="str">
        <f>"015149"</f>
        <v>015149</v>
      </c>
      <c r="C1602" t="s">
        <v>5698</v>
      </c>
      <c r="D1602" t="s">
        <v>3394</v>
      </c>
      <c r="E1602" t="s">
        <v>3395</v>
      </c>
      <c r="F1602" t="s">
        <v>3396</v>
      </c>
      <c r="G1602" t="s">
        <v>572</v>
      </c>
      <c r="H1602" t="s">
        <v>1035</v>
      </c>
      <c r="I1602" t="s">
        <v>1036</v>
      </c>
      <c r="J1602" t="s">
        <v>1037</v>
      </c>
      <c r="K1602" t="s">
        <v>55</v>
      </c>
      <c r="L1602" t="s">
        <v>1038</v>
      </c>
      <c r="M1602" t="s">
        <v>57</v>
      </c>
      <c r="N1602" t="str">
        <f>"049791"</f>
        <v>049791</v>
      </c>
      <c r="O1602" t="s">
        <v>1034</v>
      </c>
      <c r="P1602" t="s">
        <v>68</v>
      </c>
      <c r="Q1602">
        <v>37.200000000000003</v>
      </c>
      <c r="R1602">
        <v>5.7999999999999972</v>
      </c>
      <c r="S1602" t="s">
        <v>180</v>
      </c>
    </row>
    <row r="1603" spans="1:19" x14ac:dyDescent="0.35">
      <c r="A1603">
        <v>15156</v>
      </c>
      <c r="B1603" t="str">
        <f>"015156"</f>
        <v>015156</v>
      </c>
      <c r="C1603" t="s">
        <v>5699</v>
      </c>
      <c r="D1603" t="s">
        <v>3398</v>
      </c>
      <c r="E1603" t="s">
        <v>3395</v>
      </c>
      <c r="F1603" t="s">
        <v>3396</v>
      </c>
      <c r="G1603" t="s">
        <v>572</v>
      </c>
      <c r="H1603" t="s">
        <v>1035</v>
      </c>
      <c r="I1603" t="s">
        <v>1036</v>
      </c>
      <c r="J1603" t="s">
        <v>1037</v>
      </c>
      <c r="K1603" t="s">
        <v>55</v>
      </c>
      <c r="L1603" t="s">
        <v>1038</v>
      </c>
      <c r="M1603" t="s">
        <v>57</v>
      </c>
      <c r="N1603" t="str">
        <f>"049791"</f>
        <v>049791</v>
      </c>
      <c r="O1603" t="s">
        <v>1034</v>
      </c>
      <c r="P1603" t="s">
        <v>68</v>
      </c>
      <c r="Q1603">
        <v>29.4</v>
      </c>
      <c r="R1603">
        <v>6.2000000000000028</v>
      </c>
      <c r="S1603" t="s">
        <v>180</v>
      </c>
    </row>
    <row r="1604" spans="1:19" x14ac:dyDescent="0.35">
      <c r="A1604">
        <v>15164</v>
      </c>
      <c r="B1604" t="str">
        <f>"015164"</f>
        <v>015164</v>
      </c>
      <c r="C1604" t="s">
        <v>5700</v>
      </c>
      <c r="D1604" t="s">
        <v>3394</v>
      </c>
      <c r="E1604" t="s">
        <v>3395</v>
      </c>
      <c r="F1604" t="s">
        <v>3396</v>
      </c>
      <c r="G1604" t="s">
        <v>878</v>
      </c>
      <c r="H1604" t="s">
        <v>3121</v>
      </c>
      <c r="I1604" t="s">
        <v>3122</v>
      </c>
      <c r="J1604" t="s">
        <v>3123</v>
      </c>
      <c r="K1604" t="s">
        <v>55</v>
      </c>
      <c r="L1604" t="s">
        <v>3124</v>
      </c>
      <c r="M1604" t="s">
        <v>57</v>
      </c>
      <c r="N1604" t="str">
        <f>"047498"</f>
        <v>047498</v>
      </c>
      <c r="O1604" t="s">
        <v>3120</v>
      </c>
      <c r="P1604" t="s">
        <v>68</v>
      </c>
      <c r="Q1604">
        <v>49.3</v>
      </c>
      <c r="R1604">
        <v>7</v>
      </c>
      <c r="S1604" t="s">
        <v>156</v>
      </c>
    </row>
    <row r="1605" spans="1:19" x14ac:dyDescent="0.35">
      <c r="A1605">
        <v>15172</v>
      </c>
      <c r="B1605" t="str">
        <f>"015172"</f>
        <v>015172</v>
      </c>
      <c r="C1605" t="s">
        <v>5701</v>
      </c>
      <c r="D1605" t="s">
        <v>3398</v>
      </c>
      <c r="E1605" t="s">
        <v>3395</v>
      </c>
      <c r="F1605" t="s">
        <v>3396</v>
      </c>
      <c r="G1605" t="s">
        <v>878</v>
      </c>
      <c r="H1605" t="s">
        <v>3121</v>
      </c>
      <c r="I1605" t="s">
        <v>3122</v>
      </c>
      <c r="J1605" t="s">
        <v>3123</v>
      </c>
      <c r="K1605" t="s">
        <v>55</v>
      </c>
      <c r="L1605" t="s">
        <v>3124</v>
      </c>
      <c r="M1605" t="s">
        <v>57</v>
      </c>
      <c r="N1605" t="str">
        <f>"047498"</f>
        <v>047498</v>
      </c>
      <c r="O1605" t="s">
        <v>3120</v>
      </c>
      <c r="P1605" t="s">
        <v>68</v>
      </c>
      <c r="Q1605">
        <v>28</v>
      </c>
      <c r="R1605">
        <v>4.7999999999999972</v>
      </c>
      <c r="S1605" t="s">
        <v>156</v>
      </c>
    </row>
    <row r="1606" spans="1:19" x14ac:dyDescent="0.35">
      <c r="A1606">
        <v>15180</v>
      </c>
      <c r="B1606" t="str">
        <f>"015180"</f>
        <v>015180</v>
      </c>
      <c r="C1606" t="s">
        <v>5702</v>
      </c>
      <c r="D1606" t="s">
        <v>3400</v>
      </c>
      <c r="E1606" t="s">
        <v>3395</v>
      </c>
      <c r="F1606" t="s">
        <v>3396</v>
      </c>
      <c r="G1606" t="s">
        <v>135</v>
      </c>
      <c r="H1606" t="s">
        <v>5703</v>
      </c>
      <c r="I1606" t="s">
        <v>5704</v>
      </c>
      <c r="J1606" t="s">
        <v>279</v>
      </c>
      <c r="K1606" t="s">
        <v>55</v>
      </c>
      <c r="L1606" t="s">
        <v>280</v>
      </c>
      <c r="M1606" t="s">
        <v>57</v>
      </c>
      <c r="N1606" t="str">
        <f>"044826"</f>
        <v>044826</v>
      </c>
      <c r="O1606" t="s">
        <v>276</v>
      </c>
      <c r="P1606" t="s">
        <v>68</v>
      </c>
      <c r="Q1606">
        <v>99.2</v>
      </c>
      <c r="R1606">
        <v>44.7</v>
      </c>
      <c r="S1606" t="s">
        <v>130</v>
      </c>
    </row>
    <row r="1607" spans="1:19" x14ac:dyDescent="0.35">
      <c r="A1607">
        <v>15198</v>
      </c>
      <c r="B1607" t="str">
        <f>"015198"</f>
        <v>015198</v>
      </c>
      <c r="C1607" t="s">
        <v>5705</v>
      </c>
      <c r="D1607" t="s">
        <v>3394</v>
      </c>
      <c r="E1607" t="s">
        <v>3395</v>
      </c>
      <c r="F1607" t="s">
        <v>3396</v>
      </c>
      <c r="G1607" t="s">
        <v>219</v>
      </c>
      <c r="H1607" t="s">
        <v>5706</v>
      </c>
      <c r="I1607" t="s">
        <v>5707</v>
      </c>
      <c r="J1607" t="s">
        <v>5708</v>
      </c>
      <c r="K1607" t="s">
        <v>55</v>
      </c>
      <c r="L1607" t="s">
        <v>223</v>
      </c>
      <c r="M1607" t="s">
        <v>57</v>
      </c>
      <c r="N1607" t="str">
        <f>"044669"</f>
        <v>044669</v>
      </c>
      <c r="O1607" t="s">
        <v>3263</v>
      </c>
      <c r="P1607" t="s">
        <v>68</v>
      </c>
      <c r="Q1607">
        <v>100</v>
      </c>
      <c r="R1607">
        <v>14.900000000000006</v>
      </c>
      <c r="S1607" t="s">
        <v>130</v>
      </c>
    </row>
    <row r="1608" spans="1:19" x14ac:dyDescent="0.35">
      <c r="A1608">
        <v>15206</v>
      </c>
      <c r="B1608" t="str">
        <f>"015206"</f>
        <v>015206</v>
      </c>
      <c r="C1608" t="s">
        <v>5709</v>
      </c>
      <c r="D1608" t="s">
        <v>3394</v>
      </c>
      <c r="E1608" t="s">
        <v>3395</v>
      </c>
      <c r="F1608" t="s">
        <v>3396</v>
      </c>
      <c r="G1608" t="s">
        <v>383</v>
      </c>
      <c r="H1608" t="s">
        <v>5710</v>
      </c>
      <c r="I1608" t="s">
        <v>5711</v>
      </c>
      <c r="J1608" t="s">
        <v>1215</v>
      </c>
      <c r="K1608" t="s">
        <v>55</v>
      </c>
      <c r="L1608" t="s">
        <v>5712</v>
      </c>
      <c r="M1608" t="s">
        <v>57</v>
      </c>
      <c r="N1608" t="str">
        <f>"045161"</f>
        <v>045161</v>
      </c>
      <c r="O1608" t="s">
        <v>1212</v>
      </c>
      <c r="P1608" t="s">
        <v>68</v>
      </c>
      <c r="Q1608">
        <v>100</v>
      </c>
      <c r="R1608">
        <v>90.8</v>
      </c>
      <c r="S1608" t="s">
        <v>77</v>
      </c>
    </row>
    <row r="1609" spans="1:19" x14ac:dyDescent="0.35">
      <c r="A1609">
        <v>15214</v>
      </c>
      <c r="B1609" t="str">
        <f>"015214"</f>
        <v>015214</v>
      </c>
      <c r="C1609" t="s">
        <v>5713</v>
      </c>
      <c r="D1609" t="s">
        <v>3398</v>
      </c>
      <c r="E1609" t="s">
        <v>3395</v>
      </c>
      <c r="F1609" t="s">
        <v>3396</v>
      </c>
      <c r="G1609" t="s">
        <v>312</v>
      </c>
      <c r="H1609" t="s">
        <v>5714</v>
      </c>
      <c r="I1609" t="s">
        <v>5715</v>
      </c>
      <c r="J1609" t="s">
        <v>312</v>
      </c>
      <c r="K1609" t="s">
        <v>55</v>
      </c>
      <c r="L1609" t="s">
        <v>315</v>
      </c>
      <c r="M1609" t="s">
        <v>57</v>
      </c>
      <c r="N1609" t="str">
        <f>"044339"</f>
        <v>044339</v>
      </c>
      <c r="O1609" t="s">
        <v>2453</v>
      </c>
      <c r="P1609" t="s">
        <v>68</v>
      </c>
      <c r="Q1609">
        <v>100</v>
      </c>
      <c r="R1609">
        <v>31.5</v>
      </c>
      <c r="S1609" t="s">
        <v>156</v>
      </c>
    </row>
    <row r="1610" spans="1:19" x14ac:dyDescent="0.35">
      <c r="A1610">
        <v>15222</v>
      </c>
      <c r="B1610" t="str">
        <f>"015222"</f>
        <v>015222</v>
      </c>
      <c r="C1610" t="s">
        <v>5716</v>
      </c>
      <c r="D1610" t="s">
        <v>3398</v>
      </c>
      <c r="E1610" t="s">
        <v>3395</v>
      </c>
      <c r="F1610" t="s">
        <v>3396</v>
      </c>
      <c r="G1610" t="s">
        <v>169</v>
      </c>
      <c r="H1610" t="s">
        <v>5717</v>
      </c>
      <c r="I1610" t="s">
        <v>5718</v>
      </c>
      <c r="J1610" t="s">
        <v>172</v>
      </c>
      <c r="K1610" t="s">
        <v>55</v>
      </c>
      <c r="L1610" t="s">
        <v>173</v>
      </c>
      <c r="M1610" t="s">
        <v>57</v>
      </c>
      <c r="N1610" t="str">
        <f>"044990"</f>
        <v>044990</v>
      </c>
      <c r="O1610" t="s">
        <v>692</v>
      </c>
      <c r="P1610" t="s">
        <v>68</v>
      </c>
      <c r="Q1610">
        <v>99.6</v>
      </c>
      <c r="R1610">
        <v>57.2</v>
      </c>
      <c r="S1610" t="s">
        <v>77</v>
      </c>
    </row>
    <row r="1611" spans="1:19" x14ac:dyDescent="0.35">
      <c r="A1611">
        <v>15289</v>
      </c>
      <c r="B1611" t="str">
        <f>"015289"</f>
        <v>015289</v>
      </c>
      <c r="C1611" t="s">
        <v>5719</v>
      </c>
      <c r="D1611" t="s">
        <v>3394</v>
      </c>
      <c r="E1611" t="s">
        <v>3395</v>
      </c>
      <c r="F1611" t="s">
        <v>3396</v>
      </c>
      <c r="G1611" t="s">
        <v>543</v>
      </c>
      <c r="H1611" t="s">
        <v>5720</v>
      </c>
      <c r="I1611" t="s">
        <v>5721</v>
      </c>
      <c r="J1611" t="s">
        <v>687</v>
      </c>
      <c r="K1611" t="s">
        <v>55</v>
      </c>
      <c r="L1611" t="s">
        <v>2846</v>
      </c>
      <c r="M1611" t="s">
        <v>57</v>
      </c>
      <c r="N1611" t="str">
        <f>"044586"</f>
        <v>044586</v>
      </c>
      <c r="O1611" t="s">
        <v>1367</v>
      </c>
      <c r="P1611" t="s">
        <v>68</v>
      </c>
      <c r="Q1611">
        <v>0</v>
      </c>
      <c r="R1611">
        <v>16.900000000000006</v>
      </c>
      <c r="S1611" t="s">
        <v>180</v>
      </c>
    </row>
    <row r="1612" spans="1:19" x14ac:dyDescent="0.35">
      <c r="A1612">
        <v>15297</v>
      </c>
      <c r="B1612" t="str">
        <f>"015297"</f>
        <v>015297</v>
      </c>
      <c r="C1612" t="s">
        <v>5722</v>
      </c>
      <c r="D1612" t="s">
        <v>3394</v>
      </c>
      <c r="E1612" t="s">
        <v>3395</v>
      </c>
      <c r="F1612" t="s">
        <v>3396</v>
      </c>
      <c r="G1612" t="s">
        <v>124</v>
      </c>
      <c r="H1612" t="s">
        <v>5723</v>
      </c>
      <c r="I1612" t="s">
        <v>5724</v>
      </c>
      <c r="J1612" t="s">
        <v>586</v>
      </c>
      <c r="K1612" t="s">
        <v>55</v>
      </c>
      <c r="L1612" t="s">
        <v>587</v>
      </c>
      <c r="M1612" t="s">
        <v>57</v>
      </c>
      <c r="N1612" t="str">
        <f>"044321"</f>
        <v>044321</v>
      </c>
      <c r="O1612" t="s">
        <v>583</v>
      </c>
      <c r="P1612" t="s">
        <v>68</v>
      </c>
      <c r="Q1612">
        <v>61.2</v>
      </c>
      <c r="R1612">
        <v>8.7999999999999972</v>
      </c>
      <c r="S1612" t="s">
        <v>130</v>
      </c>
    </row>
    <row r="1613" spans="1:19" x14ac:dyDescent="0.35">
      <c r="A1613">
        <v>15313</v>
      </c>
      <c r="B1613" t="str">
        <f>"015313"</f>
        <v>015313</v>
      </c>
      <c r="C1613" t="s">
        <v>5725</v>
      </c>
      <c r="D1613" t="s">
        <v>3394</v>
      </c>
      <c r="E1613" t="s">
        <v>3395</v>
      </c>
      <c r="F1613" t="s">
        <v>3396</v>
      </c>
      <c r="G1613" t="s">
        <v>295</v>
      </c>
      <c r="H1613" t="s">
        <v>5726</v>
      </c>
      <c r="I1613" t="s">
        <v>5727</v>
      </c>
      <c r="J1613" t="s">
        <v>748</v>
      </c>
      <c r="K1613" t="s">
        <v>55</v>
      </c>
      <c r="L1613" t="s">
        <v>749</v>
      </c>
      <c r="M1613" t="s">
        <v>57</v>
      </c>
      <c r="N1613" t="str">
        <f>"049171"</f>
        <v>049171</v>
      </c>
      <c r="O1613" t="s">
        <v>745</v>
      </c>
      <c r="P1613" t="s">
        <v>68</v>
      </c>
      <c r="Q1613">
        <v>6.4</v>
      </c>
      <c r="R1613">
        <v>25.400000000000006</v>
      </c>
      <c r="S1613" t="s">
        <v>77</v>
      </c>
    </row>
    <row r="1614" spans="1:19" x14ac:dyDescent="0.35">
      <c r="A1614">
        <v>15347</v>
      </c>
      <c r="B1614" t="str">
        <f>"015347"</f>
        <v>015347</v>
      </c>
      <c r="C1614" t="s">
        <v>5728</v>
      </c>
      <c r="D1614" t="s">
        <v>3394</v>
      </c>
      <c r="E1614" t="s">
        <v>3395</v>
      </c>
      <c r="F1614" t="s">
        <v>3396</v>
      </c>
      <c r="G1614" t="s">
        <v>264</v>
      </c>
      <c r="H1614" t="s">
        <v>5729</v>
      </c>
      <c r="I1614" t="s">
        <v>5730</v>
      </c>
      <c r="J1614" t="s">
        <v>267</v>
      </c>
      <c r="K1614" t="s">
        <v>55</v>
      </c>
      <c r="L1614" t="s">
        <v>5205</v>
      </c>
      <c r="M1614" t="s">
        <v>57</v>
      </c>
      <c r="N1614" t="str">
        <f>"043489"</f>
        <v>043489</v>
      </c>
      <c r="O1614" t="s">
        <v>3176</v>
      </c>
      <c r="P1614" t="s">
        <v>68</v>
      </c>
      <c r="Q1614">
        <v>100</v>
      </c>
      <c r="R1614">
        <v>87.6</v>
      </c>
      <c r="S1614" t="s">
        <v>77</v>
      </c>
    </row>
    <row r="1615" spans="1:19" x14ac:dyDescent="0.35">
      <c r="A1615">
        <v>15396</v>
      </c>
      <c r="B1615" t="str">
        <f>"015396"</f>
        <v>015396</v>
      </c>
      <c r="C1615" t="s">
        <v>5731</v>
      </c>
      <c r="D1615" t="s">
        <v>3394</v>
      </c>
      <c r="E1615" t="s">
        <v>3395</v>
      </c>
      <c r="F1615" t="s">
        <v>3396</v>
      </c>
      <c r="G1615" t="s">
        <v>212</v>
      </c>
      <c r="H1615" t="s">
        <v>5732</v>
      </c>
      <c r="I1615" t="s">
        <v>5733</v>
      </c>
      <c r="J1615" t="s">
        <v>1187</v>
      </c>
      <c r="K1615" t="s">
        <v>55</v>
      </c>
      <c r="L1615" t="s">
        <v>2134</v>
      </c>
      <c r="M1615" t="s">
        <v>57</v>
      </c>
      <c r="N1615" t="str">
        <f>"047381"</f>
        <v>047381</v>
      </c>
      <c r="O1615" t="s">
        <v>2131</v>
      </c>
      <c r="P1615" t="s">
        <v>68</v>
      </c>
      <c r="Q1615">
        <v>48.9</v>
      </c>
      <c r="R1615">
        <v>7.5</v>
      </c>
      <c r="S1615" t="s">
        <v>217</v>
      </c>
    </row>
    <row r="1616" spans="1:19" x14ac:dyDescent="0.35">
      <c r="A1616">
        <v>15404</v>
      </c>
      <c r="B1616" t="str">
        <f>"015404"</f>
        <v>015404</v>
      </c>
      <c r="C1616" t="s">
        <v>5646</v>
      </c>
      <c r="D1616" t="s">
        <v>3394</v>
      </c>
      <c r="E1616" t="s">
        <v>3395</v>
      </c>
      <c r="F1616" t="s">
        <v>3396</v>
      </c>
      <c r="G1616" t="s">
        <v>244</v>
      </c>
      <c r="H1616" t="s">
        <v>5734</v>
      </c>
      <c r="I1616" t="s">
        <v>5735</v>
      </c>
      <c r="J1616" t="s">
        <v>212</v>
      </c>
      <c r="K1616" t="s">
        <v>55</v>
      </c>
      <c r="L1616" t="s">
        <v>374</v>
      </c>
      <c r="M1616" t="s">
        <v>57</v>
      </c>
      <c r="N1616" t="str">
        <f>"044107"</f>
        <v>044107</v>
      </c>
      <c r="O1616" t="s">
        <v>971</v>
      </c>
      <c r="P1616" t="s">
        <v>68</v>
      </c>
      <c r="Q1616">
        <v>100</v>
      </c>
      <c r="R1616">
        <v>82.4</v>
      </c>
      <c r="S1616" t="s">
        <v>217</v>
      </c>
    </row>
    <row r="1617" spans="1:19" x14ac:dyDescent="0.35">
      <c r="A1617">
        <v>15461</v>
      </c>
      <c r="B1617" t="str">
        <f>"015461"</f>
        <v>015461</v>
      </c>
      <c r="C1617" t="s">
        <v>5736</v>
      </c>
      <c r="D1617" t="s">
        <v>3394</v>
      </c>
      <c r="E1617" t="s">
        <v>3395</v>
      </c>
      <c r="F1617" t="s">
        <v>3396</v>
      </c>
      <c r="G1617" t="s">
        <v>543</v>
      </c>
      <c r="H1617" t="s">
        <v>5737</v>
      </c>
      <c r="I1617" t="s">
        <v>5738</v>
      </c>
      <c r="J1617" t="s">
        <v>687</v>
      </c>
      <c r="K1617" t="s">
        <v>55</v>
      </c>
      <c r="L1617" t="s">
        <v>688</v>
      </c>
      <c r="M1617" t="s">
        <v>57</v>
      </c>
      <c r="N1617" t="str">
        <f>"048702"</f>
        <v>048702</v>
      </c>
      <c r="O1617" t="s">
        <v>866</v>
      </c>
      <c r="P1617" t="s">
        <v>68</v>
      </c>
      <c r="Q1617">
        <v>77.900000000000006</v>
      </c>
      <c r="R1617">
        <v>28</v>
      </c>
      <c r="S1617" t="s">
        <v>180</v>
      </c>
    </row>
    <row r="1618" spans="1:19" x14ac:dyDescent="0.35">
      <c r="A1618">
        <v>15495</v>
      </c>
      <c r="B1618" t="str">
        <f>"015495"</f>
        <v>015495</v>
      </c>
      <c r="C1618" t="s">
        <v>5739</v>
      </c>
      <c r="D1618" t="s">
        <v>3400</v>
      </c>
      <c r="E1618" t="s">
        <v>3395</v>
      </c>
      <c r="F1618" t="s">
        <v>3396</v>
      </c>
      <c r="G1618" t="s">
        <v>117</v>
      </c>
      <c r="H1618" t="s">
        <v>5740</v>
      </c>
      <c r="I1618" t="s">
        <v>5741</v>
      </c>
      <c r="J1618" t="s">
        <v>1409</v>
      </c>
      <c r="K1618" t="s">
        <v>55</v>
      </c>
      <c r="L1618" t="s">
        <v>1986</v>
      </c>
      <c r="M1618" t="s">
        <v>57</v>
      </c>
      <c r="N1618" t="str">
        <f>"043711"</f>
        <v>043711</v>
      </c>
      <c r="O1618" t="s">
        <v>3000</v>
      </c>
      <c r="P1618" t="s">
        <v>68</v>
      </c>
      <c r="Q1618">
        <v>100</v>
      </c>
      <c r="R1618">
        <v>68</v>
      </c>
      <c r="S1618" t="s">
        <v>77</v>
      </c>
    </row>
    <row r="1619" spans="1:19" x14ac:dyDescent="0.35">
      <c r="A1619">
        <v>15495</v>
      </c>
      <c r="B1619" t="str">
        <f>"015495"</f>
        <v>015495</v>
      </c>
      <c r="C1619" t="s">
        <v>5739</v>
      </c>
      <c r="D1619" t="s">
        <v>3929</v>
      </c>
      <c r="E1619" t="s">
        <v>3395</v>
      </c>
      <c r="F1619" t="s">
        <v>3396</v>
      </c>
      <c r="G1619" t="s">
        <v>117</v>
      </c>
      <c r="H1619" t="s">
        <v>5740</v>
      </c>
      <c r="I1619" t="s">
        <v>5741</v>
      </c>
      <c r="J1619" t="s">
        <v>1409</v>
      </c>
      <c r="K1619" t="s">
        <v>55</v>
      </c>
      <c r="L1619" t="s">
        <v>1986</v>
      </c>
      <c r="M1619" t="s">
        <v>57</v>
      </c>
      <c r="N1619" t="str">
        <f>"043711"</f>
        <v>043711</v>
      </c>
      <c r="O1619" t="s">
        <v>3000</v>
      </c>
      <c r="P1619" t="s">
        <v>68</v>
      </c>
      <c r="Q1619">
        <v>100</v>
      </c>
      <c r="R1619">
        <v>68</v>
      </c>
      <c r="S1619" t="s">
        <v>77</v>
      </c>
    </row>
    <row r="1620" spans="1:19" x14ac:dyDescent="0.35">
      <c r="A1620">
        <v>15529</v>
      </c>
      <c r="B1620" t="str">
        <f>"015529"</f>
        <v>015529</v>
      </c>
      <c r="C1620" t="s">
        <v>5742</v>
      </c>
      <c r="D1620" t="s">
        <v>3394</v>
      </c>
      <c r="E1620" t="s">
        <v>3395</v>
      </c>
      <c r="F1620" t="s">
        <v>3396</v>
      </c>
      <c r="G1620" t="s">
        <v>212</v>
      </c>
      <c r="H1620" t="s">
        <v>5743</v>
      </c>
      <c r="I1620" t="s">
        <v>5744</v>
      </c>
      <c r="J1620" t="s">
        <v>215</v>
      </c>
      <c r="K1620" t="s">
        <v>55</v>
      </c>
      <c r="L1620" t="s">
        <v>5034</v>
      </c>
      <c r="M1620" t="s">
        <v>57</v>
      </c>
      <c r="N1620" t="str">
        <f>"043752"</f>
        <v>043752</v>
      </c>
      <c r="O1620" t="s">
        <v>440</v>
      </c>
      <c r="P1620" t="s">
        <v>68</v>
      </c>
      <c r="Q1620">
        <v>99.8</v>
      </c>
      <c r="R1620">
        <v>85.8</v>
      </c>
      <c r="S1620" t="s">
        <v>217</v>
      </c>
    </row>
    <row r="1621" spans="1:19" x14ac:dyDescent="0.35">
      <c r="A1621">
        <v>15545</v>
      </c>
      <c r="B1621" t="str">
        <f>"015545"</f>
        <v>015545</v>
      </c>
      <c r="C1621" t="s">
        <v>5745</v>
      </c>
      <c r="D1621" t="s">
        <v>3394</v>
      </c>
      <c r="E1621" t="s">
        <v>3395</v>
      </c>
      <c r="F1621" t="s">
        <v>3396</v>
      </c>
      <c r="G1621" t="s">
        <v>200</v>
      </c>
      <c r="H1621" t="s">
        <v>5746</v>
      </c>
      <c r="I1621" t="s">
        <v>5747</v>
      </c>
      <c r="J1621" t="s">
        <v>304</v>
      </c>
      <c r="K1621" t="s">
        <v>55</v>
      </c>
      <c r="L1621" t="s">
        <v>3835</v>
      </c>
      <c r="M1621" t="s">
        <v>57</v>
      </c>
      <c r="N1621" t="str">
        <f>"044909"</f>
        <v>044909</v>
      </c>
      <c r="O1621" t="s">
        <v>3318</v>
      </c>
      <c r="P1621" t="s">
        <v>68</v>
      </c>
      <c r="Q1621">
        <v>95.8</v>
      </c>
      <c r="R1621">
        <v>56.8</v>
      </c>
      <c r="S1621" t="s">
        <v>156</v>
      </c>
    </row>
    <row r="1622" spans="1:19" x14ac:dyDescent="0.35">
      <c r="A1622">
        <v>15560</v>
      </c>
      <c r="B1622" t="str">
        <f>"015560"</f>
        <v>015560</v>
      </c>
      <c r="C1622" t="s">
        <v>5748</v>
      </c>
      <c r="D1622" t="s">
        <v>3398</v>
      </c>
      <c r="E1622" t="s">
        <v>3395</v>
      </c>
      <c r="F1622" t="s">
        <v>3396</v>
      </c>
      <c r="G1622" t="s">
        <v>481</v>
      </c>
      <c r="H1622" t="s">
        <v>5749</v>
      </c>
      <c r="I1622" t="s">
        <v>5750</v>
      </c>
      <c r="J1622" t="s">
        <v>876</v>
      </c>
      <c r="K1622" t="s">
        <v>55</v>
      </c>
      <c r="L1622" t="s">
        <v>819</v>
      </c>
      <c r="M1622" t="s">
        <v>57</v>
      </c>
      <c r="N1622" t="str">
        <f>"044628"</f>
        <v>044628</v>
      </c>
      <c r="O1622" t="s">
        <v>873</v>
      </c>
      <c r="P1622" t="s">
        <v>68</v>
      </c>
      <c r="Q1622">
        <v>95.1</v>
      </c>
      <c r="R1622">
        <v>81.5</v>
      </c>
      <c r="S1622" t="s">
        <v>69</v>
      </c>
    </row>
    <row r="1623" spans="1:19" x14ac:dyDescent="0.35">
      <c r="A1623">
        <v>15578</v>
      </c>
      <c r="B1623" t="str">
        <f>"015578"</f>
        <v>015578</v>
      </c>
      <c r="C1623" t="s">
        <v>5751</v>
      </c>
      <c r="D1623" t="s">
        <v>3394</v>
      </c>
      <c r="E1623" t="s">
        <v>3395</v>
      </c>
      <c r="F1623" t="s">
        <v>3396</v>
      </c>
      <c r="G1623" t="s">
        <v>63</v>
      </c>
      <c r="H1623" t="s">
        <v>5752</v>
      </c>
      <c r="I1623" t="s">
        <v>5753</v>
      </c>
      <c r="J1623" t="s">
        <v>285</v>
      </c>
      <c r="K1623" t="s">
        <v>55</v>
      </c>
      <c r="L1623" t="s">
        <v>102</v>
      </c>
      <c r="M1623" t="s">
        <v>57</v>
      </c>
      <c r="N1623" t="str">
        <f>"043786"</f>
        <v>043786</v>
      </c>
      <c r="O1623" t="s">
        <v>1340</v>
      </c>
      <c r="P1623" t="s">
        <v>68</v>
      </c>
      <c r="Q1623">
        <v>100</v>
      </c>
      <c r="R1623">
        <v>100</v>
      </c>
      <c r="S1623" t="s">
        <v>69</v>
      </c>
    </row>
    <row r="1624" spans="1:19" x14ac:dyDescent="0.35">
      <c r="A1624">
        <v>15602</v>
      </c>
      <c r="B1624" t="str">
        <f>"015602"</f>
        <v>015602</v>
      </c>
      <c r="C1624" t="s">
        <v>5754</v>
      </c>
      <c r="D1624" t="s">
        <v>3400</v>
      </c>
      <c r="E1624" t="s">
        <v>3395</v>
      </c>
      <c r="F1624" t="s">
        <v>3396</v>
      </c>
      <c r="G1624" t="s">
        <v>600</v>
      </c>
      <c r="H1624" t="s">
        <v>5755</v>
      </c>
      <c r="I1624" t="s">
        <v>5756</v>
      </c>
      <c r="J1624" t="s">
        <v>1017</v>
      </c>
      <c r="K1624" t="s">
        <v>55</v>
      </c>
      <c r="L1624" t="s">
        <v>5611</v>
      </c>
      <c r="M1624" t="s">
        <v>57</v>
      </c>
      <c r="N1624" t="str">
        <f>"044933"</f>
        <v>044933</v>
      </c>
      <c r="O1624" t="s">
        <v>1014</v>
      </c>
      <c r="P1624" t="s">
        <v>68</v>
      </c>
      <c r="Q1624">
        <v>5.0999999999999996</v>
      </c>
      <c r="R1624">
        <v>19.200000000000003</v>
      </c>
      <c r="S1624" t="s">
        <v>60</v>
      </c>
    </row>
    <row r="1625" spans="1:19" x14ac:dyDescent="0.35">
      <c r="A1625">
        <v>15610</v>
      </c>
      <c r="B1625" t="str">
        <f>"015610"</f>
        <v>015610</v>
      </c>
      <c r="C1625" t="s">
        <v>5757</v>
      </c>
      <c r="D1625" t="s">
        <v>3394</v>
      </c>
      <c r="E1625" t="s">
        <v>3395</v>
      </c>
      <c r="F1625" t="s">
        <v>3396</v>
      </c>
      <c r="G1625" t="s">
        <v>264</v>
      </c>
      <c r="H1625" t="s">
        <v>5758</v>
      </c>
      <c r="I1625" t="s">
        <v>5759</v>
      </c>
      <c r="J1625" t="s">
        <v>267</v>
      </c>
      <c r="K1625" t="s">
        <v>55</v>
      </c>
      <c r="L1625" t="s">
        <v>268</v>
      </c>
      <c r="M1625" t="s">
        <v>57</v>
      </c>
      <c r="N1625" t="str">
        <f>"043489"</f>
        <v>043489</v>
      </c>
      <c r="O1625" t="s">
        <v>3176</v>
      </c>
      <c r="P1625" t="s">
        <v>68</v>
      </c>
      <c r="Q1625">
        <v>100</v>
      </c>
      <c r="R1625">
        <v>45.2</v>
      </c>
      <c r="S1625" t="s">
        <v>77</v>
      </c>
    </row>
    <row r="1626" spans="1:19" x14ac:dyDescent="0.35">
      <c r="A1626">
        <v>15636</v>
      </c>
      <c r="B1626" t="str">
        <f>"015636"</f>
        <v>015636</v>
      </c>
      <c r="C1626" t="s">
        <v>5760</v>
      </c>
      <c r="D1626" t="s">
        <v>3394</v>
      </c>
      <c r="E1626" t="s">
        <v>3395</v>
      </c>
      <c r="F1626" t="s">
        <v>3396</v>
      </c>
      <c r="G1626" t="s">
        <v>200</v>
      </c>
      <c r="H1626" t="s">
        <v>5761</v>
      </c>
      <c r="I1626" t="s">
        <v>5762</v>
      </c>
      <c r="J1626" t="s">
        <v>304</v>
      </c>
      <c r="K1626" t="s">
        <v>55</v>
      </c>
      <c r="L1626" t="s">
        <v>5763</v>
      </c>
      <c r="M1626" t="s">
        <v>57</v>
      </c>
      <c r="N1626" t="str">
        <f>"044909"</f>
        <v>044909</v>
      </c>
      <c r="O1626" t="s">
        <v>3318</v>
      </c>
      <c r="P1626" t="s">
        <v>68</v>
      </c>
      <c r="Q1626">
        <v>100</v>
      </c>
      <c r="R1626">
        <v>67.599999999999994</v>
      </c>
      <c r="S1626" t="s">
        <v>156</v>
      </c>
    </row>
    <row r="1627" spans="1:19" x14ac:dyDescent="0.35">
      <c r="A1627">
        <v>15651</v>
      </c>
      <c r="B1627" t="str">
        <f>"015651"</f>
        <v>015651</v>
      </c>
      <c r="C1627" t="s">
        <v>5764</v>
      </c>
      <c r="D1627" t="s">
        <v>3394</v>
      </c>
      <c r="E1627" t="s">
        <v>3395</v>
      </c>
      <c r="F1627" t="s">
        <v>3396</v>
      </c>
      <c r="G1627" t="s">
        <v>600</v>
      </c>
      <c r="H1627" t="s">
        <v>5765</v>
      </c>
      <c r="I1627" t="s">
        <v>5766</v>
      </c>
      <c r="J1627" t="s">
        <v>1348</v>
      </c>
      <c r="K1627" t="s">
        <v>55</v>
      </c>
      <c r="L1627" t="s">
        <v>5767</v>
      </c>
      <c r="M1627" t="s">
        <v>57</v>
      </c>
      <c r="N1627" t="str">
        <f>"045047"</f>
        <v>045047</v>
      </c>
      <c r="O1627" t="s">
        <v>2687</v>
      </c>
      <c r="P1627" t="s">
        <v>68</v>
      </c>
      <c r="Q1627">
        <v>64.400000000000006</v>
      </c>
      <c r="R1627">
        <v>71.3</v>
      </c>
      <c r="S1627" t="s">
        <v>60</v>
      </c>
    </row>
    <row r="1628" spans="1:19" x14ac:dyDescent="0.35">
      <c r="A1628">
        <v>15719</v>
      </c>
      <c r="B1628" t="str">
        <f>"015719"</f>
        <v>015719</v>
      </c>
      <c r="C1628" t="s">
        <v>5768</v>
      </c>
      <c r="D1628" t="s">
        <v>3394</v>
      </c>
      <c r="E1628" t="s">
        <v>3395</v>
      </c>
      <c r="F1628" t="s">
        <v>3396</v>
      </c>
      <c r="G1628" t="s">
        <v>855</v>
      </c>
      <c r="H1628" t="s">
        <v>1814</v>
      </c>
      <c r="I1628" t="s">
        <v>1815</v>
      </c>
      <c r="J1628" t="s">
        <v>1816</v>
      </c>
      <c r="K1628" t="s">
        <v>55</v>
      </c>
      <c r="L1628" t="s">
        <v>1817</v>
      </c>
      <c r="M1628" t="s">
        <v>57</v>
      </c>
      <c r="N1628" t="str">
        <f>"045823"</f>
        <v>045823</v>
      </c>
      <c r="O1628" t="s">
        <v>1813</v>
      </c>
      <c r="P1628" t="s">
        <v>68</v>
      </c>
      <c r="Q1628">
        <v>33.299999999999997</v>
      </c>
      <c r="R1628">
        <v>3.2000000000000028</v>
      </c>
      <c r="S1628" t="s">
        <v>77</v>
      </c>
    </row>
    <row r="1629" spans="1:19" x14ac:dyDescent="0.35">
      <c r="A1629">
        <v>15735</v>
      </c>
      <c r="B1629" t="str">
        <f>"015735"</f>
        <v>015735</v>
      </c>
      <c r="C1629" t="s">
        <v>5769</v>
      </c>
      <c r="D1629" t="s">
        <v>3400</v>
      </c>
      <c r="E1629" t="s">
        <v>3395</v>
      </c>
      <c r="F1629" t="s">
        <v>3396</v>
      </c>
      <c r="G1629" t="s">
        <v>777</v>
      </c>
      <c r="H1629" t="s">
        <v>5770</v>
      </c>
      <c r="I1629" t="s">
        <v>5771</v>
      </c>
      <c r="J1629" t="s">
        <v>780</v>
      </c>
      <c r="K1629" t="s">
        <v>55</v>
      </c>
      <c r="L1629" t="s">
        <v>894</v>
      </c>
      <c r="M1629" t="s">
        <v>57</v>
      </c>
      <c r="N1629" t="str">
        <f>"044818"</f>
        <v>044818</v>
      </c>
      <c r="O1629" t="s">
        <v>2812</v>
      </c>
      <c r="P1629" t="s">
        <v>68</v>
      </c>
      <c r="Q1629">
        <v>100</v>
      </c>
      <c r="R1629">
        <v>72.5</v>
      </c>
      <c r="S1629" t="s">
        <v>180</v>
      </c>
    </row>
    <row r="1630" spans="1:19" x14ac:dyDescent="0.35">
      <c r="A1630">
        <v>15743</v>
      </c>
      <c r="B1630" t="str">
        <f>"015743"</f>
        <v>015743</v>
      </c>
      <c r="C1630" t="s">
        <v>5772</v>
      </c>
      <c r="D1630" t="s">
        <v>3394</v>
      </c>
      <c r="E1630" t="s">
        <v>3395</v>
      </c>
      <c r="F1630" t="s">
        <v>3396</v>
      </c>
      <c r="G1630" t="s">
        <v>187</v>
      </c>
      <c r="H1630" t="s">
        <v>5773</v>
      </c>
      <c r="I1630" t="s">
        <v>5774</v>
      </c>
      <c r="J1630" t="s">
        <v>190</v>
      </c>
      <c r="K1630" t="s">
        <v>55</v>
      </c>
      <c r="L1630" t="s">
        <v>191</v>
      </c>
      <c r="M1630" t="s">
        <v>57</v>
      </c>
      <c r="N1630" t="str">
        <f>"050534"</f>
        <v>050534</v>
      </c>
      <c r="O1630" t="s">
        <v>186</v>
      </c>
      <c r="P1630" t="s">
        <v>68</v>
      </c>
      <c r="Q1630">
        <v>29.4</v>
      </c>
      <c r="R1630">
        <v>5.2000000000000028</v>
      </c>
      <c r="S1630" t="s">
        <v>77</v>
      </c>
    </row>
    <row r="1631" spans="1:19" x14ac:dyDescent="0.35">
      <c r="A1631">
        <v>15792</v>
      </c>
      <c r="B1631" t="str">
        <f>"015792"</f>
        <v>015792</v>
      </c>
      <c r="C1631" t="s">
        <v>5775</v>
      </c>
      <c r="D1631" t="s">
        <v>3398</v>
      </c>
      <c r="E1631" t="s">
        <v>3395</v>
      </c>
      <c r="F1631" t="s">
        <v>3396</v>
      </c>
      <c r="G1631" t="s">
        <v>110</v>
      </c>
      <c r="H1631" t="s">
        <v>5776</v>
      </c>
      <c r="I1631" t="s">
        <v>5777</v>
      </c>
      <c r="J1631" t="s">
        <v>1945</v>
      </c>
      <c r="K1631" t="s">
        <v>55</v>
      </c>
      <c r="L1631" t="s">
        <v>1946</v>
      </c>
      <c r="M1631" t="s">
        <v>57</v>
      </c>
      <c r="N1631" t="str">
        <f>"044115"</f>
        <v>044115</v>
      </c>
      <c r="O1631" t="s">
        <v>1942</v>
      </c>
      <c r="P1631" t="s">
        <v>68</v>
      </c>
      <c r="Q1631">
        <v>36.799999999999997</v>
      </c>
      <c r="R1631">
        <v>14.900000000000006</v>
      </c>
      <c r="S1631" t="s">
        <v>60</v>
      </c>
    </row>
    <row r="1632" spans="1:19" x14ac:dyDescent="0.35">
      <c r="A1632">
        <v>15818</v>
      </c>
      <c r="B1632" t="str">
        <f>"015818"</f>
        <v>015818</v>
      </c>
      <c r="C1632" t="s">
        <v>5778</v>
      </c>
      <c r="D1632" t="s">
        <v>3394</v>
      </c>
      <c r="E1632" t="s">
        <v>3395</v>
      </c>
      <c r="F1632" t="s">
        <v>3396</v>
      </c>
      <c r="G1632" t="s">
        <v>212</v>
      </c>
      <c r="H1632" t="s">
        <v>5779</v>
      </c>
      <c r="I1632" t="s">
        <v>5780</v>
      </c>
      <c r="J1632" t="s">
        <v>215</v>
      </c>
      <c r="K1632" t="s">
        <v>55</v>
      </c>
      <c r="L1632" t="s">
        <v>5781</v>
      </c>
      <c r="M1632" t="s">
        <v>57</v>
      </c>
      <c r="N1632" t="str">
        <f>"043752"</f>
        <v>043752</v>
      </c>
      <c r="O1632" t="s">
        <v>440</v>
      </c>
      <c r="P1632" t="s">
        <v>68</v>
      </c>
      <c r="Q1632">
        <v>100</v>
      </c>
      <c r="R1632">
        <v>100</v>
      </c>
      <c r="S1632" t="s">
        <v>217</v>
      </c>
    </row>
    <row r="1633" spans="1:19" x14ac:dyDescent="0.35">
      <c r="A1633">
        <v>15826</v>
      </c>
      <c r="B1633" t="str">
        <f>"015826"</f>
        <v>015826</v>
      </c>
      <c r="C1633" t="s">
        <v>5782</v>
      </c>
      <c r="D1633" t="s">
        <v>3394</v>
      </c>
      <c r="E1633" t="s">
        <v>3395</v>
      </c>
      <c r="F1633" t="s">
        <v>3396</v>
      </c>
      <c r="G1633" t="s">
        <v>110</v>
      </c>
      <c r="H1633" t="s">
        <v>5783</v>
      </c>
      <c r="I1633" t="s">
        <v>5784</v>
      </c>
      <c r="J1633" t="s">
        <v>2138</v>
      </c>
      <c r="K1633" t="s">
        <v>55</v>
      </c>
      <c r="L1633" t="s">
        <v>2139</v>
      </c>
      <c r="M1633" t="s">
        <v>57</v>
      </c>
      <c r="N1633" t="str">
        <f>"047993"</f>
        <v>047993</v>
      </c>
      <c r="O1633" t="s">
        <v>2135</v>
      </c>
      <c r="P1633" t="s">
        <v>68</v>
      </c>
      <c r="Q1633">
        <v>42.5</v>
      </c>
      <c r="R1633">
        <v>7.9000000000000057</v>
      </c>
      <c r="S1633" t="s">
        <v>60</v>
      </c>
    </row>
    <row r="1634" spans="1:19" x14ac:dyDescent="0.35">
      <c r="A1634">
        <v>15842</v>
      </c>
      <c r="B1634" t="str">
        <f>"015842"</f>
        <v>015842</v>
      </c>
      <c r="C1634" t="s">
        <v>5785</v>
      </c>
      <c r="D1634" t="s">
        <v>3398</v>
      </c>
      <c r="E1634" t="s">
        <v>3395</v>
      </c>
      <c r="F1634" t="s">
        <v>3396</v>
      </c>
      <c r="G1634" t="s">
        <v>63</v>
      </c>
      <c r="H1634" t="s">
        <v>5786</v>
      </c>
      <c r="I1634" t="s">
        <v>5787</v>
      </c>
      <c r="J1634" t="s">
        <v>1844</v>
      </c>
      <c r="K1634" t="s">
        <v>55</v>
      </c>
      <c r="L1634" t="s">
        <v>1636</v>
      </c>
      <c r="M1634" t="s">
        <v>57</v>
      </c>
      <c r="N1634" t="str">
        <f>"043794"</f>
        <v>043794</v>
      </c>
      <c r="O1634" t="s">
        <v>1912</v>
      </c>
      <c r="P1634" t="s">
        <v>68</v>
      </c>
      <c r="Q1634">
        <v>100</v>
      </c>
      <c r="R1634">
        <v>82.6</v>
      </c>
      <c r="S1634" t="s">
        <v>69</v>
      </c>
    </row>
    <row r="1635" spans="1:19" x14ac:dyDescent="0.35">
      <c r="A1635">
        <v>15933</v>
      </c>
      <c r="B1635" t="str">
        <f>"015933"</f>
        <v>015933</v>
      </c>
      <c r="C1635" t="s">
        <v>5788</v>
      </c>
      <c r="D1635" t="s">
        <v>3394</v>
      </c>
      <c r="E1635" t="s">
        <v>3395</v>
      </c>
      <c r="F1635" t="s">
        <v>3396</v>
      </c>
      <c r="G1635" t="s">
        <v>264</v>
      </c>
      <c r="H1635" t="s">
        <v>5789</v>
      </c>
      <c r="I1635" t="s">
        <v>5790</v>
      </c>
      <c r="J1635" t="s">
        <v>5319</v>
      </c>
      <c r="K1635" t="s">
        <v>55</v>
      </c>
      <c r="L1635" t="s">
        <v>3693</v>
      </c>
      <c r="M1635" t="s">
        <v>57</v>
      </c>
      <c r="N1635" t="str">
        <f>"049981"</f>
        <v>049981</v>
      </c>
      <c r="O1635" t="s">
        <v>1573</v>
      </c>
      <c r="P1635" t="s">
        <v>68</v>
      </c>
      <c r="Q1635">
        <v>13.7</v>
      </c>
      <c r="R1635">
        <v>37.9</v>
      </c>
      <c r="S1635" t="s">
        <v>77</v>
      </c>
    </row>
    <row r="1636" spans="1:19" x14ac:dyDescent="0.35">
      <c r="A1636">
        <v>15966</v>
      </c>
      <c r="B1636" t="str">
        <f>"015966"</f>
        <v>015966</v>
      </c>
      <c r="C1636" t="s">
        <v>5791</v>
      </c>
      <c r="D1636" t="s">
        <v>3394</v>
      </c>
      <c r="E1636" t="s">
        <v>3395</v>
      </c>
      <c r="F1636" t="s">
        <v>3396</v>
      </c>
      <c r="G1636" t="s">
        <v>212</v>
      </c>
      <c r="H1636" t="s">
        <v>5792</v>
      </c>
      <c r="I1636" t="s">
        <v>5793</v>
      </c>
      <c r="J1636" t="s">
        <v>215</v>
      </c>
      <c r="K1636" t="s">
        <v>55</v>
      </c>
      <c r="L1636" t="s">
        <v>5475</v>
      </c>
      <c r="M1636" t="s">
        <v>57</v>
      </c>
      <c r="N1636" t="str">
        <f>"044677"</f>
        <v>044677</v>
      </c>
      <c r="O1636" t="s">
        <v>2499</v>
      </c>
      <c r="P1636" t="s">
        <v>68</v>
      </c>
      <c r="Q1636">
        <v>99</v>
      </c>
      <c r="R1636">
        <v>90</v>
      </c>
      <c r="S1636" t="s">
        <v>217</v>
      </c>
    </row>
    <row r="1637" spans="1:19" x14ac:dyDescent="0.35">
      <c r="A1637">
        <v>15974</v>
      </c>
      <c r="B1637" t="str">
        <f>"015974"</f>
        <v>015974</v>
      </c>
      <c r="C1637" t="s">
        <v>5794</v>
      </c>
      <c r="D1637" t="s">
        <v>3400</v>
      </c>
      <c r="E1637" t="s">
        <v>3395</v>
      </c>
      <c r="F1637" t="s">
        <v>3396</v>
      </c>
      <c r="G1637" t="s">
        <v>63</v>
      </c>
      <c r="H1637" t="s">
        <v>5795</v>
      </c>
      <c r="I1637" t="s">
        <v>5796</v>
      </c>
      <c r="J1637" t="s">
        <v>2080</v>
      </c>
      <c r="K1637" t="s">
        <v>55</v>
      </c>
      <c r="L1637" t="s">
        <v>2081</v>
      </c>
      <c r="M1637" t="s">
        <v>57</v>
      </c>
      <c r="N1637" t="str">
        <f>"043562"</f>
        <v>043562</v>
      </c>
      <c r="O1637" t="s">
        <v>2077</v>
      </c>
      <c r="P1637" t="s">
        <v>68</v>
      </c>
      <c r="Q1637">
        <v>66.599999999999994</v>
      </c>
      <c r="R1637">
        <v>94.4</v>
      </c>
      <c r="S1637" t="s">
        <v>69</v>
      </c>
    </row>
    <row r="1638" spans="1:19" x14ac:dyDescent="0.35">
      <c r="A1638">
        <v>15990</v>
      </c>
      <c r="B1638" t="str">
        <f>"015990"</f>
        <v>015990</v>
      </c>
      <c r="C1638" t="s">
        <v>5797</v>
      </c>
      <c r="D1638" t="s">
        <v>3394</v>
      </c>
      <c r="E1638" t="s">
        <v>3395</v>
      </c>
      <c r="F1638" t="s">
        <v>3396</v>
      </c>
      <c r="G1638" t="s">
        <v>325</v>
      </c>
      <c r="H1638" t="s">
        <v>5798</v>
      </c>
      <c r="I1638" t="s">
        <v>5799</v>
      </c>
      <c r="J1638" t="s">
        <v>2819</v>
      </c>
      <c r="K1638" t="s">
        <v>55</v>
      </c>
      <c r="L1638" t="s">
        <v>2820</v>
      </c>
      <c r="M1638" t="s">
        <v>57</v>
      </c>
      <c r="N1638" t="str">
        <f>"044925"</f>
        <v>044925</v>
      </c>
      <c r="O1638" t="s">
        <v>2816</v>
      </c>
      <c r="P1638" t="s">
        <v>68</v>
      </c>
      <c r="Q1638">
        <v>61.3</v>
      </c>
      <c r="R1638">
        <v>30.599999999999994</v>
      </c>
      <c r="S1638" t="s">
        <v>180</v>
      </c>
    </row>
    <row r="1639" spans="1:19" x14ac:dyDescent="0.35">
      <c r="A1639">
        <v>16006</v>
      </c>
      <c r="B1639" t="str">
        <f>"016006"</f>
        <v>016006</v>
      </c>
      <c r="C1639" t="s">
        <v>5800</v>
      </c>
      <c r="D1639" t="s">
        <v>3394</v>
      </c>
      <c r="E1639" t="s">
        <v>3395</v>
      </c>
      <c r="F1639" t="s">
        <v>3396</v>
      </c>
      <c r="G1639" t="s">
        <v>200</v>
      </c>
      <c r="H1639" t="s">
        <v>5801</v>
      </c>
      <c r="I1639" t="s">
        <v>5802</v>
      </c>
      <c r="J1639" t="s">
        <v>304</v>
      </c>
      <c r="K1639" t="s">
        <v>55</v>
      </c>
      <c r="L1639" t="s">
        <v>4721</v>
      </c>
      <c r="M1639" t="s">
        <v>57</v>
      </c>
      <c r="N1639" t="str">
        <f>"048231"</f>
        <v>048231</v>
      </c>
      <c r="O1639" t="s">
        <v>1553</v>
      </c>
      <c r="P1639" t="s">
        <v>68</v>
      </c>
      <c r="Q1639">
        <v>54</v>
      </c>
      <c r="R1639">
        <v>36.6</v>
      </c>
      <c r="S1639" t="s">
        <v>156</v>
      </c>
    </row>
    <row r="1640" spans="1:19" x14ac:dyDescent="0.35">
      <c r="A1640">
        <v>16030</v>
      </c>
      <c r="B1640" t="str">
        <f>"016030"</f>
        <v>016030</v>
      </c>
      <c r="C1640" t="s">
        <v>5803</v>
      </c>
      <c r="D1640" t="s">
        <v>3394</v>
      </c>
      <c r="E1640" t="s">
        <v>3395</v>
      </c>
      <c r="F1640" t="s">
        <v>3396</v>
      </c>
      <c r="G1640" t="s">
        <v>2304</v>
      </c>
      <c r="H1640" t="s">
        <v>2305</v>
      </c>
      <c r="I1640" t="s">
        <v>2306</v>
      </c>
      <c r="J1640" t="s">
        <v>2307</v>
      </c>
      <c r="K1640" t="s">
        <v>55</v>
      </c>
      <c r="L1640" t="s">
        <v>2308</v>
      </c>
      <c r="M1640" t="s">
        <v>57</v>
      </c>
      <c r="N1640" t="str">
        <f>"045419"</f>
        <v>045419</v>
      </c>
      <c r="O1640" t="s">
        <v>2303</v>
      </c>
      <c r="P1640" t="s">
        <v>68</v>
      </c>
      <c r="Q1640">
        <v>37.799999999999997</v>
      </c>
      <c r="R1640">
        <v>13.700000000000003</v>
      </c>
      <c r="S1640" t="s">
        <v>156</v>
      </c>
    </row>
    <row r="1641" spans="1:19" x14ac:dyDescent="0.35">
      <c r="A1641">
        <v>16048</v>
      </c>
      <c r="B1641" t="str">
        <f>"016048"</f>
        <v>016048</v>
      </c>
      <c r="C1641" t="s">
        <v>5804</v>
      </c>
      <c r="D1641" t="s">
        <v>3398</v>
      </c>
      <c r="E1641" t="s">
        <v>3395</v>
      </c>
      <c r="F1641" t="s">
        <v>3396</v>
      </c>
      <c r="G1641" t="s">
        <v>2304</v>
      </c>
      <c r="H1641" t="s">
        <v>2305</v>
      </c>
      <c r="I1641" t="s">
        <v>2306</v>
      </c>
      <c r="J1641" t="s">
        <v>2307</v>
      </c>
      <c r="K1641" t="s">
        <v>55</v>
      </c>
      <c r="L1641" t="s">
        <v>2308</v>
      </c>
      <c r="M1641" t="s">
        <v>57</v>
      </c>
      <c r="N1641" t="str">
        <f>"045419"</f>
        <v>045419</v>
      </c>
      <c r="O1641" t="s">
        <v>2303</v>
      </c>
      <c r="P1641" t="s">
        <v>68</v>
      </c>
      <c r="Q1641">
        <v>28.6</v>
      </c>
      <c r="R1641">
        <v>10.799999999999997</v>
      </c>
      <c r="S1641" t="s">
        <v>156</v>
      </c>
    </row>
    <row r="1642" spans="1:19" x14ac:dyDescent="0.35">
      <c r="A1642">
        <v>16055</v>
      </c>
      <c r="B1642" t="str">
        <f>"016055"</f>
        <v>016055</v>
      </c>
      <c r="C1642" t="s">
        <v>5805</v>
      </c>
      <c r="D1642" t="s">
        <v>3400</v>
      </c>
      <c r="E1642" t="s">
        <v>3395</v>
      </c>
      <c r="F1642" t="s">
        <v>3396</v>
      </c>
      <c r="G1642" t="s">
        <v>318</v>
      </c>
      <c r="H1642" t="s">
        <v>1669</v>
      </c>
      <c r="I1642" t="s">
        <v>1670</v>
      </c>
      <c r="J1642" t="s">
        <v>321</v>
      </c>
      <c r="K1642" t="s">
        <v>55</v>
      </c>
      <c r="L1642" t="s">
        <v>322</v>
      </c>
      <c r="M1642" t="s">
        <v>57</v>
      </c>
      <c r="N1642" t="str">
        <f>"049528"</f>
        <v>049528</v>
      </c>
      <c r="O1642" t="s">
        <v>1217</v>
      </c>
      <c r="P1642" t="s">
        <v>68</v>
      </c>
      <c r="Q1642">
        <v>58.2</v>
      </c>
      <c r="R1642">
        <v>4.7000000000000028</v>
      </c>
      <c r="S1642" t="s">
        <v>130</v>
      </c>
    </row>
    <row r="1643" spans="1:19" x14ac:dyDescent="0.35">
      <c r="A1643">
        <v>16089</v>
      </c>
      <c r="B1643" t="str">
        <f>"016089"</f>
        <v>016089</v>
      </c>
      <c r="C1643" t="s">
        <v>5806</v>
      </c>
      <c r="D1643" t="s">
        <v>3394</v>
      </c>
      <c r="E1643" t="s">
        <v>3395</v>
      </c>
      <c r="F1643" t="s">
        <v>3396</v>
      </c>
      <c r="G1643" t="s">
        <v>325</v>
      </c>
      <c r="H1643" t="s">
        <v>5807</v>
      </c>
      <c r="I1643" t="s">
        <v>5808</v>
      </c>
      <c r="J1643" t="s">
        <v>328</v>
      </c>
      <c r="K1643" t="s">
        <v>55</v>
      </c>
      <c r="L1643" t="s">
        <v>329</v>
      </c>
      <c r="M1643" t="s">
        <v>57</v>
      </c>
      <c r="N1643" t="str">
        <f>"044644"</f>
        <v>044644</v>
      </c>
      <c r="O1643" t="s">
        <v>324</v>
      </c>
      <c r="P1643" t="s">
        <v>68</v>
      </c>
      <c r="Q1643">
        <v>61</v>
      </c>
      <c r="R1643">
        <v>19.599999999999994</v>
      </c>
      <c r="S1643" t="s">
        <v>180</v>
      </c>
    </row>
    <row r="1644" spans="1:19" x14ac:dyDescent="0.35">
      <c r="A1644">
        <v>16113</v>
      </c>
      <c r="B1644" t="str">
        <f>"016113"</f>
        <v>016113</v>
      </c>
      <c r="C1644" t="s">
        <v>5196</v>
      </c>
      <c r="D1644" t="s">
        <v>3394</v>
      </c>
      <c r="E1644" t="s">
        <v>3395</v>
      </c>
      <c r="F1644" t="s">
        <v>3396</v>
      </c>
      <c r="G1644" t="s">
        <v>600</v>
      </c>
      <c r="H1644" t="s">
        <v>5809</v>
      </c>
      <c r="I1644" t="s">
        <v>5810</v>
      </c>
      <c r="J1644" t="s">
        <v>1348</v>
      </c>
      <c r="K1644" t="s">
        <v>55</v>
      </c>
      <c r="L1644" t="s">
        <v>5209</v>
      </c>
      <c r="M1644" t="s">
        <v>57</v>
      </c>
      <c r="N1644" t="str">
        <f>"043802"</f>
        <v>043802</v>
      </c>
      <c r="O1644" t="s">
        <v>3171</v>
      </c>
      <c r="P1644" t="s">
        <v>68</v>
      </c>
      <c r="Q1644">
        <v>100</v>
      </c>
      <c r="R1644">
        <v>73.900000000000006</v>
      </c>
      <c r="S1644" t="s">
        <v>60</v>
      </c>
    </row>
    <row r="1645" spans="1:19" x14ac:dyDescent="0.35">
      <c r="A1645">
        <v>16121</v>
      </c>
      <c r="B1645" t="str">
        <f>"016121"</f>
        <v>016121</v>
      </c>
      <c r="C1645" t="s">
        <v>5196</v>
      </c>
      <c r="D1645" t="s">
        <v>3394</v>
      </c>
      <c r="E1645" t="s">
        <v>3395</v>
      </c>
      <c r="F1645" t="s">
        <v>3396</v>
      </c>
      <c r="G1645" t="s">
        <v>264</v>
      </c>
      <c r="H1645" t="s">
        <v>5811</v>
      </c>
      <c r="I1645" t="s">
        <v>5812</v>
      </c>
      <c r="J1645" t="s">
        <v>1210</v>
      </c>
      <c r="K1645" t="s">
        <v>55</v>
      </c>
      <c r="L1645" t="s">
        <v>1211</v>
      </c>
      <c r="M1645" t="s">
        <v>57</v>
      </c>
      <c r="N1645" t="str">
        <f>"044834"</f>
        <v>044834</v>
      </c>
      <c r="O1645" t="s">
        <v>1207</v>
      </c>
      <c r="P1645" t="s">
        <v>68</v>
      </c>
      <c r="Q1645">
        <v>26.8</v>
      </c>
      <c r="R1645">
        <v>16.400000000000006</v>
      </c>
      <c r="S1645" t="s">
        <v>77</v>
      </c>
    </row>
    <row r="1646" spans="1:19" x14ac:dyDescent="0.35">
      <c r="A1646">
        <v>16154</v>
      </c>
      <c r="B1646" t="str">
        <f>"016154"</f>
        <v>016154</v>
      </c>
      <c r="C1646" t="s">
        <v>5813</v>
      </c>
      <c r="D1646" t="s">
        <v>3398</v>
      </c>
      <c r="E1646" t="s">
        <v>3395</v>
      </c>
      <c r="F1646" t="s">
        <v>3396</v>
      </c>
      <c r="G1646" t="s">
        <v>406</v>
      </c>
      <c r="H1646" t="s">
        <v>5814</v>
      </c>
      <c r="I1646" t="s">
        <v>5815</v>
      </c>
      <c r="J1646" t="s">
        <v>406</v>
      </c>
      <c r="K1646" t="s">
        <v>55</v>
      </c>
      <c r="L1646" t="s">
        <v>409</v>
      </c>
      <c r="M1646" t="s">
        <v>57</v>
      </c>
      <c r="N1646" t="str">
        <f>"048496"</f>
        <v>048496</v>
      </c>
      <c r="O1646" t="s">
        <v>405</v>
      </c>
      <c r="P1646" t="s">
        <v>68</v>
      </c>
      <c r="Q1646">
        <v>4.8</v>
      </c>
      <c r="R1646">
        <v>6.9000000000000057</v>
      </c>
      <c r="S1646" t="s">
        <v>77</v>
      </c>
    </row>
    <row r="1647" spans="1:19" x14ac:dyDescent="0.35">
      <c r="A1647">
        <v>16162</v>
      </c>
      <c r="B1647" t="str">
        <f>"016162"</f>
        <v>016162</v>
      </c>
      <c r="C1647" t="s">
        <v>5813</v>
      </c>
      <c r="D1647" t="s">
        <v>3398</v>
      </c>
      <c r="E1647" t="s">
        <v>3395</v>
      </c>
      <c r="F1647" t="s">
        <v>3396</v>
      </c>
      <c r="G1647" t="s">
        <v>1359</v>
      </c>
      <c r="H1647" t="s">
        <v>5816</v>
      </c>
      <c r="I1647" t="s">
        <v>5817</v>
      </c>
      <c r="J1647" t="s">
        <v>2343</v>
      </c>
      <c r="K1647" t="s">
        <v>55</v>
      </c>
      <c r="L1647" t="s">
        <v>2344</v>
      </c>
      <c r="M1647" t="s">
        <v>57</v>
      </c>
      <c r="N1647" t="str">
        <f>"048801"</f>
        <v>048801</v>
      </c>
      <c r="O1647" t="s">
        <v>405</v>
      </c>
      <c r="P1647" t="s">
        <v>68</v>
      </c>
      <c r="Q1647">
        <v>22.5</v>
      </c>
      <c r="R1647">
        <v>5.0999999999999943</v>
      </c>
      <c r="S1647" t="s">
        <v>60</v>
      </c>
    </row>
    <row r="1648" spans="1:19" x14ac:dyDescent="0.35">
      <c r="A1648">
        <v>16188</v>
      </c>
      <c r="B1648" t="str">
        <f>"016188"</f>
        <v>016188</v>
      </c>
      <c r="C1648" t="s">
        <v>5818</v>
      </c>
      <c r="D1648" t="s">
        <v>3394</v>
      </c>
      <c r="E1648" t="s">
        <v>3395</v>
      </c>
      <c r="F1648" t="s">
        <v>3396</v>
      </c>
      <c r="G1648" t="s">
        <v>264</v>
      </c>
      <c r="H1648" t="s">
        <v>5819</v>
      </c>
      <c r="I1648" t="s">
        <v>5820</v>
      </c>
      <c r="J1648" t="s">
        <v>267</v>
      </c>
      <c r="K1648" t="s">
        <v>55</v>
      </c>
      <c r="L1648" t="s">
        <v>5821</v>
      </c>
      <c r="M1648" t="s">
        <v>57</v>
      </c>
      <c r="N1648" t="str">
        <f>"043489"</f>
        <v>043489</v>
      </c>
      <c r="O1648" t="s">
        <v>3176</v>
      </c>
      <c r="P1648" t="s">
        <v>68</v>
      </c>
      <c r="Q1648">
        <v>100</v>
      </c>
      <c r="R1648">
        <v>46.4</v>
      </c>
      <c r="S1648" t="s">
        <v>77</v>
      </c>
    </row>
    <row r="1649" spans="1:19" x14ac:dyDescent="0.35">
      <c r="A1649">
        <v>16220</v>
      </c>
      <c r="B1649" t="str">
        <f>"016220"</f>
        <v>016220</v>
      </c>
      <c r="C1649" t="s">
        <v>5822</v>
      </c>
      <c r="D1649" t="s">
        <v>3398</v>
      </c>
      <c r="E1649" t="s">
        <v>3395</v>
      </c>
      <c r="F1649" t="s">
        <v>3396</v>
      </c>
      <c r="G1649" t="s">
        <v>712</v>
      </c>
      <c r="H1649" t="s">
        <v>5823</v>
      </c>
      <c r="I1649" t="s">
        <v>5824</v>
      </c>
      <c r="J1649" t="s">
        <v>715</v>
      </c>
      <c r="K1649" t="s">
        <v>55</v>
      </c>
      <c r="L1649" t="s">
        <v>716</v>
      </c>
      <c r="M1649" t="s">
        <v>57</v>
      </c>
      <c r="N1649" t="str">
        <f>"047688"</f>
        <v>047688</v>
      </c>
      <c r="O1649" t="s">
        <v>2208</v>
      </c>
      <c r="P1649" t="s">
        <v>68</v>
      </c>
      <c r="Q1649">
        <v>11.3</v>
      </c>
      <c r="R1649">
        <v>7.0999999999999943</v>
      </c>
      <c r="S1649" t="s">
        <v>77</v>
      </c>
    </row>
    <row r="1650" spans="1:19" x14ac:dyDescent="0.35">
      <c r="A1650">
        <v>16253</v>
      </c>
      <c r="B1650" t="str">
        <f>"016253"</f>
        <v>016253</v>
      </c>
      <c r="C1650" t="s">
        <v>5825</v>
      </c>
      <c r="D1650" t="s">
        <v>3394</v>
      </c>
      <c r="E1650" t="s">
        <v>3395</v>
      </c>
      <c r="F1650" t="s">
        <v>3396</v>
      </c>
      <c r="G1650" t="s">
        <v>264</v>
      </c>
      <c r="H1650" t="s">
        <v>5826</v>
      </c>
      <c r="I1650" t="s">
        <v>5827</v>
      </c>
      <c r="J1650" t="s">
        <v>267</v>
      </c>
      <c r="K1650" t="s">
        <v>55</v>
      </c>
      <c r="L1650" t="s">
        <v>5503</v>
      </c>
      <c r="M1650" t="s">
        <v>57</v>
      </c>
      <c r="N1650" t="str">
        <f>"043489"</f>
        <v>043489</v>
      </c>
      <c r="O1650" t="s">
        <v>3176</v>
      </c>
      <c r="P1650" t="s">
        <v>68</v>
      </c>
      <c r="Q1650">
        <v>100</v>
      </c>
      <c r="R1650">
        <v>90.7</v>
      </c>
      <c r="S1650" t="s">
        <v>77</v>
      </c>
    </row>
    <row r="1651" spans="1:19" x14ac:dyDescent="0.35">
      <c r="A1651">
        <v>16261</v>
      </c>
      <c r="B1651" t="str">
        <f>"016261"</f>
        <v>016261</v>
      </c>
      <c r="C1651" t="s">
        <v>5828</v>
      </c>
      <c r="D1651" t="s">
        <v>3394</v>
      </c>
      <c r="E1651" t="s">
        <v>3395</v>
      </c>
      <c r="F1651" t="s">
        <v>3396</v>
      </c>
      <c r="G1651" t="s">
        <v>264</v>
      </c>
      <c r="H1651" t="s">
        <v>5829</v>
      </c>
      <c r="I1651" t="s">
        <v>5830</v>
      </c>
      <c r="J1651" t="s">
        <v>2279</v>
      </c>
      <c r="K1651" t="s">
        <v>55</v>
      </c>
      <c r="L1651" t="s">
        <v>2280</v>
      </c>
      <c r="M1651" t="s">
        <v>57</v>
      </c>
      <c r="N1651" t="str">
        <f>"050054"</f>
        <v>050054</v>
      </c>
      <c r="O1651" t="s">
        <v>2276</v>
      </c>
      <c r="P1651" t="s">
        <v>68</v>
      </c>
      <c r="Q1651">
        <v>6</v>
      </c>
      <c r="R1651">
        <v>18.900000000000006</v>
      </c>
      <c r="S1651" t="s">
        <v>77</v>
      </c>
    </row>
    <row r="1652" spans="1:19" x14ac:dyDescent="0.35">
      <c r="A1652">
        <v>16287</v>
      </c>
      <c r="B1652" t="str">
        <f>"016287"</f>
        <v>016287</v>
      </c>
      <c r="C1652" t="s">
        <v>5831</v>
      </c>
      <c r="D1652" t="s">
        <v>3394</v>
      </c>
      <c r="E1652" t="s">
        <v>3395</v>
      </c>
      <c r="F1652" t="s">
        <v>3396</v>
      </c>
      <c r="G1652" t="s">
        <v>600</v>
      </c>
      <c r="H1652" t="s">
        <v>5832</v>
      </c>
      <c r="I1652" t="s">
        <v>5833</v>
      </c>
      <c r="J1652" t="s">
        <v>3622</v>
      </c>
      <c r="K1652" t="s">
        <v>55</v>
      </c>
      <c r="L1652" t="s">
        <v>3623</v>
      </c>
      <c r="M1652" t="s">
        <v>57</v>
      </c>
      <c r="N1652" t="str">
        <f>"047019"</f>
        <v>047019</v>
      </c>
      <c r="O1652" t="s">
        <v>1345</v>
      </c>
      <c r="P1652" t="s">
        <v>68</v>
      </c>
      <c r="Q1652">
        <v>23.2</v>
      </c>
      <c r="R1652">
        <v>20.099999999999994</v>
      </c>
      <c r="S1652" t="s">
        <v>60</v>
      </c>
    </row>
    <row r="1653" spans="1:19" x14ac:dyDescent="0.35">
      <c r="A1653">
        <v>16303</v>
      </c>
      <c r="B1653" t="str">
        <f>"016303"</f>
        <v>016303</v>
      </c>
      <c r="C1653" t="s">
        <v>5834</v>
      </c>
      <c r="D1653" t="s">
        <v>3398</v>
      </c>
      <c r="E1653" t="s">
        <v>3395</v>
      </c>
      <c r="F1653" t="s">
        <v>3396</v>
      </c>
      <c r="G1653" t="s">
        <v>600</v>
      </c>
      <c r="H1653" t="s">
        <v>5835</v>
      </c>
      <c r="I1653" t="s">
        <v>5836</v>
      </c>
      <c r="J1653" t="s">
        <v>3622</v>
      </c>
      <c r="K1653" t="s">
        <v>55</v>
      </c>
      <c r="L1653" t="s">
        <v>3623</v>
      </c>
      <c r="M1653" t="s">
        <v>57</v>
      </c>
      <c r="N1653" t="str">
        <f>"047019"</f>
        <v>047019</v>
      </c>
      <c r="O1653" t="s">
        <v>1345</v>
      </c>
      <c r="P1653" t="s">
        <v>68</v>
      </c>
      <c r="Q1653">
        <v>20.6</v>
      </c>
      <c r="R1653">
        <v>31</v>
      </c>
      <c r="S1653" t="s">
        <v>60</v>
      </c>
    </row>
    <row r="1654" spans="1:19" x14ac:dyDescent="0.35">
      <c r="A1654">
        <v>16311</v>
      </c>
      <c r="B1654" t="str">
        <f>"016311"</f>
        <v>016311</v>
      </c>
      <c r="C1654" t="s">
        <v>5837</v>
      </c>
      <c r="D1654" t="s">
        <v>3400</v>
      </c>
      <c r="E1654" t="s">
        <v>3395</v>
      </c>
      <c r="F1654" t="s">
        <v>3396</v>
      </c>
      <c r="G1654" t="s">
        <v>600</v>
      </c>
      <c r="H1654" t="s">
        <v>5838</v>
      </c>
      <c r="I1654" t="s">
        <v>5839</v>
      </c>
      <c r="J1654" t="s">
        <v>3622</v>
      </c>
      <c r="K1654" t="s">
        <v>55</v>
      </c>
      <c r="L1654" t="s">
        <v>3623</v>
      </c>
      <c r="M1654" t="s">
        <v>57</v>
      </c>
      <c r="N1654" t="str">
        <f>"047019"</f>
        <v>047019</v>
      </c>
      <c r="O1654" t="s">
        <v>1345</v>
      </c>
      <c r="P1654" t="s">
        <v>68</v>
      </c>
      <c r="Q1654">
        <v>28.3</v>
      </c>
      <c r="R1654">
        <v>32.799999999999997</v>
      </c>
      <c r="S1654" t="s">
        <v>60</v>
      </c>
    </row>
    <row r="1655" spans="1:19" x14ac:dyDescent="0.35">
      <c r="A1655">
        <v>16337</v>
      </c>
      <c r="B1655" t="str">
        <f>"016337"</f>
        <v>016337</v>
      </c>
      <c r="C1655" t="s">
        <v>5840</v>
      </c>
      <c r="D1655" t="s">
        <v>3394</v>
      </c>
      <c r="E1655" t="s">
        <v>3395</v>
      </c>
      <c r="F1655" t="s">
        <v>3396</v>
      </c>
      <c r="G1655" t="s">
        <v>135</v>
      </c>
      <c r="H1655" t="s">
        <v>5841</v>
      </c>
      <c r="I1655" t="s">
        <v>5842</v>
      </c>
      <c r="J1655" t="s">
        <v>5843</v>
      </c>
      <c r="K1655" t="s">
        <v>55</v>
      </c>
      <c r="L1655" t="s">
        <v>5844</v>
      </c>
      <c r="M1655" t="s">
        <v>57</v>
      </c>
      <c r="N1655" t="str">
        <f>"047803"</f>
        <v>047803</v>
      </c>
      <c r="O1655" t="s">
        <v>648</v>
      </c>
      <c r="P1655" t="s">
        <v>68</v>
      </c>
      <c r="Q1655">
        <v>69.2</v>
      </c>
      <c r="R1655">
        <v>16.200000000000003</v>
      </c>
      <c r="S1655" t="s">
        <v>130</v>
      </c>
    </row>
    <row r="1656" spans="1:19" x14ac:dyDescent="0.35">
      <c r="A1656">
        <v>16345</v>
      </c>
      <c r="B1656" t="str">
        <f>"016345"</f>
        <v>016345</v>
      </c>
      <c r="C1656" t="s">
        <v>5845</v>
      </c>
      <c r="D1656" t="s">
        <v>3398</v>
      </c>
      <c r="E1656" t="s">
        <v>3395</v>
      </c>
      <c r="F1656" t="s">
        <v>3396</v>
      </c>
      <c r="G1656" t="s">
        <v>719</v>
      </c>
      <c r="H1656" t="s">
        <v>5846</v>
      </c>
      <c r="I1656" t="s">
        <v>5847</v>
      </c>
      <c r="J1656" t="s">
        <v>1652</v>
      </c>
      <c r="K1656" t="s">
        <v>55</v>
      </c>
      <c r="L1656" t="s">
        <v>1653</v>
      </c>
      <c r="M1656" t="s">
        <v>57</v>
      </c>
      <c r="N1656" t="str">
        <f>"044123"</f>
        <v>044123</v>
      </c>
      <c r="O1656" t="s">
        <v>1649</v>
      </c>
      <c r="P1656" t="s">
        <v>68</v>
      </c>
      <c r="Q1656">
        <v>43.8</v>
      </c>
      <c r="R1656">
        <v>10</v>
      </c>
      <c r="S1656" t="s">
        <v>130</v>
      </c>
    </row>
    <row r="1657" spans="1:19" x14ac:dyDescent="0.35">
      <c r="A1657">
        <v>16352</v>
      </c>
      <c r="B1657" t="str">
        <f>"016352"</f>
        <v>016352</v>
      </c>
      <c r="C1657" t="s">
        <v>5848</v>
      </c>
      <c r="D1657" t="s">
        <v>3398</v>
      </c>
      <c r="E1657" t="s">
        <v>3395</v>
      </c>
      <c r="F1657" t="s">
        <v>3396</v>
      </c>
      <c r="G1657" t="s">
        <v>855</v>
      </c>
      <c r="H1657" t="s">
        <v>1814</v>
      </c>
      <c r="I1657" t="s">
        <v>1815</v>
      </c>
      <c r="J1657" t="s">
        <v>1816</v>
      </c>
      <c r="K1657" t="s">
        <v>55</v>
      </c>
      <c r="L1657" t="s">
        <v>1817</v>
      </c>
      <c r="M1657" t="s">
        <v>57</v>
      </c>
      <c r="N1657" t="str">
        <f>"045823"</f>
        <v>045823</v>
      </c>
      <c r="O1657" t="s">
        <v>1813</v>
      </c>
      <c r="P1657" t="s">
        <v>68</v>
      </c>
      <c r="Q1657">
        <v>24.9</v>
      </c>
      <c r="R1657">
        <v>2.7000000000000028</v>
      </c>
      <c r="S1657" t="s">
        <v>77</v>
      </c>
    </row>
    <row r="1658" spans="1:19" x14ac:dyDescent="0.35">
      <c r="A1658">
        <v>16360</v>
      </c>
      <c r="B1658" t="str">
        <f>"016360"</f>
        <v>016360</v>
      </c>
      <c r="C1658" t="s">
        <v>5849</v>
      </c>
      <c r="D1658" t="s">
        <v>3394</v>
      </c>
      <c r="E1658" t="s">
        <v>3395</v>
      </c>
      <c r="F1658" t="s">
        <v>3396</v>
      </c>
      <c r="G1658" t="s">
        <v>63</v>
      </c>
      <c r="H1658" t="s">
        <v>5850</v>
      </c>
      <c r="I1658" t="s">
        <v>5851</v>
      </c>
      <c r="J1658" t="s">
        <v>795</v>
      </c>
      <c r="K1658" t="s">
        <v>55</v>
      </c>
      <c r="L1658" t="s">
        <v>796</v>
      </c>
      <c r="M1658" t="s">
        <v>57</v>
      </c>
      <c r="N1658" t="str">
        <f>"046565"</f>
        <v>046565</v>
      </c>
      <c r="O1658" t="s">
        <v>792</v>
      </c>
      <c r="P1658" t="s">
        <v>68</v>
      </c>
      <c r="Q1658">
        <v>10.9</v>
      </c>
      <c r="R1658">
        <v>9.2999999999999972</v>
      </c>
      <c r="S1658" t="s">
        <v>69</v>
      </c>
    </row>
    <row r="1659" spans="1:19" x14ac:dyDescent="0.35">
      <c r="A1659">
        <v>16378</v>
      </c>
      <c r="B1659" t="str">
        <f>"016378"</f>
        <v>016378</v>
      </c>
      <c r="C1659" t="s">
        <v>5852</v>
      </c>
      <c r="D1659" t="s">
        <v>3400</v>
      </c>
      <c r="E1659" t="s">
        <v>3395</v>
      </c>
      <c r="F1659" t="s">
        <v>3396</v>
      </c>
      <c r="G1659" t="s">
        <v>63</v>
      </c>
      <c r="H1659" t="s">
        <v>5853</v>
      </c>
      <c r="I1659" t="s">
        <v>5854</v>
      </c>
      <c r="J1659" t="s">
        <v>5855</v>
      </c>
      <c r="K1659" t="s">
        <v>55</v>
      </c>
      <c r="L1659" t="s">
        <v>796</v>
      </c>
      <c r="M1659" t="s">
        <v>57</v>
      </c>
      <c r="N1659" t="str">
        <f>"044636"</f>
        <v>044636</v>
      </c>
      <c r="O1659" t="s">
        <v>1331</v>
      </c>
      <c r="P1659" t="s">
        <v>68</v>
      </c>
      <c r="Q1659">
        <v>43.4</v>
      </c>
      <c r="R1659">
        <v>25.099999999999994</v>
      </c>
      <c r="S1659" t="s">
        <v>69</v>
      </c>
    </row>
    <row r="1660" spans="1:19" x14ac:dyDescent="0.35">
      <c r="A1660">
        <v>16386</v>
      </c>
      <c r="B1660" t="str">
        <f>"016386"</f>
        <v>016386</v>
      </c>
      <c r="C1660" t="s">
        <v>5856</v>
      </c>
      <c r="D1660" t="s">
        <v>3400</v>
      </c>
      <c r="E1660" t="s">
        <v>3395</v>
      </c>
      <c r="F1660" t="s">
        <v>3396</v>
      </c>
      <c r="G1660" t="s">
        <v>600</v>
      </c>
      <c r="H1660" t="s">
        <v>5857</v>
      </c>
      <c r="I1660" t="s">
        <v>5858</v>
      </c>
      <c r="J1660" t="s">
        <v>1348</v>
      </c>
      <c r="K1660" t="s">
        <v>55</v>
      </c>
      <c r="L1660" t="s">
        <v>3854</v>
      </c>
      <c r="M1660" t="s">
        <v>57</v>
      </c>
      <c r="N1660" t="str">
        <f>"043802"</f>
        <v>043802</v>
      </c>
      <c r="O1660" t="s">
        <v>3171</v>
      </c>
      <c r="P1660" t="s">
        <v>68</v>
      </c>
      <c r="Q1660">
        <v>100</v>
      </c>
      <c r="R1660">
        <v>61.7</v>
      </c>
      <c r="S1660" t="s">
        <v>60</v>
      </c>
    </row>
    <row r="1661" spans="1:19" x14ac:dyDescent="0.35">
      <c r="A1661">
        <v>16402</v>
      </c>
      <c r="B1661" t="str">
        <f>"016402"</f>
        <v>016402</v>
      </c>
      <c r="C1661" t="s">
        <v>5859</v>
      </c>
      <c r="D1661" t="s">
        <v>3394</v>
      </c>
      <c r="E1661" t="s">
        <v>3395</v>
      </c>
      <c r="F1661" t="s">
        <v>3396</v>
      </c>
      <c r="G1661" t="s">
        <v>212</v>
      </c>
      <c r="H1661" t="s">
        <v>5860</v>
      </c>
      <c r="I1661" t="s">
        <v>5861</v>
      </c>
      <c r="J1661" t="s">
        <v>1697</v>
      </c>
      <c r="K1661" t="s">
        <v>55</v>
      </c>
      <c r="L1661" t="s">
        <v>954</v>
      </c>
      <c r="M1661" t="s">
        <v>57</v>
      </c>
      <c r="N1661" t="str">
        <f>"045146"</f>
        <v>045146</v>
      </c>
      <c r="O1661" t="s">
        <v>1694</v>
      </c>
      <c r="P1661" t="s">
        <v>68</v>
      </c>
      <c r="Q1661">
        <v>5</v>
      </c>
      <c r="R1661">
        <v>17.900000000000006</v>
      </c>
      <c r="S1661" t="s">
        <v>217</v>
      </c>
    </row>
    <row r="1662" spans="1:19" x14ac:dyDescent="0.35">
      <c r="A1662">
        <v>16428</v>
      </c>
      <c r="B1662" t="str">
        <f>"016428"</f>
        <v>016428</v>
      </c>
      <c r="C1662" t="s">
        <v>5859</v>
      </c>
      <c r="D1662" t="s">
        <v>3394</v>
      </c>
      <c r="E1662" t="s">
        <v>3395</v>
      </c>
      <c r="F1662" t="s">
        <v>3396</v>
      </c>
      <c r="G1662" t="s">
        <v>63</v>
      </c>
      <c r="H1662" t="s">
        <v>5862</v>
      </c>
      <c r="I1662" t="s">
        <v>5863</v>
      </c>
      <c r="J1662" t="s">
        <v>3031</v>
      </c>
      <c r="K1662" t="s">
        <v>55</v>
      </c>
      <c r="L1662" t="s">
        <v>3032</v>
      </c>
      <c r="M1662" t="s">
        <v>57</v>
      </c>
      <c r="N1662" t="str">
        <f>"043554"</f>
        <v>043554</v>
      </c>
      <c r="O1662" t="s">
        <v>3028</v>
      </c>
      <c r="P1662" t="s">
        <v>68</v>
      </c>
      <c r="Q1662">
        <v>10.9</v>
      </c>
      <c r="R1662">
        <v>60.7</v>
      </c>
      <c r="S1662" t="s">
        <v>69</v>
      </c>
    </row>
    <row r="1663" spans="1:19" x14ac:dyDescent="0.35">
      <c r="A1663">
        <v>16436</v>
      </c>
      <c r="B1663" t="str">
        <f>"016436"</f>
        <v>016436</v>
      </c>
      <c r="C1663" t="s">
        <v>5864</v>
      </c>
      <c r="D1663" t="s">
        <v>3398</v>
      </c>
      <c r="E1663" t="s">
        <v>3395</v>
      </c>
      <c r="F1663" t="s">
        <v>3396</v>
      </c>
      <c r="G1663" t="s">
        <v>1118</v>
      </c>
      <c r="H1663" t="s">
        <v>2150</v>
      </c>
      <c r="I1663" t="s">
        <v>2151</v>
      </c>
      <c r="J1663" t="s">
        <v>2152</v>
      </c>
      <c r="K1663" t="s">
        <v>55</v>
      </c>
      <c r="L1663" t="s">
        <v>2153</v>
      </c>
      <c r="M1663" t="s">
        <v>57</v>
      </c>
      <c r="N1663" t="str">
        <f>"050633"</f>
        <v>050633</v>
      </c>
      <c r="O1663" t="s">
        <v>2149</v>
      </c>
      <c r="P1663" t="s">
        <v>68</v>
      </c>
      <c r="Q1663">
        <v>30</v>
      </c>
      <c r="R1663">
        <v>8.9000000000000057</v>
      </c>
      <c r="S1663" t="s">
        <v>156</v>
      </c>
    </row>
    <row r="1664" spans="1:19" x14ac:dyDescent="0.35">
      <c r="A1664">
        <v>16444</v>
      </c>
      <c r="B1664" t="str">
        <f>"016444"</f>
        <v>016444</v>
      </c>
      <c r="C1664" t="s">
        <v>5865</v>
      </c>
      <c r="D1664" t="s">
        <v>3394</v>
      </c>
      <c r="E1664" t="s">
        <v>3395</v>
      </c>
      <c r="F1664" t="s">
        <v>3396</v>
      </c>
      <c r="G1664" t="s">
        <v>200</v>
      </c>
      <c r="H1664" t="s">
        <v>5866</v>
      </c>
      <c r="I1664" t="s">
        <v>5867</v>
      </c>
      <c r="J1664" t="s">
        <v>203</v>
      </c>
      <c r="K1664" t="s">
        <v>55</v>
      </c>
      <c r="L1664" t="s">
        <v>204</v>
      </c>
      <c r="M1664" t="s">
        <v>57</v>
      </c>
      <c r="N1664" t="str">
        <f>"044875"</f>
        <v>044875</v>
      </c>
      <c r="O1664" t="s">
        <v>521</v>
      </c>
      <c r="P1664" t="s">
        <v>68</v>
      </c>
      <c r="Q1664">
        <v>37.5</v>
      </c>
      <c r="R1664">
        <v>20.799999999999997</v>
      </c>
      <c r="S1664" t="s">
        <v>156</v>
      </c>
    </row>
    <row r="1665" spans="1:19" x14ac:dyDescent="0.35">
      <c r="A1665">
        <v>16477</v>
      </c>
      <c r="B1665" t="str">
        <f>"016477"</f>
        <v>016477</v>
      </c>
      <c r="C1665" t="s">
        <v>5868</v>
      </c>
      <c r="D1665" t="s">
        <v>3394</v>
      </c>
      <c r="E1665" t="s">
        <v>3395</v>
      </c>
      <c r="F1665" t="s">
        <v>3396</v>
      </c>
      <c r="G1665" t="s">
        <v>406</v>
      </c>
      <c r="H1665" t="s">
        <v>5869</v>
      </c>
      <c r="I1665" t="s">
        <v>5870</v>
      </c>
      <c r="J1665" t="s">
        <v>5871</v>
      </c>
      <c r="K1665" t="s">
        <v>55</v>
      </c>
      <c r="L1665" t="s">
        <v>5872</v>
      </c>
      <c r="M1665" t="s">
        <v>57</v>
      </c>
      <c r="N1665" t="str">
        <f>"048496"</f>
        <v>048496</v>
      </c>
      <c r="O1665" t="s">
        <v>405</v>
      </c>
      <c r="P1665" t="s">
        <v>68</v>
      </c>
      <c r="Q1665">
        <v>6.7</v>
      </c>
      <c r="R1665">
        <v>9.2999999999999972</v>
      </c>
      <c r="S1665" t="s">
        <v>77</v>
      </c>
    </row>
    <row r="1666" spans="1:19" x14ac:dyDescent="0.35">
      <c r="A1666">
        <v>16519</v>
      </c>
      <c r="B1666" t="str">
        <f>"016519"</f>
        <v>016519</v>
      </c>
      <c r="C1666" t="s">
        <v>5873</v>
      </c>
      <c r="D1666" t="s">
        <v>3394</v>
      </c>
      <c r="E1666" t="s">
        <v>3395</v>
      </c>
      <c r="F1666" t="s">
        <v>3396</v>
      </c>
      <c r="G1666" t="s">
        <v>212</v>
      </c>
      <c r="H1666" t="s">
        <v>5874</v>
      </c>
      <c r="I1666" t="s">
        <v>5875</v>
      </c>
      <c r="J1666" t="s">
        <v>215</v>
      </c>
      <c r="K1666" t="s">
        <v>55</v>
      </c>
      <c r="L1666" t="s">
        <v>5876</v>
      </c>
      <c r="M1666" t="s">
        <v>57</v>
      </c>
      <c r="N1666" t="str">
        <f>"043752"</f>
        <v>043752</v>
      </c>
      <c r="O1666" t="s">
        <v>440</v>
      </c>
      <c r="P1666" t="s">
        <v>68</v>
      </c>
      <c r="Q1666">
        <v>100</v>
      </c>
      <c r="R1666">
        <v>95.3</v>
      </c>
      <c r="S1666" t="s">
        <v>217</v>
      </c>
    </row>
    <row r="1667" spans="1:19" x14ac:dyDescent="0.35">
      <c r="A1667">
        <v>16535</v>
      </c>
      <c r="B1667" t="str">
        <f>"016535"</f>
        <v>016535</v>
      </c>
      <c r="C1667" t="s">
        <v>5877</v>
      </c>
      <c r="D1667" t="s">
        <v>3394</v>
      </c>
      <c r="E1667" t="s">
        <v>3395</v>
      </c>
      <c r="F1667" t="s">
        <v>3396</v>
      </c>
      <c r="G1667" t="s">
        <v>295</v>
      </c>
      <c r="H1667" t="s">
        <v>5878</v>
      </c>
      <c r="I1667" t="s">
        <v>5879</v>
      </c>
      <c r="J1667" t="s">
        <v>1012</v>
      </c>
      <c r="K1667" t="s">
        <v>55</v>
      </c>
      <c r="L1667" t="s">
        <v>1013</v>
      </c>
      <c r="M1667" t="s">
        <v>57</v>
      </c>
      <c r="N1667" t="str">
        <f>"044164"</f>
        <v>044164</v>
      </c>
      <c r="O1667" t="s">
        <v>1009</v>
      </c>
      <c r="P1667" t="s">
        <v>68</v>
      </c>
      <c r="Q1667">
        <v>56.3</v>
      </c>
      <c r="R1667">
        <v>42.1</v>
      </c>
      <c r="S1667" t="s">
        <v>77</v>
      </c>
    </row>
    <row r="1668" spans="1:19" x14ac:dyDescent="0.35">
      <c r="A1668">
        <v>16543</v>
      </c>
      <c r="B1668" t="str">
        <f>"016543"</f>
        <v>016543</v>
      </c>
      <c r="C1668" t="s">
        <v>5880</v>
      </c>
      <c r="D1668" t="s">
        <v>3394</v>
      </c>
      <c r="E1668" t="s">
        <v>3395</v>
      </c>
      <c r="F1668" t="s">
        <v>3396</v>
      </c>
      <c r="G1668" t="s">
        <v>543</v>
      </c>
      <c r="H1668" t="s">
        <v>5881</v>
      </c>
      <c r="I1668" t="s">
        <v>5882</v>
      </c>
      <c r="J1668" t="s">
        <v>687</v>
      </c>
      <c r="K1668" t="s">
        <v>55</v>
      </c>
      <c r="L1668" t="s">
        <v>4246</v>
      </c>
      <c r="M1668" t="s">
        <v>57</v>
      </c>
      <c r="N1668" t="str">
        <f>"043737"</f>
        <v>043737</v>
      </c>
      <c r="O1668" t="s">
        <v>1855</v>
      </c>
      <c r="P1668" t="s">
        <v>68</v>
      </c>
      <c r="Q1668">
        <v>12.5</v>
      </c>
      <c r="R1668">
        <v>20.599999999999994</v>
      </c>
      <c r="S1668" t="s">
        <v>180</v>
      </c>
    </row>
    <row r="1669" spans="1:19" x14ac:dyDescent="0.35">
      <c r="A1669">
        <v>16550</v>
      </c>
      <c r="B1669" t="str">
        <f>"016550"</f>
        <v>016550</v>
      </c>
      <c r="C1669" t="s">
        <v>5883</v>
      </c>
      <c r="D1669" t="s">
        <v>3394</v>
      </c>
      <c r="E1669" t="s">
        <v>3395</v>
      </c>
      <c r="F1669" t="s">
        <v>3396</v>
      </c>
      <c r="G1669" t="s">
        <v>271</v>
      </c>
      <c r="H1669" t="s">
        <v>2193</v>
      </c>
      <c r="I1669" t="s">
        <v>2194</v>
      </c>
      <c r="J1669" t="s">
        <v>2195</v>
      </c>
      <c r="K1669" t="s">
        <v>55</v>
      </c>
      <c r="L1669" t="s">
        <v>2196</v>
      </c>
      <c r="M1669" t="s">
        <v>57</v>
      </c>
      <c r="N1669" t="str">
        <f>"047571"</f>
        <v>047571</v>
      </c>
      <c r="O1669" t="s">
        <v>2192</v>
      </c>
      <c r="P1669" t="s">
        <v>68</v>
      </c>
      <c r="Q1669">
        <v>24.1</v>
      </c>
      <c r="R1669">
        <v>21.099999999999994</v>
      </c>
      <c r="S1669" t="s">
        <v>156</v>
      </c>
    </row>
    <row r="1670" spans="1:19" x14ac:dyDescent="0.35">
      <c r="A1670">
        <v>16568</v>
      </c>
      <c r="B1670" t="str">
        <f>"016568"</f>
        <v>016568</v>
      </c>
      <c r="C1670" t="s">
        <v>5884</v>
      </c>
      <c r="D1670" t="s">
        <v>3398</v>
      </c>
      <c r="E1670" t="s">
        <v>3395</v>
      </c>
      <c r="F1670" t="s">
        <v>3396</v>
      </c>
      <c r="G1670" t="s">
        <v>271</v>
      </c>
      <c r="H1670" t="s">
        <v>2193</v>
      </c>
      <c r="I1670" t="s">
        <v>2194</v>
      </c>
      <c r="J1670" t="s">
        <v>2195</v>
      </c>
      <c r="K1670" t="s">
        <v>55</v>
      </c>
      <c r="L1670" t="s">
        <v>2196</v>
      </c>
      <c r="M1670" t="s">
        <v>57</v>
      </c>
      <c r="N1670" t="str">
        <f>"047571"</f>
        <v>047571</v>
      </c>
      <c r="O1670" t="s">
        <v>2192</v>
      </c>
      <c r="P1670" t="s">
        <v>68</v>
      </c>
      <c r="Q1670">
        <v>25.5</v>
      </c>
      <c r="R1670">
        <v>21.599999999999994</v>
      </c>
      <c r="S1670" t="s">
        <v>156</v>
      </c>
    </row>
    <row r="1671" spans="1:19" x14ac:dyDescent="0.35">
      <c r="A1671">
        <v>16576</v>
      </c>
      <c r="B1671" t="str">
        <f>"016576"</f>
        <v>016576</v>
      </c>
      <c r="C1671" t="s">
        <v>5885</v>
      </c>
      <c r="D1671" t="s">
        <v>3394</v>
      </c>
      <c r="E1671" t="s">
        <v>3395</v>
      </c>
      <c r="F1671" t="s">
        <v>3396</v>
      </c>
      <c r="G1671" t="s">
        <v>200</v>
      </c>
      <c r="H1671" t="s">
        <v>5886</v>
      </c>
      <c r="I1671" t="s">
        <v>5887</v>
      </c>
      <c r="J1671" t="s">
        <v>431</v>
      </c>
      <c r="K1671" t="s">
        <v>55</v>
      </c>
      <c r="L1671" t="s">
        <v>432</v>
      </c>
      <c r="M1671" t="s">
        <v>57</v>
      </c>
      <c r="N1671" t="str">
        <f>"048223"</f>
        <v>048223</v>
      </c>
      <c r="O1671" t="s">
        <v>263</v>
      </c>
      <c r="P1671" t="s">
        <v>68</v>
      </c>
      <c r="Q1671">
        <v>47.6</v>
      </c>
      <c r="R1671">
        <v>40.9</v>
      </c>
      <c r="S1671" t="s">
        <v>156</v>
      </c>
    </row>
    <row r="1672" spans="1:19" x14ac:dyDescent="0.35">
      <c r="A1672">
        <v>16584</v>
      </c>
      <c r="B1672" t="str">
        <f>"016584"</f>
        <v>016584</v>
      </c>
      <c r="C1672" t="s">
        <v>5888</v>
      </c>
      <c r="D1672" t="s">
        <v>3394</v>
      </c>
      <c r="E1672" t="s">
        <v>3395</v>
      </c>
      <c r="F1672" t="s">
        <v>3396</v>
      </c>
      <c r="G1672" t="s">
        <v>543</v>
      </c>
      <c r="H1672" t="s">
        <v>5889</v>
      </c>
      <c r="I1672" t="s">
        <v>5890</v>
      </c>
      <c r="J1672" t="s">
        <v>687</v>
      </c>
      <c r="K1672" t="s">
        <v>55</v>
      </c>
      <c r="L1672" t="s">
        <v>5891</v>
      </c>
      <c r="M1672" t="s">
        <v>57</v>
      </c>
      <c r="N1672" t="str">
        <f>"045054"</f>
        <v>045054</v>
      </c>
      <c r="O1672" t="s">
        <v>3201</v>
      </c>
      <c r="P1672" t="s">
        <v>68</v>
      </c>
      <c r="Q1672">
        <v>63.7</v>
      </c>
      <c r="R1672">
        <v>46.6</v>
      </c>
      <c r="S1672" t="s">
        <v>180</v>
      </c>
    </row>
    <row r="1673" spans="1:19" x14ac:dyDescent="0.35">
      <c r="A1673">
        <v>16618</v>
      </c>
      <c r="B1673" t="str">
        <f>"016618"</f>
        <v>016618</v>
      </c>
      <c r="C1673" t="s">
        <v>5892</v>
      </c>
      <c r="D1673" t="s">
        <v>3394</v>
      </c>
      <c r="E1673" t="s">
        <v>3395</v>
      </c>
      <c r="F1673" t="s">
        <v>3396</v>
      </c>
      <c r="G1673" t="s">
        <v>250</v>
      </c>
      <c r="H1673" t="s">
        <v>5893</v>
      </c>
      <c r="I1673" t="s">
        <v>5894</v>
      </c>
      <c r="J1673" t="s">
        <v>2203</v>
      </c>
      <c r="K1673" t="s">
        <v>55</v>
      </c>
      <c r="L1673" t="s">
        <v>2204</v>
      </c>
      <c r="M1673" t="s">
        <v>57</v>
      </c>
      <c r="N1673" t="str">
        <f>"045112"</f>
        <v>045112</v>
      </c>
      <c r="O1673" t="s">
        <v>2200</v>
      </c>
      <c r="P1673" t="s">
        <v>68</v>
      </c>
      <c r="Q1673">
        <v>59.5</v>
      </c>
      <c r="R1673">
        <v>21</v>
      </c>
      <c r="S1673" t="s">
        <v>60</v>
      </c>
    </row>
    <row r="1674" spans="1:19" x14ac:dyDescent="0.35">
      <c r="A1674">
        <v>16642</v>
      </c>
      <c r="B1674" t="str">
        <f>"016642"</f>
        <v>016642</v>
      </c>
      <c r="C1674" t="s">
        <v>5895</v>
      </c>
      <c r="D1674" t="s">
        <v>3394</v>
      </c>
      <c r="E1674" t="s">
        <v>3395</v>
      </c>
      <c r="F1674" t="s">
        <v>3396</v>
      </c>
      <c r="G1674" t="s">
        <v>331</v>
      </c>
      <c r="H1674" t="s">
        <v>5896</v>
      </c>
      <c r="I1674" t="s">
        <v>5897</v>
      </c>
      <c r="J1674" t="s">
        <v>634</v>
      </c>
      <c r="K1674" t="s">
        <v>55</v>
      </c>
      <c r="L1674" t="s">
        <v>635</v>
      </c>
      <c r="M1674" t="s">
        <v>57</v>
      </c>
      <c r="N1674" t="str">
        <f>"046524"</f>
        <v>046524</v>
      </c>
      <c r="O1674" t="s">
        <v>631</v>
      </c>
      <c r="P1674" t="s">
        <v>68</v>
      </c>
      <c r="Q1674">
        <v>46.2</v>
      </c>
      <c r="R1674">
        <v>2.7999999999999972</v>
      </c>
      <c r="S1674" t="s">
        <v>156</v>
      </c>
    </row>
    <row r="1675" spans="1:19" x14ac:dyDescent="0.35">
      <c r="A1675">
        <v>16659</v>
      </c>
      <c r="B1675" t="str">
        <f>"016659"</f>
        <v>016659</v>
      </c>
      <c r="C1675" t="s">
        <v>5898</v>
      </c>
      <c r="D1675" t="s">
        <v>3394</v>
      </c>
      <c r="E1675" t="s">
        <v>3395</v>
      </c>
      <c r="F1675" t="s">
        <v>3396</v>
      </c>
      <c r="G1675" t="s">
        <v>712</v>
      </c>
      <c r="H1675" t="s">
        <v>5899</v>
      </c>
      <c r="I1675" t="s">
        <v>5900</v>
      </c>
      <c r="J1675" t="s">
        <v>5901</v>
      </c>
      <c r="K1675" t="s">
        <v>55</v>
      </c>
      <c r="L1675" t="s">
        <v>5902</v>
      </c>
      <c r="M1675" t="s">
        <v>57</v>
      </c>
      <c r="N1675" t="str">
        <f>"050583"</f>
        <v>050583</v>
      </c>
      <c r="O1675" t="s">
        <v>2105</v>
      </c>
      <c r="P1675" t="s">
        <v>68</v>
      </c>
      <c r="Q1675">
        <v>38.6</v>
      </c>
      <c r="R1675">
        <v>5</v>
      </c>
      <c r="S1675" t="s">
        <v>77</v>
      </c>
    </row>
    <row r="1676" spans="1:19" x14ac:dyDescent="0.35">
      <c r="A1676">
        <v>16725</v>
      </c>
      <c r="B1676" t="str">
        <f>"016725"</f>
        <v>016725</v>
      </c>
      <c r="C1676" t="s">
        <v>5903</v>
      </c>
      <c r="D1676" t="s">
        <v>3394</v>
      </c>
      <c r="E1676" t="s">
        <v>3395</v>
      </c>
      <c r="F1676" t="s">
        <v>3396</v>
      </c>
      <c r="G1676" t="s">
        <v>325</v>
      </c>
      <c r="H1676" t="s">
        <v>5904</v>
      </c>
      <c r="I1676" t="s">
        <v>5905</v>
      </c>
      <c r="J1676" t="s">
        <v>2819</v>
      </c>
      <c r="K1676" t="s">
        <v>55</v>
      </c>
      <c r="L1676" t="s">
        <v>2820</v>
      </c>
      <c r="M1676" t="s">
        <v>57</v>
      </c>
      <c r="N1676" t="str">
        <f>"044925"</f>
        <v>044925</v>
      </c>
      <c r="O1676" t="s">
        <v>2816</v>
      </c>
      <c r="P1676" t="s">
        <v>68</v>
      </c>
      <c r="Q1676">
        <v>43.2</v>
      </c>
      <c r="R1676">
        <v>18.099999999999994</v>
      </c>
      <c r="S1676" t="s">
        <v>180</v>
      </c>
    </row>
    <row r="1677" spans="1:19" x14ac:dyDescent="0.35">
      <c r="A1677">
        <v>16733</v>
      </c>
      <c r="B1677" t="str">
        <f>"016733"</f>
        <v>016733</v>
      </c>
      <c r="C1677" t="s">
        <v>5906</v>
      </c>
      <c r="D1677" t="s">
        <v>3394</v>
      </c>
      <c r="E1677" t="s">
        <v>3395</v>
      </c>
      <c r="F1677" t="s">
        <v>3396</v>
      </c>
      <c r="G1677" t="s">
        <v>212</v>
      </c>
      <c r="H1677" t="s">
        <v>5907</v>
      </c>
      <c r="I1677" t="s">
        <v>5908</v>
      </c>
      <c r="J1677" t="s">
        <v>215</v>
      </c>
      <c r="K1677" t="s">
        <v>55</v>
      </c>
      <c r="L1677" t="s">
        <v>914</v>
      </c>
      <c r="M1677" t="s">
        <v>57</v>
      </c>
      <c r="N1677" t="str">
        <f>"044412"</f>
        <v>044412</v>
      </c>
      <c r="O1677" t="s">
        <v>1627</v>
      </c>
      <c r="P1677" t="s">
        <v>68</v>
      </c>
      <c r="Q1677">
        <v>98</v>
      </c>
      <c r="R1677">
        <v>90.7</v>
      </c>
      <c r="S1677" t="s">
        <v>217</v>
      </c>
    </row>
    <row r="1678" spans="1:19" x14ac:dyDescent="0.35">
      <c r="A1678">
        <v>16758</v>
      </c>
      <c r="B1678" t="str">
        <f>"016758"</f>
        <v>016758</v>
      </c>
      <c r="C1678" t="s">
        <v>5909</v>
      </c>
      <c r="D1678" t="s">
        <v>3398</v>
      </c>
      <c r="E1678" t="s">
        <v>3395</v>
      </c>
      <c r="F1678" t="s">
        <v>3396</v>
      </c>
      <c r="G1678" t="s">
        <v>117</v>
      </c>
      <c r="H1678" t="s">
        <v>3197</v>
      </c>
      <c r="I1678" t="s">
        <v>3198</v>
      </c>
      <c r="J1678" t="s">
        <v>3199</v>
      </c>
      <c r="K1678" t="s">
        <v>55</v>
      </c>
      <c r="L1678" t="s">
        <v>3200</v>
      </c>
      <c r="M1678" t="s">
        <v>57</v>
      </c>
      <c r="N1678" t="str">
        <f>"044503"</f>
        <v>044503</v>
      </c>
      <c r="O1678" t="s">
        <v>3196</v>
      </c>
      <c r="P1678" t="s">
        <v>68</v>
      </c>
      <c r="Q1678">
        <v>19</v>
      </c>
      <c r="R1678">
        <v>12.299999999999997</v>
      </c>
      <c r="S1678" t="s">
        <v>77</v>
      </c>
    </row>
    <row r="1679" spans="1:19" x14ac:dyDescent="0.35">
      <c r="A1679">
        <v>16808</v>
      </c>
      <c r="B1679" t="str">
        <f>"016808"</f>
        <v>016808</v>
      </c>
      <c r="C1679" t="s">
        <v>5910</v>
      </c>
      <c r="D1679" t="s">
        <v>3394</v>
      </c>
      <c r="E1679" t="s">
        <v>3395</v>
      </c>
      <c r="F1679" t="s">
        <v>3396</v>
      </c>
      <c r="G1679" t="s">
        <v>1296</v>
      </c>
      <c r="H1679" t="s">
        <v>5911</v>
      </c>
      <c r="I1679" t="s">
        <v>5912</v>
      </c>
      <c r="J1679" t="s">
        <v>5913</v>
      </c>
      <c r="K1679" t="s">
        <v>55</v>
      </c>
      <c r="L1679" t="s">
        <v>3047</v>
      </c>
      <c r="M1679" t="s">
        <v>57</v>
      </c>
      <c r="N1679" t="str">
        <f>"049700"</f>
        <v>049700</v>
      </c>
      <c r="O1679" t="s">
        <v>3043</v>
      </c>
      <c r="P1679" t="s">
        <v>68</v>
      </c>
      <c r="Q1679">
        <v>23.8</v>
      </c>
      <c r="R1679">
        <v>9.4000000000000057</v>
      </c>
      <c r="S1679" t="s">
        <v>156</v>
      </c>
    </row>
    <row r="1680" spans="1:19" x14ac:dyDescent="0.35">
      <c r="A1680">
        <v>16816</v>
      </c>
      <c r="B1680" t="str">
        <f>"016816"</f>
        <v>016816</v>
      </c>
      <c r="C1680" t="s">
        <v>5914</v>
      </c>
      <c r="D1680" t="s">
        <v>3398</v>
      </c>
      <c r="E1680" t="s">
        <v>3395</v>
      </c>
      <c r="F1680" t="s">
        <v>3396</v>
      </c>
      <c r="G1680" t="s">
        <v>1296</v>
      </c>
      <c r="H1680" t="s">
        <v>5911</v>
      </c>
      <c r="I1680" t="s">
        <v>5912</v>
      </c>
      <c r="J1680" t="s">
        <v>5913</v>
      </c>
      <c r="K1680" t="s">
        <v>55</v>
      </c>
      <c r="L1680" t="s">
        <v>3047</v>
      </c>
      <c r="M1680" t="s">
        <v>57</v>
      </c>
      <c r="N1680" t="str">
        <f>"049700"</f>
        <v>049700</v>
      </c>
      <c r="O1680" t="s">
        <v>3043</v>
      </c>
      <c r="P1680" t="s">
        <v>68</v>
      </c>
      <c r="Q1680">
        <v>19.899999999999999</v>
      </c>
      <c r="R1680">
        <v>11</v>
      </c>
      <c r="S1680" t="s">
        <v>156</v>
      </c>
    </row>
    <row r="1681" spans="1:19" x14ac:dyDescent="0.35">
      <c r="A1681">
        <v>16824</v>
      </c>
      <c r="B1681" t="str">
        <f>"016824"</f>
        <v>016824</v>
      </c>
      <c r="C1681" t="s">
        <v>5915</v>
      </c>
      <c r="D1681" t="s">
        <v>3394</v>
      </c>
      <c r="E1681" t="s">
        <v>3395</v>
      </c>
      <c r="F1681" t="s">
        <v>3396</v>
      </c>
      <c r="G1681" t="s">
        <v>244</v>
      </c>
      <c r="H1681" t="s">
        <v>5916</v>
      </c>
      <c r="I1681" t="s">
        <v>5917</v>
      </c>
      <c r="J1681" t="s">
        <v>5918</v>
      </c>
      <c r="K1681" t="s">
        <v>55</v>
      </c>
      <c r="L1681" t="s">
        <v>5919</v>
      </c>
      <c r="M1681" t="s">
        <v>57</v>
      </c>
      <c r="N1681" t="str">
        <f>"046110"</f>
        <v>046110</v>
      </c>
      <c r="O1681" t="s">
        <v>2005</v>
      </c>
      <c r="P1681" t="s">
        <v>68</v>
      </c>
      <c r="Q1681">
        <v>30.3</v>
      </c>
      <c r="R1681">
        <v>41.9</v>
      </c>
      <c r="S1681" t="s">
        <v>217</v>
      </c>
    </row>
    <row r="1682" spans="1:19" x14ac:dyDescent="0.35">
      <c r="A1682">
        <v>16832</v>
      </c>
      <c r="B1682" t="str">
        <f>"016832"</f>
        <v>016832</v>
      </c>
      <c r="C1682" t="s">
        <v>5920</v>
      </c>
      <c r="D1682" t="s">
        <v>3394</v>
      </c>
      <c r="E1682" t="s">
        <v>3395</v>
      </c>
      <c r="F1682" t="s">
        <v>3396</v>
      </c>
      <c r="G1682" t="s">
        <v>481</v>
      </c>
      <c r="H1682" t="s">
        <v>5921</v>
      </c>
      <c r="I1682" t="s">
        <v>5922</v>
      </c>
      <c r="J1682" t="s">
        <v>484</v>
      </c>
      <c r="K1682" t="s">
        <v>55</v>
      </c>
      <c r="L1682" t="s">
        <v>485</v>
      </c>
      <c r="M1682" t="s">
        <v>57</v>
      </c>
      <c r="N1682" t="str">
        <f>"045492"</f>
        <v>045492</v>
      </c>
      <c r="O1682" t="s">
        <v>3003</v>
      </c>
      <c r="P1682" t="s">
        <v>68</v>
      </c>
      <c r="Q1682">
        <v>14.4</v>
      </c>
      <c r="R1682">
        <v>11.299999999999997</v>
      </c>
      <c r="S1682" t="s">
        <v>69</v>
      </c>
    </row>
    <row r="1683" spans="1:19" x14ac:dyDescent="0.35">
      <c r="A1683">
        <v>16840</v>
      </c>
      <c r="B1683" t="str">
        <f>"016840"</f>
        <v>016840</v>
      </c>
      <c r="C1683" t="s">
        <v>5923</v>
      </c>
      <c r="D1683" t="s">
        <v>3394</v>
      </c>
      <c r="E1683" t="s">
        <v>3395</v>
      </c>
      <c r="F1683" t="s">
        <v>3396</v>
      </c>
      <c r="G1683" t="s">
        <v>543</v>
      </c>
      <c r="H1683" t="s">
        <v>5924</v>
      </c>
      <c r="I1683" t="s">
        <v>5925</v>
      </c>
      <c r="J1683" t="s">
        <v>687</v>
      </c>
      <c r="K1683" t="s">
        <v>55</v>
      </c>
      <c r="L1683" t="s">
        <v>2846</v>
      </c>
      <c r="M1683" t="s">
        <v>57</v>
      </c>
      <c r="N1683" t="str">
        <f>"043844"</f>
        <v>043844</v>
      </c>
      <c r="O1683" t="s">
        <v>985</v>
      </c>
      <c r="P1683" t="s">
        <v>68</v>
      </c>
      <c r="Q1683">
        <v>98.4</v>
      </c>
      <c r="R1683">
        <v>45.9</v>
      </c>
      <c r="S1683" t="s">
        <v>180</v>
      </c>
    </row>
    <row r="1684" spans="1:19" x14ac:dyDescent="0.35">
      <c r="A1684">
        <v>17004</v>
      </c>
      <c r="B1684" t="str">
        <f>"017004"</f>
        <v>017004</v>
      </c>
      <c r="C1684" t="s">
        <v>5926</v>
      </c>
      <c r="D1684" t="s">
        <v>3398</v>
      </c>
      <c r="E1684" t="s">
        <v>3395</v>
      </c>
      <c r="F1684" t="s">
        <v>3396</v>
      </c>
      <c r="G1684" t="s">
        <v>169</v>
      </c>
      <c r="H1684" t="s">
        <v>5927</v>
      </c>
      <c r="I1684" t="s">
        <v>5928</v>
      </c>
      <c r="J1684" t="s">
        <v>172</v>
      </c>
      <c r="K1684" t="s">
        <v>55</v>
      </c>
      <c r="L1684" t="s">
        <v>1097</v>
      </c>
      <c r="M1684" t="s">
        <v>57</v>
      </c>
      <c r="N1684" t="str">
        <f>"050161"</f>
        <v>050161</v>
      </c>
      <c r="O1684" t="s">
        <v>1094</v>
      </c>
      <c r="P1684" t="s">
        <v>68</v>
      </c>
      <c r="Q1684">
        <v>28.8</v>
      </c>
      <c r="R1684">
        <v>14.700000000000003</v>
      </c>
      <c r="S1684" t="s">
        <v>77</v>
      </c>
    </row>
    <row r="1685" spans="1:19" x14ac:dyDescent="0.35">
      <c r="A1685">
        <v>17012</v>
      </c>
      <c r="B1685" t="str">
        <f>"017012"</f>
        <v>017012</v>
      </c>
      <c r="C1685" t="s">
        <v>5929</v>
      </c>
      <c r="D1685" t="s">
        <v>3400</v>
      </c>
      <c r="E1685" t="s">
        <v>3395</v>
      </c>
      <c r="F1685" t="s">
        <v>3396</v>
      </c>
      <c r="G1685" t="s">
        <v>169</v>
      </c>
      <c r="H1685" t="s">
        <v>5930</v>
      </c>
      <c r="I1685" t="s">
        <v>5931</v>
      </c>
      <c r="J1685" t="s">
        <v>172</v>
      </c>
      <c r="K1685" t="s">
        <v>55</v>
      </c>
      <c r="L1685" t="s">
        <v>1097</v>
      </c>
      <c r="M1685" t="s">
        <v>57</v>
      </c>
      <c r="N1685" t="str">
        <f>"050161"</f>
        <v>050161</v>
      </c>
      <c r="O1685" t="s">
        <v>1094</v>
      </c>
      <c r="P1685" t="s">
        <v>68</v>
      </c>
      <c r="Q1685">
        <v>36.1</v>
      </c>
      <c r="R1685">
        <v>17.099999999999994</v>
      </c>
      <c r="S1685" t="s">
        <v>77</v>
      </c>
    </row>
    <row r="1686" spans="1:19" x14ac:dyDescent="0.35">
      <c r="A1686">
        <v>17046</v>
      </c>
      <c r="B1686" t="str">
        <f>"017046"</f>
        <v>017046</v>
      </c>
      <c r="C1686" t="s">
        <v>5932</v>
      </c>
      <c r="D1686" t="s">
        <v>3398</v>
      </c>
      <c r="E1686" t="s">
        <v>3395</v>
      </c>
      <c r="F1686" t="s">
        <v>3396</v>
      </c>
      <c r="G1686" t="s">
        <v>169</v>
      </c>
      <c r="H1686" t="s">
        <v>5933</v>
      </c>
      <c r="I1686" t="s">
        <v>5934</v>
      </c>
      <c r="J1686" t="s">
        <v>2266</v>
      </c>
      <c r="K1686" t="s">
        <v>55</v>
      </c>
      <c r="L1686" t="s">
        <v>2267</v>
      </c>
      <c r="M1686" t="s">
        <v>57</v>
      </c>
      <c r="N1686" t="str">
        <f>"045427"</f>
        <v>045427</v>
      </c>
      <c r="O1686" t="s">
        <v>2263</v>
      </c>
      <c r="P1686" t="s">
        <v>68</v>
      </c>
      <c r="Q1686">
        <v>29.7</v>
      </c>
      <c r="R1686">
        <v>11.900000000000006</v>
      </c>
      <c r="S1686" t="s">
        <v>77</v>
      </c>
    </row>
    <row r="1687" spans="1:19" x14ac:dyDescent="0.35">
      <c r="A1687">
        <v>17053</v>
      </c>
      <c r="B1687" t="str">
        <f>"017053"</f>
        <v>017053</v>
      </c>
      <c r="C1687" t="s">
        <v>5935</v>
      </c>
      <c r="D1687" t="s">
        <v>3394</v>
      </c>
      <c r="E1687" t="s">
        <v>3395</v>
      </c>
      <c r="F1687" t="s">
        <v>3396</v>
      </c>
      <c r="G1687" t="s">
        <v>600</v>
      </c>
      <c r="H1687" t="s">
        <v>5936</v>
      </c>
      <c r="I1687" t="s">
        <v>5937</v>
      </c>
      <c r="J1687" t="s">
        <v>2690</v>
      </c>
      <c r="K1687" t="s">
        <v>55</v>
      </c>
      <c r="L1687" t="s">
        <v>2691</v>
      </c>
      <c r="M1687" t="s">
        <v>57</v>
      </c>
      <c r="N1687" t="str">
        <f>"045047"</f>
        <v>045047</v>
      </c>
      <c r="O1687" t="s">
        <v>2687</v>
      </c>
      <c r="P1687" t="s">
        <v>68</v>
      </c>
      <c r="Q1687">
        <v>60.2</v>
      </c>
      <c r="R1687">
        <v>60</v>
      </c>
      <c r="S1687" t="s">
        <v>60</v>
      </c>
    </row>
    <row r="1688" spans="1:19" x14ac:dyDescent="0.35">
      <c r="A1688">
        <v>17079</v>
      </c>
      <c r="B1688" t="str">
        <f>"017079"</f>
        <v>017079</v>
      </c>
      <c r="C1688" t="s">
        <v>5938</v>
      </c>
      <c r="D1688" t="s">
        <v>3394</v>
      </c>
      <c r="E1688" t="s">
        <v>3395</v>
      </c>
      <c r="F1688" t="s">
        <v>3396</v>
      </c>
      <c r="G1688" t="s">
        <v>264</v>
      </c>
      <c r="H1688" t="s">
        <v>5939</v>
      </c>
      <c r="I1688" t="s">
        <v>5940</v>
      </c>
      <c r="J1688" t="s">
        <v>800</v>
      </c>
      <c r="K1688" t="s">
        <v>55</v>
      </c>
      <c r="L1688" t="s">
        <v>801</v>
      </c>
      <c r="M1688" t="s">
        <v>57</v>
      </c>
      <c r="N1688" t="str">
        <f>"050021"</f>
        <v>050021</v>
      </c>
      <c r="O1688" t="s">
        <v>1411</v>
      </c>
      <c r="P1688" t="s">
        <v>68</v>
      </c>
      <c r="Q1688">
        <v>4.5</v>
      </c>
      <c r="R1688">
        <v>16.900000000000006</v>
      </c>
      <c r="S1688" t="s">
        <v>77</v>
      </c>
    </row>
    <row r="1689" spans="1:19" x14ac:dyDescent="0.35">
      <c r="A1689">
        <v>17087</v>
      </c>
      <c r="B1689" t="str">
        <f>"017087"</f>
        <v>017087</v>
      </c>
      <c r="C1689" t="s">
        <v>5941</v>
      </c>
      <c r="D1689" t="s">
        <v>3400</v>
      </c>
      <c r="E1689" t="s">
        <v>3395</v>
      </c>
      <c r="F1689" t="s">
        <v>3396</v>
      </c>
      <c r="G1689" t="s">
        <v>264</v>
      </c>
      <c r="H1689" t="s">
        <v>5942</v>
      </c>
      <c r="I1689" t="s">
        <v>5943</v>
      </c>
      <c r="J1689" t="s">
        <v>800</v>
      </c>
      <c r="K1689" t="s">
        <v>55</v>
      </c>
      <c r="L1689" t="s">
        <v>801</v>
      </c>
      <c r="M1689" t="s">
        <v>57</v>
      </c>
      <c r="N1689" t="str">
        <f>"050021"</f>
        <v>050021</v>
      </c>
      <c r="O1689" t="s">
        <v>1411</v>
      </c>
      <c r="P1689" t="s">
        <v>68</v>
      </c>
      <c r="Q1689">
        <v>5.7</v>
      </c>
      <c r="R1689">
        <v>18.299999999999997</v>
      </c>
      <c r="S1689" t="s">
        <v>77</v>
      </c>
    </row>
    <row r="1690" spans="1:19" x14ac:dyDescent="0.35">
      <c r="A1690">
        <v>17095</v>
      </c>
      <c r="B1690" t="str">
        <f>"017095"</f>
        <v>017095</v>
      </c>
      <c r="C1690" t="s">
        <v>5944</v>
      </c>
      <c r="D1690" t="s">
        <v>3398</v>
      </c>
      <c r="E1690" t="s">
        <v>3395</v>
      </c>
      <c r="F1690" t="s">
        <v>3396</v>
      </c>
      <c r="G1690" t="s">
        <v>264</v>
      </c>
      <c r="H1690" t="s">
        <v>5945</v>
      </c>
      <c r="I1690" t="s">
        <v>5946</v>
      </c>
      <c r="J1690" t="s">
        <v>800</v>
      </c>
      <c r="K1690" t="s">
        <v>55</v>
      </c>
      <c r="L1690" t="s">
        <v>801</v>
      </c>
      <c r="M1690" t="s">
        <v>57</v>
      </c>
      <c r="N1690" t="str">
        <f>"050021"</f>
        <v>050021</v>
      </c>
      <c r="O1690" t="s">
        <v>1411</v>
      </c>
      <c r="P1690" t="s">
        <v>68</v>
      </c>
      <c r="Q1690">
        <v>5.0999999999999996</v>
      </c>
      <c r="R1690">
        <v>14.200000000000003</v>
      </c>
      <c r="S1690" t="s">
        <v>77</v>
      </c>
    </row>
    <row r="1691" spans="1:19" x14ac:dyDescent="0.35">
      <c r="A1691">
        <v>17129</v>
      </c>
      <c r="B1691" t="str">
        <f>"017129"</f>
        <v>017129</v>
      </c>
      <c r="C1691" t="s">
        <v>5947</v>
      </c>
      <c r="D1691" t="s">
        <v>3394</v>
      </c>
      <c r="E1691" t="s">
        <v>3395</v>
      </c>
      <c r="F1691" t="s">
        <v>3396</v>
      </c>
      <c r="G1691" t="s">
        <v>172</v>
      </c>
      <c r="H1691" t="s">
        <v>5948</v>
      </c>
      <c r="I1691" t="s">
        <v>5949</v>
      </c>
      <c r="J1691" t="s">
        <v>600</v>
      </c>
      <c r="K1691" t="s">
        <v>55</v>
      </c>
      <c r="L1691" t="s">
        <v>939</v>
      </c>
      <c r="M1691" t="s">
        <v>57</v>
      </c>
      <c r="N1691" t="str">
        <f>"044008"</f>
        <v>044008</v>
      </c>
      <c r="O1691" t="s">
        <v>1579</v>
      </c>
      <c r="P1691" t="s">
        <v>68</v>
      </c>
      <c r="Q1691">
        <v>27.9</v>
      </c>
      <c r="R1691">
        <v>13.099999999999994</v>
      </c>
      <c r="S1691" t="s">
        <v>217</v>
      </c>
    </row>
    <row r="1692" spans="1:19" x14ac:dyDescent="0.35">
      <c r="A1692">
        <v>17137</v>
      </c>
      <c r="B1692" t="str">
        <f>"017137"</f>
        <v>017137</v>
      </c>
      <c r="C1692" t="s">
        <v>5950</v>
      </c>
      <c r="D1692" t="s">
        <v>3394</v>
      </c>
      <c r="E1692" t="s">
        <v>3395</v>
      </c>
      <c r="F1692" t="s">
        <v>3396</v>
      </c>
      <c r="G1692" t="s">
        <v>318</v>
      </c>
      <c r="H1692" t="s">
        <v>660</v>
      </c>
      <c r="I1692" t="s">
        <v>661</v>
      </c>
      <c r="J1692" t="s">
        <v>321</v>
      </c>
      <c r="K1692" t="s">
        <v>55</v>
      </c>
      <c r="L1692" t="s">
        <v>322</v>
      </c>
      <c r="M1692" t="s">
        <v>57</v>
      </c>
      <c r="N1692" t="str">
        <f>"049502"</f>
        <v>049502</v>
      </c>
      <c r="O1692" t="s">
        <v>659</v>
      </c>
      <c r="P1692" t="s">
        <v>68</v>
      </c>
      <c r="Q1692">
        <v>99.8</v>
      </c>
      <c r="R1692">
        <v>6.2000000000000028</v>
      </c>
      <c r="S1692" t="s">
        <v>130</v>
      </c>
    </row>
    <row r="1693" spans="1:19" x14ac:dyDescent="0.35">
      <c r="A1693">
        <v>17145</v>
      </c>
      <c r="B1693" t="str">
        <f>"017145"</f>
        <v>017145</v>
      </c>
      <c r="C1693" t="s">
        <v>5950</v>
      </c>
      <c r="D1693" t="s">
        <v>3394</v>
      </c>
      <c r="E1693" t="s">
        <v>3395</v>
      </c>
      <c r="F1693" t="s">
        <v>3396</v>
      </c>
      <c r="G1693" t="s">
        <v>406</v>
      </c>
      <c r="H1693" t="s">
        <v>5951</v>
      </c>
      <c r="I1693" t="s">
        <v>5952</v>
      </c>
      <c r="J1693" t="s">
        <v>909</v>
      </c>
      <c r="K1693" t="s">
        <v>55</v>
      </c>
      <c r="L1693" t="s">
        <v>910</v>
      </c>
      <c r="M1693" t="s">
        <v>57</v>
      </c>
      <c r="N1693" t="str">
        <f>"043661"</f>
        <v>043661</v>
      </c>
      <c r="O1693" t="s">
        <v>906</v>
      </c>
      <c r="P1693" t="s">
        <v>68</v>
      </c>
      <c r="Q1693">
        <v>28.8</v>
      </c>
      <c r="R1693">
        <v>14.700000000000003</v>
      </c>
      <c r="S1693" t="s">
        <v>77</v>
      </c>
    </row>
    <row r="1694" spans="1:19" x14ac:dyDescent="0.35">
      <c r="A1694">
        <v>17152</v>
      </c>
      <c r="B1694" t="str">
        <f>"017152"</f>
        <v>017152</v>
      </c>
      <c r="C1694" t="s">
        <v>5953</v>
      </c>
      <c r="D1694" t="s">
        <v>3394</v>
      </c>
      <c r="E1694" t="s">
        <v>3395</v>
      </c>
      <c r="F1694" t="s">
        <v>3396</v>
      </c>
      <c r="G1694" t="s">
        <v>481</v>
      </c>
      <c r="H1694" t="s">
        <v>5954</v>
      </c>
      <c r="I1694" t="s">
        <v>5955</v>
      </c>
      <c r="J1694" t="s">
        <v>876</v>
      </c>
      <c r="K1694" t="s">
        <v>55</v>
      </c>
      <c r="L1694" t="s">
        <v>819</v>
      </c>
      <c r="M1694" t="s">
        <v>57</v>
      </c>
      <c r="N1694" t="str">
        <f>"044628"</f>
        <v>044628</v>
      </c>
      <c r="O1694" t="s">
        <v>873</v>
      </c>
      <c r="P1694" t="s">
        <v>68</v>
      </c>
      <c r="Q1694">
        <v>99.1</v>
      </c>
      <c r="R1694">
        <v>86.4</v>
      </c>
      <c r="S1694" t="s">
        <v>69</v>
      </c>
    </row>
    <row r="1695" spans="1:19" x14ac:dyDescent="0.35">
      <c r="A1695">
        <v>17160</v>
      </c>
      <c r="B1695" t="str">
        <f>"017160"</f>
        <v>017160</v>
      </c>
      <c r="C1695" t="s">
        <v>5956</v>
      </c>
      <c r="D1695" t="s">
        <v>3398</v>
      </c>
      <c r="E1695" t="s">
        <v>3395</v>
      </c>
      <c r="F1695" t="s">
        <v>3396</v>
      </c>
      <c r="G1695" t="s">
        <v>318</v>
      </c>
      <c r="H1695" t="s">
        <v>660</v>
      </c>
      <c r="I1695" t="s">
        <v>661</v>
      </c>
      <c r="J1695" t="s">
        <v>321</v>
      </c>
      <c r="K1695" t="s">
        <v>55</v>
      </c>
      <c r="L1695" t="s">
        <v>322</v>
      </c>
      <c r="M1695" t="s">
        <v>57</v>
      </c>
      <c r="N1695" t="str">
        <f>"049502"</f>
        <v>049502</v>
      </c>
      <c r="O1695" t="s">
        <v>659</v>
      </c>
      <c r="P1695" t="s">
        <v>68</v>
      </c>
      <c r="Q1695">
        <v>97.9</v>
      </c>
      <c r="R1695">
        <v>3.4000000000000057</v>
      </c>
      <c r="S1695" t="s">
        <v>130</v>
      </c>
    </row>
    <row r="1696" spans="1:19" x14ac:dyDescent="0.35">
      <c r="A1696">
        <v>17178</v>
      </c>
      <c r="B1696" t="str">
        <f>"017178"</f>
        <v>017178</v>
      </c>
      <c r="C1696" t="s">
        <v>5957</v>
      </c>
      <c r="D1696" t="s">
        <v>3394</v>
      </c>
      <c r="E1696" t="s">
        <v>3395</v>
      </c>
      <c r="F1696" t="s">
        <v>3396</v>
      </c>
      <c r="G1696" t="s">
        <v>511</v>
      </c>
      <c r="H1696" t="s">
        <v>5958</v>
      </c>
      <c r="I1696" t="s">
        <v>5959</v>
      </c>
      <c r="J1696" t="s">
        <v>514</v>
      </c>
      <c r="K1696" t="s">
        <v>55</v>
      </c>
      <c r="L1696" t="s">
        <v>515</v>
      </c>
      <c r="M1696" t="s">
        <v>57</v>
      </c>
      <c r="N1696" t="str">
        <f>"047175"</f>
        <v>047175</v>
      </c>
      <c r="O1696" t="s">
        <v>510</v>
      </c>
      <c r="P1696" t="s">
        <v>68</v>
      </c>
      <c r="Q1696">
        <v>36</v>
      </c>
      <c r="R1696">
        <v>8.0999999999999943</v>
      </c>
      <c r="S1696" t="s">
        <v>69</v>
      </c>
    </row>
    <row r="1697" spans="1:19" x14ac:dyDescent="0.35">
      <c r="A1697">
        <v>17194</v>
      </c>
      <c r="B1697" t="str">
        <f>"017194"</f>
        <v>017194</v>
      </c>
      <c r="C1697" t="s">
        <v>5960</v>
      </c>
      <c r="D1697" t="s">
        <v>3398</v>
      </c>
      <c r="E1697" t="s">
        <v>3395</v>
      </c>
      <c r="F1697" t="s">
        <v>3396</v>
      </c>
      <c r="G1697" t="s">
        <v>759</v>
      </c>
      <c r="H1697" t="s">
        <v>2189</v>
      </c>
      <c r="I1697" t="s">
        <v>2190</v>
      </c>
      <c r="J1697" t="s">
        <v>79</v>
      </c>
      <c r="K1697" t="s">
        <v>55</v>
      </c>
      <c r="L1697" t="s">
        <v>2191</v>
      </c>
      <c r="M1697" t="s">
        <v>57</v>
      </c>
      <c r="N1697" t="str">
        <f>"044131"</f>
        <v>044131</v>
      </c>
      <c r="O1697" t="s">
        <v>2187</v>
      </c>
      <c r="P1697" t="s">
        <v>68</v>
      </c>
      <c r="Q1697">
        <v>18.8</v>
      </c>
      <c r="R1697">
        <v>9.0999999999999943</v>
      </c>
      <c r="S1697" t="s">
        <v>69</v>
      </c>
    </row>
    <row r="1698" spans="1:19" x14ac:dyDescent="0.35">
      <c r="A1698">
        <v>17228</v>
      </c>
      <c r="B1698" t="str">
        <f>"017228"</f>
        <v>017228</v>
      </c>
      <c r="C1698" t="s">
        <v>5961</v>
      </c>
      <c r="D1698" t="s">
        <v>3394</v>
      </c>
      <c r="E1698" t="s">
        <v>3395</v>
      </c>
      <c r="F1698" t="s">
        <v>3396</v>
      </c>
      <c r="G1698" t="s">
        <v>600</v>
      </c>
      <c r="H1698" t="s">
        <v>5962</v>
      </c>
      <c r="I1698" t="s">
        <v>5963</v>
      </c>
      <c r="J1698" t="s">
        <v>1348</v>
      </c>
      <c r="K1698" t="s">
        <v>55</v>
      </c>
      <c r="L1698" t="s">
        <v>3736</v>
      </c>
      <c r="M1698" t="s">
        <v>57</v>
      </c>
      <c r="N1698" t="str">
        <f>"043802"</f>
        <v>043802</v>
      </c>
      <c r="O1698" t="s">
        <v>3171</v>
      </c>
      <c r="P1698" t="s">
        <v>68</v>
      </c>
      <c r="Q1698">
        <v>100</v>
      </c>
      <c r="R1698">
        <v>69</v>
      </c>
      <c r="S1698" t="s">
        <v>60</v>
      </c>
    </row>
    <row r="1699" spans="1:19" x14ac:dyDescent="0.35">
      <c r="A1699">
        <v>17251</v>
      </c>
      <c r="B1699" t="str">
        <f>"017251"</f>
        <v>017251</v>
      </c>
      <c r="C1699" t="s">
        <v>5964</v>
      </c>
      <c r="D1699" t="s">
        <v>3400</v>
      </c>
      <c r="E1699" t="s">
        <v>3395</v>
      </c>
      <c r="F1699" t="s">
        <v>3396</v>
      </c>
      <c r="G1699" t="s">
        <v>264</v>
      </c>
      <c r="H1699" t="s">
        <v>5965</v>
      </c>
      <c r="I1699" t="s">
        <v>5966</v>
      </c>
      <c r="J1699" t="s">
        <v>267</v>
      </c>
      <c r="K1699" t="s">
        <v>55</v>
      </c>
      <c r="L1699" t="s">
        <v>268</v>
      </c>
      <c r="M1699" t="s">
        <v>57</v>
      </c>
      <c r="N1699" t="str">
        <f>"043489"</f>
        <v>043489</v>
      </c>
      <c r="O1699" t="s">
        <v>3176</v>
      </c>
      <c r="P1699" t="s">
        <v>68</v>
      </c>
      <c r="Q1699">
        <v>100</v>
      </c>
      <c r="R1699">
        <v>45</v>
      </c>
      <c r="S1699" t="s">
        <v>77</v>
      </c>
    </row>
    <row r="1700" spans="1:19" x14ac:dyDescent="0.35">
      <c r="A1700">
        <v>17269</v>
      </c>
      <c r="B1700" t="str">
        <f>"017269"</f>
        <v>017269</v>
      </c>
      <c r="C1700" t="s">
        <v>5967</v>
      </c>
      <c r="D1700" t="s">
        <v>3394</v>
      </c>
      <c r="E1700" t="s">
        <v>3395</v>
      </c>
      <c r="F1700" t="s">
        <v>3396</v>
      </c>
      <c r="G1700" t="s">
        <v>1359</v>
      </c>
      <c r="H1700" t="s">
        <v>5968</v>
      </c>
      <c r="I1700" t="s">
        <v>5969</v>
      </c>
      <c r="J1700" t="s">
        <v>1733</v>
      </c>
      <c r="K1700" t="s">
        <v>55</v>
      </c>
      <c r="L1700" t="s">
        <v>1734</v>
      </c>
      <c r="M1700" t="s">
        <v>57</v>
      </c>
      <c r="N1700" t="str">
        <f>"048819"</f>
        <v>048819</v>
      </c>
      <c r="O1700" t="s">
        <v>1730</v>
      </c>
      <c r="P1700" t="s">
        <v>68</v>
      </c>
      <c r="Q1700">
        <v>37.299999999999997</v>
      </c>
      <c r="R1700">
        <v>3.7999999999999972</v>
      </c>
      <c r="S1700" t="s">
        <v>60</v>
      </c>
    </row>
    <row r="1701" spans="1:19" x14ac:dyDescent="0.35">
      <c r="A1701">
        <v>17285</v>
      </c>
      <c r="B1701" t="str">
        <f>"017285"</f>
        <v>017285</v>
      </c>
      <c r="C1701" t="s">
        <v>5970</v>
      </c>
      <c r="D1701" t="s">
        <v>3398</v>
      </c>
      <c r="E1701" t="s">
        <v>3395</v>
      </c>
      <c r="F1701" t="s">
        <v>3396</v>
      </c>
      <c r="G1701" t="s">
        <v>63</v>
      </c>
      <c r="H1701" t="s">
        <v>5971</v>
      </c>
      <c r="I1701" t="s">
        <v>5972</v>
      </c>
      <c r="J1701" t="s">
        <v>795</v>
      </c>
      <c r="K1701" t="s">
        <v>55</v>
      </c>
      <c r="L1701" t="s">
        <v>796</v>
      </c>
      <c r="M1701" t="s">
        <v>57</v>
      </c>
      <c r="N1701" t="str">
        <f>"046565"</f>
        <v>046565</v>
      </c>
      <c r="O1701" t="s">
        <v>792</v>
      </c>
      <c r="P1701" t="s">
        <v>68</v>
      </c>
      <c r="Q1701">
        <v>8.6999999999999993</v>
      </c>
      <c r="R1701">
        <v>9.7000000000000028</v>
      </c>
      <c r="S1701" t="s">
        <v>69</v>
      </c>
    </row>
    <row r="1702" spans="1:19" x14ac:dyDescent="0.35">
      <c r="A1702">
        <v>17293</v>
      </c>
      <c r="B1702" t="str">
        <f>"017293"</f>
        <v>017293</v>
      </c>
      <c r="C1702" t="s">
        <v>5973</v>
      </c>
      <c r="D1702" t="s">
        <v>3400</v>
      </c>
      <c r="E1702" t="s">
        <v>3395</v>
      </c>
      <c r="F1702" t="s">
        <v>3396</v>
      </c>
      <c r="G1702" t="s">
        <v>63</v>
      </c>
      <c r="H1702" t="s">
        <v>5974</v>
      </c>
      <c r="I1702" t="s">
        <v>5975</v>
      </c>
      <c r="J1702" t="s">
        <v>795</v>
      </c>
      <c r="K1702" t="s">
        <v>55</v>
      </c>
      <c r="L1702" t="s">
        <v>796</v>
      </c>
      <c r="M1702" t="s">
        <v>57</v>
      </c>
      <c r="N1702" t="str">
        <f>"046565"</f>
        <v>046565</v>
      </c>
      <c r="O1702" t="s">
        <v>792</v>
      </c>
      <c r="P1702" t="s">
        <v>68</v>
      </c>
      <c r="Q1702">
        <v>9.1</v>
      </c>
      <c r="R1702">
        <v>7.7999999999999972</v>
      </c>
      <c r="S1702" t="s">
        <v>69</v>
      </c>
    </row>
    <row r="1703" spans="1:19" x14ac:dyDescent="0.35">
      <c r="A1703">
        <v>17301</v>
      </c>
      <c r="B1703" t="str">
        <f>"017301"</f>
        <v>017301</v>
      </c>
      <c r="C1703" t="s">
        <v>5976</v>
      </c>
      <c r="D1703" t="s">
        <v>3398</v>
      </c>
      <c r="E1703" t="s">
        <v>3395</v>
      </c>
      <c r="F1703" t="s">
        <v>3396</v>
      </c>
      <c r="G1703" t="s">
        <v>212</v>
      </c>
      <c r="H1703" t="s">
        <v>5977</v>
      </c>
      <c r="I1703" t="s">
        <v>5978</v>
      </c>
      <c r="J1703" t="s">
        <v>215</v>
      </c>
      <c r="K1703" t="s">
        <v>55</v>
      </c>
      <c r="L1703" t="s">
        <v>216</v>
      </c>
      <c r="M1703" t="s">
        <v>57</v>
      </c>
      <c r="N1703" t="str">
        <f>"045435"</f>
        <v>045435</v>
      </c>
      <c r="O1703" t="s">
        <v>211</v>
      </c>
      <c r="P1703" t="s">
        <v>68</v>
      </c>
      <c r="Q1703">
        <v>4.0999999999999996</v>
      </c>
      <c r="R1703">
        <v>26.799999999999997</v>
      </c>
      <c r="S1703" t="s">
        <v>217</v>
      </c>
    </row>
    <row r="1704" spans="1:19" x14ac:dyDescent="0.35">
      <c r="A1704">
        <v>17335</v>
      </c>
      <c r="B1704" t="str">
        <f>"017335"</f>
        <v>017335</v>
      </c>
      <c r="C1704" t="s">
        <v>5979</v>
      </c>
      <c r="D1704" t="s">
        <v>3400</v>
      </c>
      <c r="E1704" t="s">
        <v>3395</v>
      </c>
      <c r="F1704" t="s">
        <v>3396</v>
      </c>
      <c r="G1704" t="s">
        <v>288</v>
      </c>
      <c r="H1704" t="s">
        <v>5980</v>
      </c>
      <c r="I1704" t="s">
        <v>5981</v>
      </c>
      <c r="J1704" t="s">
        <v>3238</v>
      </c>
      <c r="K1704" t="s">
        <v>55</v>
      </c>
      <c r="L1704" t="s">
        <v>3239</v>
      </c>
      <c r="M1704" t="s">
        <v>57</v>
      </c>
      <c r="N1704" t="str">
        <f>"048082"</f>
        <v>048082</v>
      </c>
      <c r="O1704" t="s">
        <v>3235</v>
      </c>
      <c r="P1704" t="s">
        <v>68</v>
      </c>
      <c r="Q1704">
        <v>43</v>
      </c>
      <c r="R1704">
        <v>8.2000000000000028</v>
      </c>
      <c r="S1704" t="s">
        <v>180</v>
      </c>
    </row>
    <row r="1705" spans="1:19" x14ac:dyDescent="0.35">
      <c r="A1705">
        <v>17343</v>
      </c>
      <c r="B1705" t="str">
        <f>"017343"</f>
        <v>017343</v>
      </c>
      <c r="C1705" t="s">
        <v>5982</v>
      </c>
      <c r="D1705" t="s">
        <v>3398</v>
      </c>
      <c r="E1705" t="s">
        <v>3395</v>
      </c>
      <c r="F1705" t="s">
        <v>3396</v>
      </c>
      <c r="G1705" t="s">
        <v>288</v>
      </c>
      <c r="H1705" t="s">
        <v>3236</v>
      </c>
      <c r="I1705" t="s">
        <v>3237</v>
      </c>
      <c r="J1705" t="s">
        <v>3238</v>
      </c>
      <c r="K1705" t="s">
        <v>55</v>
      </c>
      <c r="L1705" t="s">
        <v>3239</v>
      </c>
      <c r="M1705" t="s">
        <v>57</v>
      </c>
      <c r="N1705" t="str">
        <f>"048082"</f>
        <v>048082</v>
      </c>
      <c r="O1705" t="s">
        <v>3235</v>
      </c>
      <c r="P1705" t="s">
        <v>68</v>
      </c>
      <c r="Q1705">
        <v>34.9</v>
      </c>
      <c r="R1705">
        <v>10.299999999999997</v>
      </c>
      <c r="S1705" t="s">
        <v>180</v>
      </c>
    </row>
    <row r="1706" spans="1:19" x14ac:dyDescent="0.35">
      <c r="A1706">
        <v>17350</v>
      </c>
      <c r="B1706" t="str">
        <f>"017350"</f>
        <v>017350</v>
      </c>
      <c r="C1706" t="s">
        <v>5983</v>
      </c>
      <c r="D1706" t="s">
        <v>3394</v>
      </c>
      <c r="E1706" t="s">
        <v>3395</v>
      </c>
      <c r="F1706" t="s">
        <v>3396</v>
      </c>
      <c r="G1706" t="s">
        <v>543</v>
      </c>
      <c r="H1706" t="s">
        <v>5984</v>
      </c>
      <c r="I1706" t="s">
        <v>5985</v>
      </c>
      <c r="J1706" t="s">
        <v>1961</v>
      </c>
      <c r="K1706" t="s">
        <v>55</v>
      </c>
      <c r="L1706" t="s">
        <v>3787</v>
      </c>
      <c r="M1706" t="s">
        <v>57</v>
      </c>
      <c r="N1706" t="str">
        <f>"044180"</f>
        <v>044180</v>
      </c>
      <c r="O1706" t="s">
        <v>1963</v>
      </c>
      <c r="P1706" t="s">
        <v>68</v>
      </c>
      <c r="Q1706">
        <v>46.6</v>
      </c>
      <c r="R1706">
        <v>23.400000000000006</v>
      </c>
      <c r="S1706" t="s">
        <v>180</v>
      </c>
    </row>
    <row r="1707" spans="1:19" x14ac:dyDescent="0.35">
      <c r="A1707">
        <v>17368</v>
      </c>
      <c r="B1707" t="str">
        <f>"017368"</f>
        <v>017368</v>
      </c>
      <c r="C1707" t="s">
        <v>5986</v>
      </c>
      <c r="D1707" t="s">
        <v>3394</v>
      </c>
      <c r="E1707" t="s">
        <v>3395</v>
      </c>
      <c r="F1707" t="s">
        <v>3396</v>
      </c>
      <c r="G1707" t="s">
        <v>600</v>
      </c>
      <c r="H1707" t="s">
        <v>5987</v>
      </c>
      <c r="I1707" t="s">
        <v>5988</v>
      </c>
      <c r="J1707" t="s">
        <v>1956</v>
      </c>
      <c r="K1707" t="s">
        <v>55</v>
      </c>
      <c r="L1707" t="s">
        <v>1957</v>
      </c>
      <c r="M1707" t="s">
        <v>57</v>
      </c>
      <c r="N1707" t="str">
        <f>"047027"</f>
        <v>047027</v>
      </c>
      <c r="O1707" t="s">
        <v>1953</v>
      </c>
      <c r="P1707" t="s">
        <v>68</v>
      </c>
      <c r="Q1707">
        <v>22.4</v>
      </c>
      <c r="R1707">
        <v>49.9</v>
      </c>
      <c r="S1707" t="s">
        <v>60</v>
      </c>
    </row>
    <row r="1708" spans="1:19" x14ac:dyDescent="0.35">
      <c r="A1708">
        <v>17392</v>
      </c>
      <c r="B1708" t="str">
        <f>"017392"</f>
        <v>017392</v>
      </c>
      <c r="C1708" t="s">
        <v>5989</v>
      </c>
      <c r="D1708" t="s">
        <v>3394</v>
      </c>
      <c r="E1708" t="s">
        <v>3395</v>
      </c>
      <c r="F1708" t="s">
        <v>3396</v>
      </c>
      <c r="G1708" t="s">
        <v>600</v>
      </c>
      <c r="H1708" t="s">
        <v>5990</v>
      </c>
      <c r="I1708" t="s">
        <v>5991</v>
      </c>
      <c r="J1708" t="s">
        <v>1348</v>
      </c>
      <c r="K1708" t="s">
        <v>55</v>
      </c>
      <c r="L1708" t="s">
        <v>4473</v>
      </c>
      <c r="M1708" t="s">
        <v>57</v>
      </c>
      <c r="N1708" t="str">
        <f>"043802"</f>
        <v>043802</v>
      </c>
      <c r="O1708" t="s">
        <v>3171</v>
      </c>
      <c r="P1708" t="s">
        <v>68</v>
      </c>
      <c r="Q1708">
        <v>100</v>
      </c>
      <c r="R1708">
        <v>42.9</v>
      </c>
      <c r="S1708" t="s">
        <v>60</v>
      </c>
    </row>
    <row r="1709" spans="1:19" x14ac:dyDescent="0.35">
      <c r="A1709">
        <v>17400</v>
      </c>
      <c r="B1709" t="str">
        <f>"017400"</f>
        <v>017400</v>
      </c>
      <c r="C1709" t="s">
        <v>5992</v>
      </c>
      <c r="D1709" t="s">
        <v>3506</v>
      </c>
      <c r="E1709" t="s">
        <v>3395</v>
      </c>
      <c r="F1709" t="s">
        <v>3396</v>
      </c>
      <c r="G1709" t="s">
        <v>777</v>
      </c>
      <c r="H1709" t="s">
        <v>5051</v>
      </c>
      <c r="I1709" t="s">
        <v>5052</v>
      </c>
      <c r="J1709" t="s">
        <v>2924</v>
      </c>
      <c r="K1709" t="s">
        <v>55</v>
      </c>
      <c r="L1709" t="s">
        <v>2925</v>
      </c>
      <c r="M1709" t="s">
        <v>57</v>
      </c>
      <c r="N1709" t="str">
        <f>"046235"</f>
        <v>046235</v>
      </c>
      <c r="O1709" t="s">
        <v>2921</v>
      </c>
      <c r="P1709" t="s">
        <v>68</v>
      </c>
      <c r="Q1709">
        <v>48.6</v>
      </c>
      <c r="R1709">
        <v>6.2000000000000028</v>
      </c>
      <c r="S1709" t="s">
        <v>180</v>
      </c>
    </row>
    <row r="1710" spans="1:19" x14ac:dyDescent="0.35">
      <c r="A1710">
        <v>17426</v>
      </c>
      <c r="B1710" t="str">
        <f>"017426"</f>
        <v>017426</v>
      </c>
      <c r="C1710" t="s">
        <v>5993</v>
      </c>
      <c r="D1710" t="s">
        <v>3398</v>
      </c>
      <c r="E1710" t="s">
        <v>3395</v>
      </c>
      <c r="F1710" t="s">
        <v>3396</v>
      </c>
      <c r="G1710" t="s">
        <v>71</v>
      </c>
      <c r="H1710" t="s">
        <v>5994</v>
      </c>
      <c r="I1710" t="s">
        <v>5995</v>
      </c>
      <c r="J1710" t="s">
        <v>2592</v>
      </c>
      <c r="K1710" t="s">
        <v>55</v>
      </c>
      <c r="L1710" t="s">
        <v>2593</v>
      </c>
      <c r="M1710" t="s">
        <v>57</v>
      </c>
      <c r="N1710" t="str">
        <f>"050286"</f>
        <v>050286</v>
      </c>
      <c r="O1710" t="s">
        <v>2589</v>
      </c>
      <c r="P1710" t="s">
        <v>68</v>
      </c>
      <c r="Q1710">
        <v>33.299999999999997</v>
      </c>
      <c r="R1710">
        <v>3.7000000000000028</v>
      </c>
      <c r="S1710" t="s">
        <v>77</v>
      </c>
    </row>
    <row r="1711" spans="1:19" x14ac:dyDescent="0.35">
      <c r="A1711">
        <v>17434</v>
      </c>
      <c r="B1711" t="str">
        <f>"017434"</f>
        <v>017434</v>
      </c>
      <c r="C1711" t="s">
        <v>5996</v>
      </c>
      <c r="D1711" t="s">
        <v>3394</v>
      </c>
      <c r="E1711" t="s">
        <v>3395</v>
      </c>
      <c r="F1711" t="s">
        <v>3396</v>
      </c>
      <c r="G1711" t="s">
        <v>600</v>
      </c>
      <c r="H1711" t="s">
        <v>5997</v>
      </c>
      <c r="I1711" t="s">
        <v>5998</v>
      </c>
      <c r="J1711" t="s">
        <v>1348</v>
      </c>
      <c r="K1711" t="s">
        <v>55</v>
      </c>
      <c r="L1711" t="s">
        <v>4444</v>
      </c>
      <c r="M1711" t="s">
        <v>57</v>
      </c>
      <c r="N1711" t="str">
        <f>"043802"</f>
        <v>043802</v>
      </c>
      <c r="O1711" t="s">
        <v>3171</v>
      </c>
      <c r="P1711" t="s">
        <v>68</v>
      </c>
      <c r="Q1711">
        <v>100</v>
      </c>
      <c r="R1711">
        <v>43.1</v>
      </c>
      <c r="S1711" t="s">
        <v>60</v>
      </c>
    </row>
    <row r="1712" spans="1:19" x14ac:dyDescent="0.35">
      <c r="A1712">
        <v>17459</v>
      </c>
      <c r="B1712" t="str">
        <f>"017459"</f>
        <v>017459</v>
      </c>
      <c r="C1712" t="s">
        <v>5999</v>
      </c>
      <c r="D1712" t="s">
        <v>3400</v>
      </c>
      <c r="E1712" t="s">
        <v>3395</v>
      </c>
      <c r="F1712" t="s">
        <v>3396</v>
      </c>
      <c r="G1712" t="s">
        <v>264</v>
      </c>
      <c r="H1712" t="s">
        <v>6000</v>
      </c>
      <c r="I1712" t="s">
        <v>6001</v>
      </c>
      <c r="J1712" t="s">
        <v>267</v>
      </c>
      <c r="K1712" t="s">
        <v>55</v>
      </c>
      <c r="L1712" t="s">
        <v>5821</v>
      </c>
      <c r="M1712" t="s">
        <v>57</v>
      </c>
      <c r="N1712" t="str">
        <f>"043489"</f>
        <v>043489</v>
      </c>
      <c r="O1712" t="s">
        <v>3176</v>
      </c>
      <c r="P1712" t="s">
        <v>68</v>
      </c>
      <c r="Q1712">
        <v>100</v>
      </c>
      <c r="R1712">
        <v>72.900000000000006</v>
      </c>
      <c r="S1712" t="s">
        <v>77</v>
      </c>
    </row>
    <row r="1713" spans="1:19" x14ac:dyDescent="0.35">
      <c r="A1713">
        <v>17491</v>
      </c>
      <c r="B1713" t="str">
        <f>"017491"</f>
        <v>017491</v>
      </c>
      <c r="C1713" t="s">
        <v>6002</v>
      </c>
      <c r="D1713" t="s">
        <v>3398</v>
      </c>
      <c r="E1713" t="s">
        <v>3395</v>
      </c>
      <c r="F1713" t="s">
        <v>3396</v>
      </c>
      <c r="G1713" t="s">
        <v>1335</v>
      </c>
      <c r="H1713" t="s">
        <v>6003</v>
      </c>
      <c r="I1713" t="s">
        <v>6004</v>
      </c>
      <c r="J1713" t="s">
        <v>1640</v>
      </c>
      <c r="K1713" t="s">
        <v>55</v>
      </c>
      <c r="L1713" t="s">
        <v>1641</v>
      </c>
      <c r="M1713" t="s">
        <v>57</v>
      </c>
      <c r="N1713" t="str">
        <f>"044149"</f>
        <v>044149</v>
      </c>
      <c r="O1713" t="s">
        <v>1637</v>
      </c>
      <c r="P1713" t="s">
        <v>68</v>
      </c>
      <c r="Q1713">
        <v>99.7</v>
      </c>
      <c r="R1713">
        <v>17.5</v>
      </c>
      <c r="S1713" t="s">
        <v>130</v>
      </c>
    </row>
    <row r="1714" spans="1:19" x14ac:dyDescent="0.35">
      <c r="A1714">
        <v>17509</v>
      </c>
      <c r="B1714" t="str">
        <f>"017509"</f>
        <v>017509</v>
      </c>
      <c r="C1714" t="s">
        <v>5764</v>
      </c>
      <c r="D1714" t="s">
        <v>3394</v>
      </c>
      <c r="E1714" t="s">
        <v>3395</v>
      </c>
      <c r="F1714" t="s">
        <v>3396</v>
      </c>
      <c r="G1714" t="s">
        <v>143</v>
      </c>
      <c r="H1714" t="s">
        <v>6005</v>
      </c>
      <c r="I1714" t="s">
        <v>6006</v>
      </c>
      <c r="J1714" t="s">
        <v>143</v>
      </c>
      <c r="K1714" t="s">
        <v>55</v>
      </c>
      <c r="L1714" t="s">
        <v>1033</v>
      </c>
      <c r="M1714" t="s">
        <v>57</v>
      </c>
      <c r="N1714" t="str">
        <f>"044263"</f>
        <v>044263</v>
      </c>
      <c r="O1714" t="s">
        <v>1364</v>
      </c>
      <c r="P1714" t="s">
        <v>68</v>
      </c>
      <c r="Q1714">
        <v>100</v>
      </c>
      <c r="R1714">
        <v>78.900000000000006</v>
      </c>
      <c r="S1714" t="s">
        <v>69</v>
      </c>
    </row>
    <row r="1715" spans="1:19" x14ac:dyDescent="0.35">
      <c r="A1715">
        <v>17533</v>
      </c>
      <c r="B1715" t="str">
        <f>"017533"</f>
        <v>017533</v>
      </c>
      <c r="C1715" t="s">
        <v>6007</v>
      </c>
      <c r="D1715" t="s">
        <v>3394</v>
      </c>
      <c r="E1715" t="s">
        <v>3395</v>
      </c>
      <c r="F1715" t="s">
        <v>3396</v>
      </c>
      <c r="G1715" t="s">
        <v>406</v>
      </c>
      <c r="H1715" t="s">
        <v>6008</v>
      </c>
      <c r="I1715" t="s">
        <v>6009</v>
      </c>
      <c r="J1715" t="s">
        <v>465</v>
      </c>
      <c r="K1715" t="s">
        <v>55</v>
      </c>
      <c r="L1715" t="s">
        <v>466</v>
      </c>
      <c r="M1715" t="s">
        <v>57</v>
      </c>
      <c r="N1715" t="str">
        <f>"044974"</f>
        <v>044974</v>
      </c>
      <c r="O1715" t="s">
        <v>462</v>
      </c>
      <c r="P1715" t="s">
        <v>68</v>
      </c>
      <c r="Q1715">
        <v>24.4</v>
      </c>
      <c r="R1715">
        <v>13.799999999999997</v>
      </c>
      <c r="S1715" t="s">
        <v>77</v>
      </c>
    </row>
    <row r="1716" spans="1:19" x14ac:dyDescent="0.35">
      <c r="A1716">
        <v>17541</v>
      </c>
      <c r="B1716" t="str">
        <f>"017541"</f>
        <v>017541</v>
      </c>
      <c r="C1716" t="s">
        <v>6010</v>
      </c>
      <c r="D1716" t="s">
        <v>3394</v>
      </c>
      <c r="E1716" t="s">
        <v>3395</v>
      </c>
      <c r="F1716" t="s">
        <v>3396</v>
      </c>
      <c r="G1716" t="s">
        <v>172</v>
      </c>
      <c r="H1716" t="s">
        <v>6011</v>
      </c>
      <c r="I1716" t="s">
        <v>6012</v>
      </c>
      <c r="J1716" t="s">
        <v>580</v>
      </c>
      <c r="K1716" t="s">
        <v>55</v>
      </c>
      <c r="L1716" t="s">
        <v>581</v>
      </c>
      <c r="M1716" t="s">
        <v>57</v>
      </c>
      <c r="N1716" t="str">
        <f>"050435"</f>
        <v>050435</v>
      </c>
      <c r="O1716" t="s">
        <v>577</v>
      </c>
      <c r="P1716" t="s">
        <v>68</v>
      </c>
      <c r="Q1716">
        <v>18.5</v>
      </c>
      <c r="R1716">
        <v>28.599999999999994</v>
      </c>
      <c r="S1716" t="s">
        <v>217</v>
      </c>
    </row>
    <row r="1717" spans="1:19" x14ac:dyDescent="0.35">
      <c r="A1717">
        <v>17558</v>
      </c>
      <c r="B1717" t="str">
        <f>"017558"</f>
        <v>017558</v>
      </c>
      <c r="C1717" t="s">
        <v>6013</v>
      </c>
      <c r="D1717" t="s">
        <v>3394</v>
      </c>
      <c r="E1717" t="s">
        <v>3395</v>
      </c>
      <c r="F1717" t="s">
        <v>3396</v>
      </c>
      <c r="G1717" t="s">
        <v>200</v>
      </c>
      <c r="H1717" t="s">
        <v>6014</v>
      </c>
      <c r="I1717" t="s">
        <v>6015</v>
      </c>
      <c r="J1717" t="s">
        <v>304</v>
      </c>
      <c r="K1717" t="s">
        <v>55</v>
      </c>
      <c r="L1717" t="s">
        <v>4721</v>
      </c>
      <c r="M1717" t="s">
        <v>57</v>
      </c>
      <c r="N1717" t="str">
        <f>"048231"</f>
        <v>048231</v>
      </c>
      <c r="O1717" t="s">
        <v>1553</v>
      </c>
      <c r="P1717" t="s">
        <v>68</v>
      </c>
      <c r="Q1717" t="s">
        <v>68</v>
      </c>
      <c r="R1717" t="s">
        <v>68</v>
      </c>
      <c r="S1717" t="s">
        <v>156</v>
      </c>
    </row>
    <row r="1718" spans="1:19" x14ac:dyDescent="0.35">
      <c r="A1718">
        <v>17574</v>
      </c>
      <c r="B1718" t="str">
        <f>"017574"</f>
        <v>017574</v>
      </c>
      <c r="C1718" t="s">
        <v>6016</v>
      </c>
      <c r="D1718" t="s">
        <v>3394</v>
      </c>
      <c r="E1718" t="s">
        <v>3395</v>
      </c>
      <c r="F1718" t="s">
        <v>3396</v>
      </c>
      <c r="G1718" t="s">
        <v>572</v>
      </c>
      <c r="H1718" t="s">
        <v>1487</v>
      </c>
      <c r="I1718" t="s">
        <v>1488</v>
      </c>
      <c r="J1718" t="s">
        <v>1489</v>
      </c>
      <c r="K1718" t="s">
        <v>55</v>
      </c>
      <c r="L1718" t="s">
        <v>1490</v>
      </c>
      <c r="M1718" t="s">
        <v>57</v>
      </c>
      <c r="N1718" t="str">
        <f>"049809"</f>
        <v>049809</v>
      </c>
      <c r="O1718" t="s">
        <v>1486</v>
      </c>
      <c r="P1718" t="s">
        <v>68</v>
      </c>
      <c r="Q1718">
        <v>26.9</v>
      </c>
      <c r="R1718">
        <v>4.2999999999999972</v>
      </c>
      <c r="S1718" t="s">
        <v>180</v>
      </c>
    </row>
    <row r="1719" spans="1:19" x14ac:dyDescent="0.35">
      <c r="A1719">
        <v>17582</v>
      </c>
      <c r="B1719" t="str">
        <f>"017582"</f>
        <v>017582</v>
      </c>
      <c r="C1719" t="s">
        <v>6017</v>
      </c>
      <c r="D1719" t="s">
        <v>3398</v>
      </c>
      <c r="E1719" t="s">
        <v>3395</v>
      </c>
      <c r="F1719" t="s">
        <v>3396</v>
      </c>
      <c r="G1719" t="s">
        <v>572</v>
      </c>
      <c r="H1719" t="s">
        <v>1487</v>
      </c>
      <c r="I1719" t="s">
        <v>1488</v>
      </c>
      <c r="J1719" t="s">
        <v>1489</v>
      </c>
      <c r="K1719" t="s">
        <v>55</v>
      </c>
      <c r="L1719" t="s">
        <v>1490</v>
      </c>
      <c r="M1719" t="s">
        <v>57</v>
      </c>
      <c r="N1719" t="str">
        <f>"049809"</f>
        <v>049809</v>
      </c>
      <c r="O1719" t="s">
        <v>1486</v>
      </c>
      <c r="P1719" t="s">
        <v>68</v>
      </c>
      <c r="Q1719">
        <v>29.3</v>
      </c>
      <c r="R1719">
        <v>2.2999999999999972</v>
      </c>
      <c r="S1719" t="s">
        <v>180</v>
      </c>
    </row>
    <row r="1720" spans="1:19" x14ac:dyDescent="0.35">
      <c r="A1720">
        <v>17665</v>
      </c>
      <c r="B1720" t="str">
        <f>"017665"</f>
        <v>017665</v>
      </c>
      <c r="C1720" t="s">
        <v>6018</v>
      </c>
      <c r="D1720" t="s">
        <v>3506</v>
      </c>
      <c r="E1720" t="s">
        <v>3395</v>
      </c>
      <c r="F1720" t="s">
        <v>3396</v>
      </c>
      <c r="G1720" t="s">
        <v>821</v>
      </c>
      <c r="H1720" t="s">
        <v>822</v>
      </c>
      <c r="I1720" t="s">
        <v>823</v>
      </c>
      <c r="J1720" t="s">
        <v>824</v>
      </c>
      <c r="K1720" t="s">
        <v>55</v>
      </c>
      <c r="L1720" t="s">
        <v>825</v>
      </c>
      <c r="M1720" t="s">
        <v>57</v>
      </c>
      <c r="N1720" t="str">
        <f>"047456"</f>
        <v>047456</v>
      </c>
      <c r="O1720" t="s">
        <v>820</v>
      </c>
      <c r="P1720" t="s">
        <v>68</v>
      </c>
      <c r="Q1720">
        <v>28.8</v>
      </c>
      <c r="R1720">
        <v>18.599999999999994</v>
      </c>
      <c r="S1720" t="s">
        <v>156</v>
      </c>
    </row>
    <row r="1721" spans="1:19" x14ac:dyDescent="0.35">
      <c r="A1721">
        <v>17699</v>
      </c>
      <c r="B1721" t="str">
        <f>"017699"</f>
        <v>017699</v>
      </c>
      <c r="C1721" t="s">
        <v>6019</v>
      </c>
      <c r="D1721" t="s">
        <v>3400</v>
      </c>
      <c r="E1721" t="s">
        <v>3395</v>
      </c>
      <c r="F1721" t="s">
        <v>3396</v>
      </c>
      <c r="G1721" t="s">
        <v>383</v>
      </c>
      <c r="H1721" t="s">
        <v>1785</v>
      </c>
      <c r="I1721" t="s">
        <v>1786</v>
      </c>
      <c r="J1721" t="s">
        <v>1787</v>
      </c>
      <c r="K1721" t="s">
        <v>55</v>
      </c>
      <c r="L1721" t="s">
        <v>1788</v>
      </c>
      <c r="M1721" t="s">
        <v>57</v>
      </c>
      <c r="N1721" t="str">
        <f>"048322"</f>
        <v>048322</v>
      </c>
      <c r="O1721" t="s">
        <v>1784</v>
      </c>
      <c r="P1721" t="s">
        <v>68</v>
      </c>
      <c r="Q1721">
        <v>42</v>
      </c>
      <c r="R1721">
        <v>4.7999999999999972</v>
      </c>
      <c r="S1721" t="s">
        <v>77</v>
      </c>
    </row>
    <row r="1722" spans="1:19" x14ac:dyDescent="0.35">
      <c r="A1722">
        <v>17756</v>
      </c>
      <c r="B1722" t="str">
        <f>"017756"</f>
        <v>017756</v>
      </c>
      <c r="C1722" t="s">
        <v>6020</v>
      </c>
      <c r="D1722" t="s">
        <v>3398</v>
      </c>
      <c r="E1722" t="s">
        <v>3395</v>
      </c>
      <c r="F1722" t="s">
        <v>3396</v>
      </c>
      <c r="G1722" t="s">
        <v>351</v>
      </c>
      <c r="H1722" t="s">
        <v>6021</v>
      </c>
      <c r="I1722" t="s">
        <v>6022</v>
      </c>
      <c r="J1722" t="s">
        <v>351</v>
      </c>
      <c r="K1722" t="s">
        <v>55</v>
      </c>
      <c r="L1722" t="s">
        <v>2771</v>
      </c>
      <c r="M1722" t="s">
        <v>57</v>
      </c>
      <c r="N1722" t="str">
        <f>"044156"</f>
        <v>044156</v>
      </c>
      <c r="O1722" t="s">
        <v>2768</v>
      </c>
      <c r="P1722" t="s">
        <v>68</v>
      </c>
      <c r="Q1722">
        <v>36.799999999999997</v>
      </c>
      <c r="R1722">
        <v>3.5999999999999943</v>
      </c>
      <c r="S1722" t="s">
        <v>130</v>
      </c>
    </row>
    <row r="1723" spans="1:19" x14ac:dyDescent="0.35">
      <c r="A1723">
        <v>17764</v>
      </c>
      <c r="B1723" t="str">
        <f>"017764"</f>
        <v>017764</v>
      </c>
      <c r="C1723" t="s">
        <v>6023</v>
      </c>
      <c r="D1723" t="s">
        <v>3400</v>
      </c>
      <c r="E1723" t="s">
        <v>3395</v>
      </c>
      <c r="F1723" t="s">
        <v>3396</v>
      </c>
      <c r="G1723" t="s">
        <v>400</v>
      </c>
      <c r="H1723" t="s">
        <v>2597</v>
      </c>
      <c r="I1723" t="s">
        <v>2598</v>
      </c>
      <c r="J1723" t="s">
        <v>2599</v>
      </c>
      <c r="K1723" t="s">
        <v>55</v>
      </c>
      <c r="L1723" t="s">
        <v>2600</v>
      </c>
      <c r="M1723" t="s">
        <v>57</v>
      </c>
      <c r="N1723" t="str">
        <f>"049569"</f>
        <v>049569</v>
      </c>
      <c r="O1723" t="s">
        <v>2005</v>
      </c>
      <c r="P1723" t="s">
        <v>68</v>
      </c>
      <c r="Q1723">
        <v>42.4</v>
      </c>
      <c r="R1723">
        <v>14.900000000000006</v>
      </c>
      <c r="S1723" t="s">
        <v>156</v>
      </c>
    </row>
    <row r="1724" spans="1:19" x14ac:dyDescent="0.35">
      <c r="A1724">
        <v>17772</v>
      </c>
      <c r="B1724" t="str">
        <f>"017772"</f>
        <v>017772</v>
      </c>
      <c r="C1724" t="s">
        <v>6020</v>
      </c>
      <c r="D1724" t="s">
        <v>3398</v>
      </c>
      <c r="E1724" t="s">
        <v>3395</v>
      </c>
      <c r="F1724" t="s">
        <v>3396</v>
      </c>
      <c r="G1724" t="s">
        <v>117</v>
      </c>
      <c r="H1724" t="s">
        <v>6024</v>
      </c>
      <c r="I1724" t="s">
        <v>6025</v>
      </c>
      <c r="J1724" t="s">
        <v>977</v>
      </c>
      <c r="K1724" t="s">
        <v>55</v>
      </c>
      <c r="L1724" t="s">
        <v>978</v>
      </c>
      <c r="M1724" t="s">
        <v>57</v>
      </c>
      <c r="N1724" t="str">
        <f>"049858"</f>
        <v>049858</v>
      </c>
      <c r="O1724" t="s">
        <v>2490</v>
      </c>
      <c r="P1724" t="s">
        <v>68</v>
      </c>
      <c r="Q1724">
        <v>16.7</v>
      </c>
      <c r="R1724">
        <v>15</v>
      </c>
      <c r="S1724" t="s">
        <v>77</v>
      </c>
    </row>
    <row r="1725" spans="1:19" x14ac:dyDescent="0.35">
      <c r="A1725">
        <v>17798</v>
      </c>
      <c r="B1725" t="str">
        <f>"017798"</f>
        <v>017798</v>
      </c>
      <c r="C1725" t="s">
        <v>6026</v>
      </c>
      <c r="D1725" t="s">
        <v>3398</v>
      </c>
      <c r="E1725" t="s">
        <v>3395</v>
      </c>
      <c r="F1725" t="s">
        <v>3396</v>
      </c>
      <c r="G1725" t="s">
        <v>383</v>
      </c>
      <c r="H1725" t="s">
        <v>1785</v>
      </c>
      <c r="I1725" t="s">
        <v>1786</v>
      </c>
      <c r="J1725" t="s">
        <v>1787</v>
      </c>
      <c r="K1725" t="s">
        <v>55</v>
      </c>
      <c r="L1725" t="s">
        <v>1788</v>
      </c>
      <c r="M1725" t="s">
        <v>57</v>
      </c>
      <c r="N1725" t="str">
        <f>"048322"</f>
        <v>048322</v>
      </c>
      <c r="O1725" t="s">
        <v>1784</v>
      </c>
      <c r="P1725" t="s">
        <v>68</v>
      </c>
      <c r="Q1725">
        <v>37</v>
      </c>
      <c r="R1725">
        <v>4.5999999999999943</v>
      </c>
      <c r="S1725" t="s">
        <v>77</v>
      </c>
    </row>
    <row r="1726" spans="1:19" x14ac:dyDescent="0.35">
      <c r="A1726">
        <v>17814</v>
      </c>
      <c r="B1726" t="str">
        <f>"017814"</f>
        <v>017814</v>
      </c>
      <c r="C1726" t="s">
        <v>6027</v>
      </c>
      <c r="D1726" t="s">
        <v>3394</v>
      </c>
      <c r="E1726" t="s">
        <v>3395</v>
      </c>
      <c r="F1726" t="s">
        <v>3396</v>
      </c>
      <c r="G1726" t="s">
        <v>821</v>
      </c>
      <c r="H1726" t="s">
        <v>6028</v>
      </c>
      <c r="I1726" t="s">
        <v>6029</v>
      </c>
      <c r="J1726" t="s">
        <v>1427</v>
      </c>
      <c r="K1726" t="s">
        <v>55</v>
      </c>
      <c r="L1726" t="s">
        <v>1428</v>
      </c>
      <c r="M1726" t="s">
        <v>57</v>
      </c>
      <c r="N1726" t="str">
        <f>"043984"</f>
        <v>043984</v>
      </c>
      <c r="O1726" t="s">
        <v>1424</v>
      </c>
      <c r="P1726" t="s">
        <v>68</v>
      </c>
      <c r="Q1726">
        <v>44.7</v>
      </c>
      <c r="R1726">
        <v>38.5</v>
      </c>
      <c r="S1726" t="s">
        <v>156</v>
      </c>
    </row>
    <row r="1727" spans="1:19" x14ac:dyDescent="0.35">
      <c r="A1727">
        <v>17822</v>
      </c>
      <c r="B1727" t="str">
        <f>"017822"</f>
        <v>017822</v>
      </c>
      <c r="C1727" t="s">
        <v>6030</v>
      </c>
      <c r="D1727" t="s">
        <v>3394</v>
      </c>
      <c r="E1727" t="s">
        <v>3395</v>
      </c>
      <c r="F1727" t="s">
        <v>3396</v>
      </c>
      <c r="G1727" t="s">
        <v>52</v>
      </c>
      <c r="H1727" t="s">
        <v>6031</v>
      </c>
      <c r="I1727" t="s">
        <v>6032</v>
      </c>
      <c r="J1727" t="s">
        <v>52</v>
      </c>
      <c r="K1727" t="s">
        <v>55</v>
      </c>
      <c r="L1727" t="s">
        <v>56</v>
      </c>
      <c r="M1727" t="s">
        <v>57</v>
      </c>
      <c r="N1727" t="str">
        <f>"043877"</f>
        <v>043877</v>
      </c>
      <c r="O1727" t="s">
        <v>48</v>
      </c>
      <c r="P1727" t="s">
        <v>68</v>
      </c>
      <c r="Q1727">
        <v>36.200000000000003</v>
      </c>
      <c r="R1727">
        <v>20.5</v>
      </c>
      <c r="S1727" t="s">
        <v>60</v>
      </c>
    </row>
    <row r="1728" spans="1:19" x14ac:dyDescent="0.35">
      <c r="A1728">
        <v>17897</v>
      </c>
      <c r="B1728" t="str">
        <f>"017897"</f>
        <v>017897</v>
      </c>
      <c r="C1728" t="s">
        <v>6033</v>
      </c>
      <c r="D1728" t="s">
        <v>3394</v>
      </c>
      <c r="E1728" t="s">
        <v>3395</v>
      </c>
      <c r="F1728" t="s">
        <v>3396</v>
      </c>
      <c r="G1728" t="s">
        <v>194</v>
      </c>
      <c r="H1728" t="s">
        <v>6034</v>
      </c>
      <c r="I1728" t="s">
        <v>6035</v>
      </c>
      <c r="J1728" t="s">
        <v>197</v>
      </c>
      <c r="K1728" t="s">
        <v>55</v>
      </c>
      <c r="L1728" t="s">
        <v>198</v>
      </c>
      <c r="M1728" t="s">
        <v>57</v>
      </c>
      <c r="N1728" t="str">
        <f>"049130"</f>
        <v>049130</v>
      </c>
      <c r="O1728" t="s">
        <v>2273</v>
      </c>
      <c r="P1728" t="s">
        <v>68</v>
      </c>
      <c r="Q1728">
        <v>99.8</v>
      </c>
      <c r="R1728">
        <v>4.2999999999999972</v>
      </c>
      <c r="S1728" t="s">
        <v>130</v>
      </c>
    </row>
    <row r="1729" spans="1:19" x14ac:dyDescent="0.35">
      <c r="A1729">
        <v>17905</v>
      </c>
      <c r="B1729" t="str">
        <f>"017905"</f>
        <v>017905</v>
      </c>
      <c r="C1729" t="s">
        <v>6036</v>
      </c>
      <c r="D1729" t="s">
        <v>3398</v>
      </c>
      <c r="E1729" t="s">
        <v>3395</v>
      </c>
      <c r="F1729" t="s">
        <v>3396</v>
      </c>
      <c r="G1729" t="s">
        <v>132</v>
      </c>
      <c r="H1729" t="s">
        <v>6037</v>
      </c>
      <c r="I1729" t="s">
        <v>6038</v>
      </c>
      <c r="J1729" t="s">
        <v>135</v>
      </c>
      <c r="K1729" t="s">
        <v>55</v>
      </c>
      <c r="L1729" t="s">
        <v>136</v>
      </c>
      <c r="M1729" t="s">
        <v>57</v>
      </c>
      <c r="N1729" t="str">
        <f>"045872"</f>
        <v>045872</v>
      </c>
      <c r="O1729" t="s">
        <v>454</v>
      </c>
      <c r="P1729" t="s">
        <v>68</v>
      </c>
      <c r="Q1729">
        <v>35.1</v>
      </c>
      <c r="R1729">
        <v>10.799999999999997</v>
      </c>
      <c r="S1729" t="s">
        <v>69</v>
      </c>
    </row>
    <row r="1730" spans="1:19" x14ac:dyDescent="0.35">
      <c r="A1730">
        <v>17913</v>
      </c>
      <c r="B1730" t="str">
        <f>"017913"</f>
        <v>017913</v>
      </c>
      <c r="C1730" t="s">
        <v>6039</v>
      </c>
      <c r="D1730" t="s">
        <v>3394</v>
      </c>
      <c r="E1730" t="s">
        <v>3395</v>
      </c>
      <c r="F1730" t="s">
        <v>3396</v>
      </c>
      <c r="G1730" t="s">
        <v>233</v>
      </c>
      <c r="H1730" t="s">
        <v>6040</v>
      </c>
      <c r="I1730" t="s">
        <v>6041</v>
      </c>
      <c r="J1730" t="s">
        <v>2622</v>
      </c>
      <c r="K1730" t="s">
        <v>55</v>
      </c>
      <c r="L1730" t="s">
        <v>2623</v>
      </c>
      <c r="M1730" t="s">
        <v>57</v>
      </c>
      <c r="N1730" t="str">
        <f>"046003"</f>
        <v>046003</v>
      </c>
      <c r="O1730" t="s">
        <v>2619</v>
      </c>
      <c r="P1730" t="s">
        <v>68</v>
      </c>
      <c r="Q1730">
        <v>38.200000000000003</v>
      </c>
      <c r="R1730">
        <v>5</v>
      </c>
      <c r="S1730" t="s">
        <v>130</v>
      </c>
    </row>
    <row r="1731" spans="1:19" x14ac:dyDescent="0.35">
      <c r="A1731">
        <v>17939</v>
      </c>
      <c r="B1731" t="str">
        <f>"017939"</f>
        <v>017939</v>
      </c>
      <c r="C1731" t="s">
        <v>6042</v>
      </c>
      <c r="D1731" t="s">
        <v>3394</v>
      </c>
      <c r="E1731" t="s">
        <v>3395</v>
      </c>
      <c r="F1731" t="s">
        <v>3396</v>
      </c>
      <c r="G1731" t="s">
        <v>600</v>
      </c>
      <c r="H1731" t="s">
        <v>6043</v>
      </c>
      <c r="I1731" t="s">
        <v>6044</v>
      </c>
      <c r="J1731" t="s">
        <v>2536</v>
      </c>
      <c r="K1731" t="s">
        <v>55</v>
      </c>
      <c r="L1731" t="s">
        <v>2537</v>
      </c>
      <c r="M1731" t="s">
        <v>57</v>
      </c>
      <c r="N1731" t="str">
        <f>"046961"</f>
        <v>046961</v>
      </c>
      <c r="O1731" t="s">
        <v>2533</v>
      </c>
      <c r="P1731" t="s">
        <v>68</v>
      </c>
      <c r="Q1731">
        <v>24.1</v>
      </c>
      <c r="R1731">
        <v>38</v>
      </c>
      <c r="S1731" t="s">
        <v>60</v>
      </c>
    </row>
    <row r="1732" spans="1:19" x14ac:dyDescent="0.35">
      <c r="A1732">
        <v>17947</v>
      </c>
      <c r="B1732" t="str">
        <f>"017947"</f>
        <v>017947</v>
      </c>
      <c r="C1732" t="s">
        <v>6045</v>
      </c>
      <c r="D1732" t="s">
        <v>3394</v>
      </c>
      <c r="E1732" t="s">
        <v>3395</v>
      </c>
      <c r="F1732" t="s">
        <v>3396</v>
      </c>
      <c r="G1732" t="s">
        <v>132</v>
      </c>
      <c r="H1732" t="s">
        <v>6046</v>
      </c>
      <c r="I1732" t="s">
        <v>6047</v>
      </c>
      <c r="J1732" t="s">
        <v>135</v>
      </c>
      <c r="K1732" t="s">
        <v>55</v>
      </c>
      <c r="L1732" t="s">
        <v>136</v>
      </c>
      <c r="M1732" t="s">
        <v>57</v>
      </c>
      <c r="N1732" t="str">
        <f>"045872"</f>
        <v>045872</v>
      </c>
      <c r="O1732" t="s">
        <v>454</v>
      </c>
      <c r="P1732" t="s">
        <v>68</v>
      </c>
      <c r="Q1732">
        <v>43.1</v>
      </c>
      <c r="R1732">
        <v>8</v>
      </c>
      <c r="S1732" t="s">
        <v>69</v>
      </c>
    </row>
    <row r="1733" spans="1:19" x14ac:dyDescent="0.35">
      <c r="A1733">
        <v>17970</v>
      </c>
      <c r="B1733" t="str">
        <f>"017970"</f>
        <v>017970</v>
      </c>
      <c r="C1733" t="s">
        <v>6048</v>
      </c>
      <c r="D1733" t="s">
        <v>3394</v>
      </c>
      <c r="E1733" t="s">
        <v>3395</v>
      </c>
      <c r="F1733" t="s">
        <v>3396</v>
      </c>
      <c r="G1733" t="s">
        <v>657</v>
      </c>
      <c r="H1733" t="s">
        <v>6049</v>
      </c>
      <c r="I1733" t="s">
        <v>6050</v>
      </c>
      <c r="J1733" t="s">
        <v>1417</v>
      </c>
      <c r="K1733" t="s">
        <v>55</v>
      </c>
      <c r="L1733" t="s">
        <v>1418</v>
      </c>
      <c r="M1733" t="s">
        <v>57</v>
      </c>
      <c r="N1733" t="str">
        <f>"048256"</f>
        <v>048256</v>
      </c>
      <c r="O1733" t="s">
        <v>1414</v>
      </c>
      <c r="P1733" t="s">
        <v>68</v>
      </c>
      <c r="Q1733">
        <v>36.700000000000003</v>
      </c>
      <c r="R1733">
        <v>9.2000000000000028</v>
      </c>
      <c r="S1733" t="s">
        <v>60</v>
      </c>
    </row>
    <row r="1734" spans="1:19" x14ac:dyDescent="0.35">
      <c r="A1734">
        <v>18002</v>
      </c>
      <c r="B1734" t="str">
        <f>"018002"</f>
        <v>018002</v>
      </c>
      <c r="C1734" t="s">
        <v>6051</v>
      </c>
      <c r="D1734" t="s">
        <v>3394</v>
      </c>
      <c r="E1734" t="s">
        <v>3395</v>
      </c>
      <c r="F1734" t="s">
        <v>3396</v>
      </c>
      <c r="G1734" t="s">
        <v>362</v>
      </c>
      <c r="H1734" t="s">
        <v>2398</v>
      </c>
      <c r="I1734" t="s">
        <v>2399</v>
      </c>
      <c r="J1734" t="s">
        <v>2400</v>
      </c>
      <c r="K1734" t="s">
        <v>55</v>
      </c>
      <c r="L1734" t="s">
        <v>2401</v>
      </c>
      <c r="M1734" t="s">
        <v>57</v>
      </c>
      <c r="N1734" t="str">
        <f>"049270"</f>
        <v>049270</v>
      </c>
      <c r="O1734" t="s">
        <v>2397</v>
      </c>
      <c r="P1734" t="s">
        <v>68</v>
      </c>
      <c r="Q1734">
        <v>44</v>
      </c>
      <c r="R1734">
        <v>5.7000000000000028</v>
      </c>
      <c r="S1734" t="s">
        <v>180</v>
      </c>
    </row>
    <row r="1735" spans="1:19" x14ac:dyDescent="0.35">
      <c r="A1735">
        <v>18044</v>
      </c>
      <c r="B1735" t="str">
        <f>"018044"</f>
        <v>018044</v>
      </c>
      <c r="C1735" t="s">
        <v>6052</v>
      </c>
      <c r="D1735" t="s">
        <v>3394</v>
      </c>
      <c r="E1735" t="s">
        <v>3395</v>
      </c>
      <c r="F1735" t="s">
        <v>3396</v>
      </c>
      <c r="G1735" t="s">
        <v>821</v>
      </c>
      <c r="H1735" t="s">
        <v>6053</v>
      </c>
      <c r="I1735" t="s">
        <v>6054</v>
      </c>
      <c r="J1735" t="s">
        <v>1427</v>
      </c>
      <c r="K1735" t="s">
        <v>55</v>
      </c>
      <c r="L1735" t="s">
        <v>1428</v>
      </c>
      <c r="M1735" t="s">
        <v>57</v>
      </c>
      <c r="N1735" t="str">
        <f>"043984"</f>
        <v>043984</v>
      </c>
      <c r="O1735" t="s">
        <v>1424</v>
      </c>
      <c r="P1735" t="s">
        <v>68</v>
      </c>
      <c r="Q1735">
        <v>34.700000000000003</v>
      </c>
      <c r="R1735">
        <v>21.900000000000006</v>
      </c>
      <c r="S1735" t="s">
        <v>156</v>
      </c>
    </row>
    <row r="1736" spans="1:19" x14ac:dyDescent="0.35">
      <c r="A1736">
        <v>18051</v>
      </c>
      <c r="B1736" t="str">
        <f>"018051"</f>
        <v>018051</v>
      </c>
      <c r="C1736" t="s">
        <v>6055</v>
      </c>
      <c r="D1736" t="s">
        <v>3394</v>
      </c>
      <c r="E1736" t="s">
        <v>3395</v>
      </c>
      <c r="F1736" t="s">
        <v>3396</v>
      </c>
      <c r="G1736" t="s">
        <v>63</v>
      </c>
      <c r="H1736" t="s">
        <v>6056</v>
      </c>
      <c r="I1736" t="s">
        <v>6057</v>
      </c>
      <c r="J1736" t="s">
        <v>2182</v>
      </c>
      <c r="K1736" t="s">
        <v>55</v>
      </c>
      <c r="L1736" t="s">
        <v>6058</v>
      </c>
      <c r="M1736" t="s">
        <v>57</v>
      </c>
      <c r="N1736" t="str">
        <f>"043950"</f>
        <v>043950</v>
      </c>
      <c r="O1736" t="s">
        <v>2179</v>
      </c>
      <c r="P1736" t="s">
        <v>68</v>
      </c>
      <c r="Q1736">
        <v>100</v>
      </c>
      <c r="R1736">
        <v>94.4</v>
      </c>
      <c r="S1736" t="s">
        <v>69</v>
      </c>
    </row>
    <row r="1737" spans="1:19" x14ac:dyDescent="0.35">
      <c r="A1737">
        <v>18069</v>
      </c>
      <c r="B1737" t="str">
        <f>"018069"</f>
        <v>018069</v>
      </c>
      <c r="C1737" t="s">
        <v>6059</v>
      </c>
      <c r="D1737" t="s">
        <v>3394</v>
      </c>
      <c r="E1737" t="s">
        <v>3395</v>
      </c>
      <c r="F1737" t="s">
        <v>3396</v>
      </c>
      <c r="G1737" t="s">
        <v>674</v>
      </c>
      <c r="H1737" t="s">
        <v>6060</v>
      </c>
      <c r="I1737" t="s">
        <v>6061</v>
      </c>
      <c r="J1737" t="s">
        <v>3165</v>
      </c>
      <c r="K1737" t="s">
        <v>55</v>
      </c>
      <c r="L1737" t="s">
        <v>3166</v>
      </c>
      <c r="M1737" t="s">
        <v>57</v>
      </c>
      <c r="N1737" t="str">
        <f>"048876"</f>
        <v>048876</v>
      </c>
      <c r="O1737" t="s">
        <v>3162</v>
      </c>
      <c r="P1737" t="s">
        <v>68</v>
      </c>
      <c r="Q1737">
        <v>37.4</v>
      </c>
      <c r="R1737">
        <v>8.7000000000000028</v>
      </c>
      <c r="S1737" t="s">
        <v>130</v>
      </c>
    </row>
    <row r="1738" spans="1:19" x14ac:dyDescent="0.35">
      <c r="A1738">
        <v>18077</v>
      </c>
      <c r="B1738" t="str">
        <f>"018077"</f>
        <v>018077</v>
      </c>
      <c r="C1738" t="s">
        <v>6042</v>
      </c>
      <c r="D1738" t="s">
        <v>3394</v>
      </c>
      <c r="E1738" t="s">
        <v>3395</v>
      </c>
      <c r="F1738" t="s">
        <v>3396</v>
      </c>
      <c r="G1738" t="s">
        <v>481</v>
      </c>
      <c r="H1738" t="s">
        <v>6062</v>
      </c>
      <c r="I1738" t="s">
        <v>6063</v>
      </c>
      <c r="J1738" t="s">
        <v>774</v>
      </c>
      <c r="K1738" t="s">
        <v>55</v>
      </c>
      <c r="L1738" t="s">
        <v>775</v>
      </c>
      <c r="M1738" t="s">
        <v>57</v>
      </c>
      <c r="N1738" t="str">
        <f>"045104"</f>
        <v>045104</v>
      </c>
      <c r="O1738" t="s">
        <v>771</v>
      </c>
      <c r="P1738" t="s">
        <v>68</v>
      </c>
      <c r="Q1738">
        <v>50</v>
      </c>
      <c r="R1738">
        <v>18.799999999999997</v>
      </c>
      <c r="S1738" t="s">
        <v>69</v>
      </c>
    </row>
    <row r="1739" spans="1:19" x14ac:dyDescent="0.35">
      <c r="A1739">
        <v>18093</v>
      </c>
      <c r="B1739" t="str">
        <f>"018093"</f>
        <v>018093</v>
      </c>
      <c r="C1739" t="s">
        <v>6064</v>
      </c>
      <c r="D1739" t="s">
        <v>3394</v>
      </c>
      <c r="E1739" t="s">
        <v>3395</v>
      </c>
      <c r="F1739" t="s">
        <v>3396</v>
      </c>
      <c r="G1739" t="s">
        <v>257</v>
      </c>
      <c r="H1739" t="s">
        <v>6065</v>
      </c>
      <c r="I1739" t="s">
        <v>6066</v>
      </c>
      <c r="J1739" t="s">
        <v>1725</v>
      </c>
      <c r="K1739" t="s">
        <v>55</v>
      </c>
      <c r="L1739" t="s">
        <v>1726</v>
      </c>
      <c r="M1739" t="s">
        <v>57</v>
      </c>
      <c r="N1739" t="str">
        <f>"044651"</f>
        <v>044651</v>
      </c>
      <c r="O1739" t="s">
        <v>1722</v>
      </c>
      <c r="P1739" t="s">
        <v>68</v>
      </c>
      <c r="Q1739">
        <v>55.9</v>
      </c>
      <c r="R1739">
        <v>15.400000000000006</v>
      </c>
      <c r="S1739" t="s">
        <v>156</v>
      </c>
    </row>
    <row r="1740" spans="1:19" x14ac:dyDescent="0.35">
      <c r="A1740">
        <v>18119</v>
      </c>
      <c r="B1740" t="str">
        <f>"018119"</f>
        <v>018119</v>
      </c>
      <c r="C1740" t="s">
        <v>4596</v>
      </c>
      <c r="D1740" t="s">
        <v>3394</v>
      </c>
      <c r="E1740" t="s">
        <v>3395</v>
      </c>
      <c r="F1740" t="s">
        <v>3396</v>
      </c>
      <c r="G1740" t="s">
        <v>543</v>
      </c>
      <c r="H1740" t="s">
        <v>6067</v>
      </c>
      <c r="I1740" t="s">
        <v>6068</v>
      </c>
      <c r="J1740" t="s">
        <v>687</v>
      </c>
      <c r="K1740" t="s">
        <v>55</v>
      </c>
      <c r="L1740" t="s">
        <v>1990</v>
      </c>
      <c r="M1740" t="s">
        <v>57</v>
      </c>
      <c r="N1740" t="str">
        <f>"043844"</f>
        <v>043844</v>
      </c>
      <c r="O1740" t="s">
        <v>985</v>
      </c>
      <c r="P1740" t="s">
        <v>68</v>
      </c>
      <c r="Q1740">
        <v>97</v>
      </c>
      <c r="R1740">
        <v>92.2</v>
      </c>
      <c r="S1740" t="s">
        <v>180</v>
      </c>
    </row>
    <row r="1741" spans="1:19" x14ac:dyDescent="0.35">
      <c r="A1741">
        <v>18127</v>
      </c>
      <c r="B1741" t="str">
        <f>"018127"</f>
        <v>018127</v>
      </c>
      <c r="C1741" t="s">
        <v>6069</v>
      </c>
      <c r="D1741" t="s">
        <v>3506</v>
      </c>
      <c r="E1741" t="s">
        <v>3395</v>
      </c>
      <c r="F1741" t="s">
        <v>3396</v>
      </c>
      <c r="G1741" t="s">
        <v>200</v>
      </c>
      <c r="H1741" t="s">
        <v>6070</v>
      </c>
      <c r="I1741" t="s">
        <v>6071</v>
      </c>
      <c r="J1741" t="s">
        <v>304</v>
      </c>
      <c r="K1741" t="s">
        <v>55</v>
      </c>
      <c r="L1741" t="s">
        <v>4721</v>
      </c>
      <c r="M1741" t="s">
        <v>57</v>
      </c>
      <c r="N1741" t="str">
        <f>"048231"</f>
        <v>048231</v>
      </c>
      <c r="O1741" t="s">
        <v>1553</v>
      </c>
      <c r="P1741" t="s">
        <v>68</v>
      </c>
      <c r="Q1741">
        <v>56.8</v>
      </c>
      <c r="R1741">
        <v>39</v>
      </c>
      <c r="S1741" t="s">
        <v>156</v>
      </c>
    </row>
    <row r="1742" spans="1:19" x14ac:dyDescent="0.35">
      <c r="A1742">
        <v>18135</v>
      </c>
      <c r="B1742" t="str">
        <f>"018135"</f>
        <v>018135</v>
      </c>
      <c r="C1742" t="s">
        <v>6072</v>
      </c>
      <c r="D1742" t="s">
        <v>3394</v>
      </c>
      <c r="E1742" t="s">
        <v>3395</v>
      </c>
      <c r="F1742" t="s">
        <v>3396</v>
      </c>
      <c r="G1742" t="s">
        <v>1020</v>
      </c>
      <c r="H1742" t="s">
        <v>6073</v>
      </c>
      <c r="I1742" t="s">
        <v>6074</v>
      </c>
      <c r="J1742" t="s">
        <v>1020</v>
      </c>
      <c r="K1742" t="s">
        <v>55</v>
      </c>
      <c r="L1742" t="s">
        <v>1023</v>
      </c>
      <c r="M1742" t="s">
        <v>57</v>
      </c>
      <c r="N1742" t="str">
        <f>"044966"</f>
        <v>044966</v>
      </c>
      <c r="O1742" t="s">
        <v>1019</v>
      </c>
      <c r="P1742" t="s">
        <v>68</v>
      </c>
      <c r="Q1742">
        <v>47.5</v>
      </c>
      <c r="R1742">
        <v>14.700000000000003</v>
      </c>
      <c r="S1742" t="s">
        <v>156</v>
      </c>
    </row>
    <row r="1743" spans="1:19" x14ac:dyDescent="0.35">
      <c r="A1743">
        <v>18150</v>
      </c>
      <c r="B1743" t="str">
        <f>"018150"</f>
        <v>018150</v>
      </c>
      <c r="C1743" t="s">
        <v>6075</v>
      </c>
      <c r="D1743" t="s">
        <v>3398</v>
      </c>
      <c r="E1743" t="s">
        <v>3395</v>
      </c>
      <c r="F1743" t="s">
        <v>3396</v>
      </c>
      <c r="G1743" t="s">
        <v>543</v>
      </c>
      <c r="H1743" t="s">
        <v>6076</v>
      </c>
      <c r="I1743" t="s">
        <v>6077</v>
      </c>
      <c r="J1743" t="s">
        <v>687</v>
      </c>
      <c r="K1743" t="s">
        <v>55</v>
      </c>
      <c r="L1743" t="s">
        <v>1990</v>
      </c>
      <c r="M1743" t="s">
        <v>57</v>
      </c>
      <c r="N1743" t="str">
        <f>"048686"</f>
        <v>048686</v>
      </c>
      <c r="O1743" t="s">
        <v>1987</v>
      </c>
      <c r="P1743" t="s">
        <v>68</v>
      </c>
      <c r="Q1743">
        <v>98.2</v>
      </c>
      <c r="R1743">
        <v>84.1</v>
      </c>
      <c r="S1743" t="s">
        <v>180</v>
      </c>
    </row>
    <row r="1744" spans="1:19" x14ac:dyDescent="0.35">
      <c r="A1744">
        <v>18184</v>
      </c>
      <c r="B1744" t="str">
        <f>"018184"</f>
        <v>018184</v>
      </c>
      <c r="C1744" t="s">
        <v>6078</v>
      </c>
      <c r="D1744" t="s">
        <v>3398</v>
      </c>
      <c r="E1744" t="s">
        <v>3395</v>
      </c>
      <c r="F1744" t="s">
        <v>3396</v>
      </c>
      <c r="G1744" t="s">
        <v>1020</v>
      </c>
      <c r="H1744" t="s">
        <v>3307</v>
      </c>
      <c r="I1744" t="s">
        <v>3308</v>
      </c>
      <c r="J1744" t="s">
        <v>3309</v>
      </c>
      <c r="K1744" t="s">
        <v>55</v>
      </c>
      <c r="L1744" t="s">
        <v>3310</v>
      </c>
      <c r="M1744" t="s">
        <v>57</v>
      </c>
      <c r="N1744" t="str">
        <f>"043885"</f>
        <v>043885</v>
      </c>
      <c r="O1744" t="s">
        <v>3306</v>
      </c>
      <c r="P1744" t="s">
        <v>68</v>
      </c>
      <c r="Q1744">
        <v>51.2</v>
      </c>
      <c r="R1744">
        <v>10.299999999999997</v>
      </c>
      <c r="S1744" t="s">
        <v>156</v>
      </c>
    </row>
    <row r="1745" spans="1:19" x14ac:dyDescent="0.35">
      <c r="A1745">
        <v>18218</v>
      </c>
      <c r="B1745" t="str">
        <f>"018218"</f>
        <v>018218</v>
      </c>
      <c r="C1745" t="s">
        <v>4975</v>
      </c>
      <c r="D1745" t="s">
        <v>3398</v>
      </c>
      <c r="E1745" t="s">
        <v>3395</v>
      </c>
      <c r="F1745" t="s">
        <v>3396</v>
      </c>
      <c r="G1745" t="s">
        <v>135</v>
      </c>
      <c r="H1745" t="s">
        <v>6079</v>
      </c>
      <c r="I1745" t="s">
        <v>6080</v>
      </c>
      <c r="J1745" t="s">
        <v>6081</v>
      </c>
      <c r="K1745" t="s">
        <v>55</v>
      </c>
      <c r="L1745" t="s">
        <v>6082</v>
      </c>
      <c r="M1745" t="s">
        <v>57</v>
      </c>
      <c r="N1745" t="str">
        <f>"047795"</f>
        <v>047795</v>
      </c>
      <c r="O1745" t="s">
        <v>2243</v>
      </c>
      <c r="P1745" t="s">
        <v>68</v>
      </c>
      <c r="Q1745">
        <v>46.2</v>
      </c>
      <c r="R1745">
        <v>3.4000000000000057</v>
      </c>
      <c r="S1745" t="s">
        <v>130</v>
      </c>
    </row>
    <row r="1746" spans="1:19" x14ac:dyDescent="0.35">
      <c r="A1746">
        <v>18259</v>
      </c>
      <c r="B1746" t="str">
        <f>"018259"</f>
        <v>018259</v>
      </c>
      <c r="C1746" t="s">
        <v>6083</v>
      </c>
      <c r="D1746" t="s">
        <v>3400</v>
      </c>
      <c r="E1746" t="s">
        <v>3395</v>
      </c>
      <c r="F1746" t="s">
        <v>3396</v>
      </c>
      <c r="G1746" t="s">
        <v>264</v>
      </c>
      <c r="H1746" t="s">
        <v>6084</v>
      </c>
      <c r="I1746" t="s">
        <v>6085</v>
      </c>
      <c r="J1746" t="s">
        <v>267</v>
      </c>
      <c r="K1746" t="s">
        <v>55</v>
      </c>
      <c r="L1746" t="s">
        <v>5205</v>
      </c>
      <c r="M1746" t="s">
        <v>57</v>
      </c>
      <c r="N1746" t="str">
        <f>"043489"</f>
        <v>043489</v>
      </c>
      <c r="O1746" t="s">
        <v>3176</v>
      </c>
      <c r="P1746" t="s">
        <v>68</v>
      </c>
      <c r="Q1746">
        <v>100</v>
      </c>
      <c r="R1746">
        <v>89.1</v>
      </c>
      <c r="S1746" t="s">
        <v>77</v>
      </c>
    </row>
    <row r="1747" spans="1:19" x14ac:dyDescent="0.35">
      <c r="A1747">
        <v>18283</v>
      </c>
      <c r="B1747" t="str">
        <f>"018283"</f>
        <v>018283</v>
      </c>
      <c r="C1747" t="s">
        <v>6086</v>
      </c>
      <c r="D1747" t="s">
        <v>3394</v>
      </c>
      <c r="E1747" t="s">
        <v>3395</v>
      </c>
      <c r="F1747" t="s">
        <v>3396</v>
      </c>
      <c r="G1747" t="s">
        <v>110</v>
      </c>
      <c r="H1747" t="s">
        <v>6087</v>
      </c>
      <c r="I1747" t="s">
        <v>6088</v>
      </c>
      <c r="J1747" t="s">
        <v>6089</v>
      </c>
      <c r="K1747" t="s">
        <v>55</v>
      </c>
      <c r="L1747" t="s">
        <v>6090</v>
      </c>
      <c r="M1747" t="s">
        <v>57</v>
      </c>
      <c r="N1747" t="str">
        <f>"048009"</f>
        <v>048009</v>
      </c>
      <c r="O1747" t="s">
        <v>1024</v>
      </c>
      <c r="P1747" t="s">
        <v>68</v>
      </c>
      <c r="Q1747">
        <v>43.7</v>
      </c>
      <c r="R1747">
        <v>72.099999999999994</v>
      </c>
      <c r="S1747" t="s">
        <v>60</v>
      </c>
    </row>
    <row r="1748" spans="1:19" x14ac:dyDescent="0.35">
      <c r="A1748">
        <v>18291</v>
      </c>
      <c r="B1748" t="str">
        <f>"018291"</f>
        <v>018291</v>
      </c>
      <c r="C1748" t="s">
        <v>6091</v>
      </c>
      <c r="D1748" t="s">
        <v>3394</v>
      </c>
      <c r="E1748" t="s">
        <v>3395</v>
      </c>
      <c r="F1748" t="s">
        <v>3396</v>
      </c>
      <c r="G1748" t="s">
        <v>200</v>
      </c>
      <c r="H1748" t="s">
        <v>6092</v>
      </c>
      <c r="I1748" t="s">
        <v>6093</v>
      </c>
      <c r="J1748" t="s">
        <v>6094</v>
      </c>
      <c r="K1748" t="s">
        <v>55</v>
      </c>
      <c r="L1748" t="s">
        <v>6095</v>
      </c>
      <c r="M1748" t="s">
        <v>57</v>
      </c>
      <c r="N1748" t="str">
        <f>"044602"</f>
        <v>044602</v>
      </c>
      <c r="O1748" t="s">
        <v>2682</v>
      </c>
      <c r="P1748" t="s">
        <v>68</v>
      </c>
      <c r="Q1748">
        <v>35.200000000000003</v>
      </c>
      <c r="R1748">
        <v>12</v>
      </c>
      <c r="S1748" t="s">
        <v>156</v>
      </c>
    </row>
    <row r="1749" spans="1:19" x14ac:dyDescent="0.35">
      <c r="A1749">
        <v>18374</v>
      </c>
      <c r="B1749" t="str">
        <f>"018374"</f>
        <v>018374</v>
      </c>
      <c r="C1749" t="s">
        <v>6096</v>
      </c>
      <c r="D1749" t="s">
        <v>3394</v>
      </c>
      <c r="E1749" t="s">
        <v>3395</v>
      </c>
      <c r="F1749" t="s">
        <v>3396</v>
      </c>
      <c r="G1749" t="s">
        <v>135</v>
      </c>
      <c r="H1749" t="s">
        <v>6097</v>
      </c>
      <c r="I1749" t="s">
        <v>6098</v>
      </c>
      <c r="J1749" t="s">
        <v>6099</v>
      </c>
      <c r="K1749" t="s">
        <v>55</v>
      </c>
      <c r="L1749" t="s">
        <v>6100</v>
      </c>
      <c r="M1749" t="s">
        <v>57</v>
      </c>
      <c r="N1749" t="str">
        <f>"047795"</f>
        <v>047795</v>
      </c>
      <c r="O1749" t="s">
        <v>2243</v>
      </c>
      <c r="P1749" t="s">
        <v>68</v>
      </c>
      <c r="Q1749">
        <v>49.2</v>
      </c>
      <c r="R1749">
        <v>4.7000000000000028</v>
      </c>
      <c r="S1749" t="s">
        <v>130</v>
      </c>
    </row>
    <row r="1750" spans="1:19" x14ac:dyDescent="0.35">
      <c r="A1750">
        <v>18390</v>
      </c>
      <c r="B1750" t="str">
        <f>"018390"</f>
        <v>018390</v>
      </c>
      <c r="C1750" t="s">
        <v>6101</v>
      </c>
      <c r="D1750" t="s">
        <v>3394</v>
      </c>
      <c r="E1750" t="s">
        <v>3395</v>
      </c>
      <c r="F1750" t="s">
        <v>3396</v>
      </c>
      <c r="G1750" t="s">
        <v>212</v>
      </c>
      <c r="H1750" t="s">
        <v>6102</v>
      </c>
      <c r="I1750" t="s">
        <v>6103</v>
      </c>
      <c r="J1750" t="s">
        <v>215</v>
      </c>
      <c r="K1750" t="s">
        <v>55</v>
      </c>
      <c r="L1750" t="s">
        <v>4346</v>
      </c>
      <c r="M1750" t="s">
        <v>57</v>
      </c>
      <c r="N1750" t="str">
        <f>"047373"</f>
        <v>047373</v>
      </c>
      <c r="O1750" t="s">
        <v>1509</v>
      </c>
      <c r="P1750" t="s">
        <v>68</v>
      </c>
      <c r="Q1750">
        <v>17.7</v>
      </c>
      <c r="R1750">
        <v>11.5</v>
      </c>
      <c r="S1750" t="s">
        <v>217</v>
      </c>
    </row>
    <row r="1751" spans="1:19" x14ac:dyDescent="0.35">
      <c r="A1751">
        <v>18408</v>
      </c>
      <c r="B1751" t="str">
        <f>"018408"</f>
        <v>018408</v>
      </c>
      <c r="C1751" t="s">
        <v>6104</v>
      </c>
      <c r="D1751" t="s">
        <v>3398</v>
      </c>
      <c r="E1751" t="s">
        <v>3395</v>
      </c>
      <c r="F1751" t="s">
        <v>3396</v>
      </c>
      <c r="G1751" t="s">
        <v>63</v>
      </c>
      <c r="H1751" t="s">
        <v>6105</v>
      </c>
      <c r="I1751" t="s">
        <v>6106</v>
      </c>
      <c r="J1751" t="s">
        <v>285</v>
      </c>
      <c r="K1751" t="s">
        <v>55</v>
      </c>
      <c r="L1751" t="s">
        <v>3915</v>
      </c>
      <c r="M1751" t="s">
        <v>57</v>
      </c>
      <c r="N1751" t="str">
        <f>"043786"</f>
        <v>043786</v>
      </c>
      <c r="O1751" t="s">
        <v>1340</v>
      </c>
      <c r="P1751" t="s">
        <v>68</v>
      </c>
      <c r="Q1751">
        <v>100</v>
      </c>
      <c r="R1751">
        <v>100</v>
      </c>
      <c r="S1751" t="s">
        <v>69</v>
      </c>
    </row>
    <row r="1752" spans="1:19" x14ac:dyDescent="0.35">
      <c r="A1752">
        <v>18424</v>
      </c>
      <c r="B1752" t="str">
        <f>"018424"</f>
        <v>018424</v>
      </c>
      <c r="C1752" t="s">
        <v>6107</v>
      </c>
      <c r="D1752" t="s">
        <v>3394</v>
      </c>
      <c r="E1752" t="s">
        <v>3395</v>
      </c>
      <c r="F1752" t="s">
        <v>3396</v>
      </c>
      <c r="G1752" t="s">
        <v>63</v>
      </c>
      <c r="H1752" t="s">
        <v>6108</v>
      </c>
      <c r="I1752" t="s">
        <v>6109</v>
      </c>
      <c r="J1752" t="s">
        <v>66</v>
      </c>
      <c r="K1752" t="s">
        <v>55</v>
      </c>
      <c r="L1752" t="s">
        <v>67</v>
      </c>
      <c r="M1752" t="s">
        <v>57</v>
      </c>
      <c r="N1752" t="str">
        <f>"044636"</f>
        <v>044636</v>
      </c>
      <c r="O1752" t="s">
        <v>1331</v>
      </c>
      <c r="P1752" t="s">
        <v>68</v>
      </c>
      <c r="Q1752">
        <v>59.2</v>
      </c>
      <c r="R1752">
        <v>39.9</v>
      </c>
      <c r="S1752" t="s">
        <v>69</v>
      </c>
    </row>
    <row r="1753" spans="1:19" x14ac:dyDescent="0.35">
      <c r="A1753">
        <v>18440</v>
      </c>
      <c r="B1753" t="str">
        <f>"018440"</f>
        <v>018440</v>
      </c>
      <c r="C1753" t="s">
        <v>6110</v>
      </c>
      <c r="D1753" t="s">
        <v>3400</v>
      </c>
      <c r="E1753" t="s">
        <v>3395</v>
      </c>
      <c r="F1753" t="s">
        <v>3396</v>
      </c>
      <c r="G1753" t="s">
        <v>187</v>
      </c>
      <c r="H1753" t="s">
        <v>6111</v>
      </c>
      <c r="I1753" t="s">
        <v>6112</v>
      </c>
      <c r="J1753" t="s">
        <v>2108</v>
      </c>
      <c r="K1753" t="s">
        <v>55</v>
      </c>
      <c r="L1753" t="s">
        <v>2109</v>
      </c>
      <c r="M1753" t="s">
        <v>57</v>
      </c>
      <c r="N1753" t="str">
        <f>"050583"</f>
        <v>050583</v>
      </c>
      <c r="O1753" t="s">
        <v>2105</v>
      </c>
      <c r="P1753" t="s">
        <v>68</v>
      </c>
      <c r="Q1753">
        <v>31.6</v>
      </c>
      <c r="R1753">
        <v>5.2999999999999972</v>
      </c>
      <c r="S1753" t="s">
        <v>77</v>
      </c>
    </row>
    <row r="1754" spans="1:19" x14ac:dyDescent="0.35">
      <c r="A1754">
        <v>18457</v>
      </c>
      <c r="B1754" t="str">
        <f>"018457"</f>
        <v>018457</v>
      </c>
      <c r="C1754" t="s">
        <v>6113</v>
      </c>
      <c r="D1754" t="s">
        <v>3394</v>
      </c>
      <c r="E1754" t="s">
        <v>3395</v>
      </c>
      <c r="F1754" t="s">
        <v>3396</v>
      </c>
      <c r="G1754" t="s">
        <v>264</v>
      </c>
      <c r="H1754" t="s">
        <v>6114</v>
      </c>
      <c r="I1754" t="s">
        <v>6115</v>
      </c>
      <c r="J1754" t="s">
        <v>2558</v>
      </c>
      <c r="K1754" t="s">
        <v>55</v>
      </c>
      <c r="L1754" t="s">
        <v>2559</v>
      </c>
      <c r="M1754" t="s">
        <v>57</v>
      </c>
      <c r="N1754" t="str">
        <f>"043539"</f>
        <v>043539</v>
      </c>
      <c r="O1754" t="s">
        <v>2555</v>
      </c>
      <c r="P1754" t="s">
        <v>68</v>
      </c>
      <c r="Q1754">
        <v>78.900000000000006</v>
      </c>
      <c r="R1754">
        <v>36.700000000000003</v>
      </c>
      <c r="S1754" t="s">
        <v>77</v>
      </c>
    </row>
    <row r="1755" spans="1:19" x14ac:dyDescent="0.35">
      <c r="A1755">
        <v>18465</v>
      </c>
      <c r="B1755" t="str">
        <f>"018465"</f>
        <v>018465</v>
      </c>
      <c r="C1755" t="s">
        <v>6116</v>
      </c>
      <c r="D1755" t="s">
        <v>3400</v>
      </c>
      <c r="E1755" t="s">
        <v>3395</v>
      </c>
      <c r="F1755" t="s">
        <v>3396</v>
      </c>
      <c r="G1755" t="s">
        <v>600</v>
      </c>
      <c r="H1755" t="s">
        <v>6117</v>
      </c>
      <c r="I1755" t="s">
        <v>6118</v>
      </c>
      <c r="J1755" t="s">
        <v>1348</v>
      </c>
      <c r="K1755" t="s">
        <v>55</v>
      </c>
      <c r="L1755" t="s">
        <v>6119</v>
      </c>
      <c r="M1755" t="s">
        <v>57</v>
      </c>
      <c r="N1755" t="str">
        <f>"043802"</f>
        <v>043802</v>
      </c>
      <c r="O1755" t="s">
        <v>3171</v>
      </c>
      <c r="P1755" t="s">
        <v>68</v>
      </c>
      <c r="Q1755">
        <v>100</v>
      </c>
      <c r="R1755">
        <v>95.9</v>
      </c>
      <c r="S1755" t="s">
        <v>60</v>
      </c>
    </row>
    <row r="1756" spans="1:19" x14ac:dyDescent="0.35">
      <c r="A1756">
        <v>18473</v>
      </c>
      <c r="B1756" t="str">
        <f>"018473"</f>
        <v>018473</v>
      </c>
      <c r="C1756" t="s">
        <v>6120</v>
      </c>
      <c r="D1756" t="s">
        <v>3400</v>
      </c>
      <c r="E1756" t="s">
        <v>3395</v>
      </c>
      <c r="F1756" t="s">
        <v>3396</v>
      </c>
      <c r="G1756" t="s">
        <v>110</v>
      </c>
      <c r="H1756" t="s">
        <v>6121</v>
      </c>
      <c r="I1756" t="s">
        <v>6122</v>
      </c>
      <c r="J1756" t="s">
        <v>113</v>
      </c>
      <c r="K1756" t="s">
        <v>55</v>
      </c>
      <c r="L1756" t="s">
        <v>114</v>
      </c>
      <c r="M1756" t="s">
        <v>57</v>
      </c>
      <c r="N1756" t="str">
        <f>"047985"</f>
        <v>047985</v>
      </c>
      <c r="O1756" t="s">
        <v>3022</v>
      </c>
      <c r="P1756" t="s">
        <v>68</v>
      </c>
      <c r="Q1756">
        <v>20.7</v>
      </c>
      <c r="R1756">
        <v>14.799999999999997</v>
      </c>
      <c r="S1756" t="s">
        <v>60</v>
      </c>
    </row>
    <row r="1757" spans="1:19" x14ac:dyDescent="0.35">
      <c r="A1757">
        <v>18481</v>
      </c>
      <c r="B1757" t="str">
        <f>"018481"</f>
        <v>018481</v>
      </c>
      <c r="C1757" t="s">
        <v>6123</v>
      </c>
      <c r="D1757" t="s">
        <v>3398</v>
      </c>
      <c r="E1757" t="s">
        <v>3395</v>
      </c>
      <c r="F1757" t="s">
        <v>3396</v>
      </c>
      <c r="G1757" t="s">
        <v>110</v>
      </c>
      <c r="H1757" t="s">
        <v>6124</v>
      </c>
      <c r="I1757" t="s">
        <v>6125</v>
      </c>
      <c r="J1757" t="s">
        <v>113</v>
      </c>
      <c r="K1757" t="s">
        <v>55</v>
      </c>
      <c r="L1757" t="s">
        <v>114</v>
      </c>
      <c r="M1757" t="s">
        <v>57</v>
      </c>
      <c r="N1757" t="str">
        <f>"047985"</f>
        <v>047985</v>
      </c>
      <c r="O1757" t="s">
        <v>3022</v>
      </c>
      <c r="P1757" t="s">
        <v>68</v>
      </c>
      <c r="Q1757">
        <v>15.5</v>
      </c>
      <c r="R1757">
        <v>11.099999999999994</v>
      </c>
      <c r="S1757" t="s">
        <v>60</v>
      </c>
    </row>
    <row r="1758" spans="1:19" x14ac:dyDescent="0.35">
      <c r="A1758">
        <v>18507</v>
      </c>
      <c r="B1758" t="str">
        <f>"018507"</f>
        <v>018507</v>
      </c>
      <c r="C1758" t="s">
        <v>6126</v>
      </c>
      <c r="D1758" t="s">
        <v>3398</v>
      </c>
      <c r="E1758" t="s">
        <v>3395</v>
      </c>
      <c r="F1758" t="s">
        <v>3396</v>
      </c>
      <c r="G1758" t="s">
        <v>657</v>
      </c>
      <c r="H1758" t="s">
        <v>6127</v>
      </c>
      <c r="I1758" t="s">
        <v>6128</v>
      </c>
      <c r="J1758" t="s">
        <v>1753</v>
      </c>
      <c r="K1758" t="s">
        <v>55</v>
      </c>
      <c r="L1758" t="s">
        <v>1754</v>
      </c>
      <c r="M1758" t="s">
        <v>57</v>
      </c>
      <c r="N1758" t="str">
        <f>"048264"</f>
        <v>048264</v>
      </c>
      <c r="O1758" t="s">
        <v>3014</v>
      </c>
      <c r="P1758" t="s">
        <v>68</v>
      </c>
      <c r="Q1758">
        <v>22.7</v>
      </c>
      <c r="R1758">
        <v>12.900000000000006</v>
      </c>
      <c r="S1758" t="s">
        <v>60</v>
      </c>
    </row>
    <row r="1759" spans="1:19" x14ac:dyDescent="0.35">
      <c r="A1759">
        <v>18523</v>
      </c>
      <c r="B1759" t="str">
        <f>"018523"</f>
        <v>018523</v>
      </c>
      <c r="C1759" t="s">
        <v>6129</v>
      </c>
      <c r="D1759" t="s">
        <v>3398</v>
      </c>
      <c r="E1759" t="s">
        <v>3395</v>
      </c>
      <c r="F1759" t="s">
        <v>3396</v>
      </c>
      <c r="G1759" t="s">
        <v>200</v>
      </c>
      <c r="H1759" t="s">
        <v>6130</v>
      </c>
      <c r="I1759" t="s">
        <v>6131</v>
      </c>
      <c r="J1759" t="s">
        <v>304</v>
      </c>
      <c r="K1759" t="s">
        <v>55</v>
      </c>
      <c r="L1759" t="s">
        <v>3170</v>
      </c>
      <c r="M1759" t="s">
        <v>57</v>
      </c>
      <c r="N1759" t="str">
        <f>"044909"</f>
        <v>044909</v>
      </c>
      <c r="O1759" t="s">
        <v>3318</v>
      </c>
      <c r="P1759" t="s">
        <v>68</v>
      </c>
      <c r="Q1759">
        <v>100</v>
      </c>
      <c r="R1759">
        <v>100</v>
      </c>
      <c r="S1759" t="s">
        <v>156</v>
      </c>
    </row>
    <row r="1760" spans="1:19" x14ac:dyDescent="0.35">
      <c r="A1760">
        <v>18531</v>
      </c>
      <c r="B1760" t="str">
        <f>"018531"</f>
        <v>018531</v>
      </c>
      <c r="C1760" t="s">
        <v>6132</v>
      </c>
      <c r="D1760" t="s">
        <v>3400</v>
      </c>
      <c r="E1760" t="s">
        <v>3395</v>
      </c>
      <c r="F1760" t="s">
        <v>3396</v>
      </c>
      <c r="G1760" t="s">
        <v>600</v>
      </c>
      <c r="H1760" t="s">
        <v>6133</v>
      </c>
      <c r="I1760" t="s">
        <v>6134</v>
      </c>
      <c r="J1760" t="s">
        <v>1017</v>
      </c>
      <c r="K1760" t="s">
        <v>55</v>
      </c>
      <c r="L1760" t="s">
        <v>1018</v>
      </c>
      <c r="M1760" t="s">
        <v>57</v>
      </c>
      <c r="N1760" t="str">
        <f>"044933"</f>
        <v>044933</v>
      </c>
      <c r="O1760" t="s">
        <v>1014</v>
      </c>
      <c r="P1760" t="s">
        <v>68</v>
      </c>
      <c r="Q1760">
        <v>3.5</v>
      </c>
      <c r="R1760">
        <v>14</v>
      </c>
      <c r="S1760" t="s">
        <v>60</v>
      </c>
    </row>
    <row r="1761" spans="1:19" x14ac:dyDescent="0.35">
      <c r="A1761">
        <v>18564</v>
      </c>
      <c r="B1761" t="str">
        <f>"018564"</f>
        <v>018564</v>
      </c>
      <c r="C1761" t="s">
        <v>6135</v>
      </c>
      <c r="D1761" t="s">
        <v>3394</v>
      </c>
      <c r="E1761" t="s">
        <v>3395</v>
      </c>
      <c r="F1761" t="s">
        <v>3396</v>
      </c>
      <c r="G1761" t="s">
        <v>1551</v>
      </c>
      <c r="H1761" t="s">
        <v>6136</v>
      </c>
      <c r="I1761" t="s">
        <v>6137</v>
      </c>
      <c r="J1761" t="s">
        <v>6138</v>
      </c>
      <c r="K1761" t="s">
        <v>55</v>
      </c>
      <c r="L1761" t="s">
        <v>6139</v>
      </c>
      <c r="M1761" t="s">
        <v>57</v>
      </c>
      <c r="N1761" t="str">
        <f>"044479"</f>
        <v>044479</v>
      </c>
      <c r="O1761" t="s">
        <v>2067</v>
      </c>
      <c r="P1761" t="s">
        <v>68</v>
      </c>
      <c r="Q1761">
        <v>99.8</v>
      </c>
      <c r="R1761">
        <v>3.9000000000000057</v>
      </c>
      <c r="S1761" t="s">
        <v>130</v>
      </c>
    </row>
    <row r="1762" spans="1:19" x14ac:dyDescent="0.35">
      <c r="A1762">
        <v>18572</v>
      </c>
      <c r="B1762" t="str">
        <f>"018572"</f>
        <v>018572</v>
      </c>
      <c r="C1762" t="s">
        <v>6140</v>
      </c>
      <c r="D1762" t="s">
        <v>3506</v>
      </c>
      <c r="E1762" t="s">
        <v>3395</v>
      </c>
      <c r="F1762" t="s">
        <v>3396</v>
      </c>
      <c r="G1762" t="s">
        <v>117</v>
      </c>
      <c r="H1762" t="s">
        <v>6141</v>
      </c>
      <c r="I1762" t="s">
        <v>6142</v>
      </c>
      <c r="J1762" t="s">
        <v>6143</v>
      </c>
      <c r="K1762" t="s">
        <v>55</v>
      </c>
      <c r="L1762" t="s">
        <v>6144</v>
      </c>
      <c r="M1762" t="s">
        <v>57</v>
      </c>
      <c r="N1762" t="str">
        <f>"049841"</f>
        <v>049841</v>
      </c>
      <c r="O1762" t="s">
        <v>996</v>
      </c>
      <c r="P1762" t="s">
        <v>68</v>
      </c>
      <c r="Q1762">
        <v>41.1</v>
      </c>
      <c r="R1762">
        <v>7</v>
      </c>
      <c r="S1762" t="s">
        <v>77</v>
      </c>
    </row>
    <row r="1763" spans="1:19" x14ac:dyDescent="0.35">
      <c r="A1763">
        <v>18580</v>
      </c>
      <c r="B1763" t="str">
        <f>"018580"</f>
        <v>018580</v>
      </c>
      <c r="C1763" t="s">
        <v>6145</v>
      </c>
      <c r="D1763" t="s">
        <v>3394</v>
      </c>
      <c r="E1763" t="s">
        <v>3395</v>
      </c>
      <c r="F1763" t="s">
        <v>3396</v>
      </c>
      <c r="G1763" t="s">
        <v>600</v>
      </c>
      <c r="H1763" t="s">
        <v>6146</v>
      </c>
      <c r="I1763" t="s">
        <v>6147</v>
      </c>
      <c r="J1763" t="s">
        <v>1889</v>
      </c>
      <c r="K1763" t="s">
        <v>55</v>
      </c>
      <c r="L1763" t="s">
        <v>1890</v>
      </c>
      <c r="M1763" t="s">
        <v>57</v>
      </c>
      <c r="N1763" t="str">
        <f>"045070"</f>
        <v>045070</v>
      </c>
      <c r="O1763" t="s">
        <v>1886</v>
      </c>
      <c r="P1763" t="s">
        <v>68</v>
      </c>
      <c r="Q1763">
        <v>99.7</v>
      </c>
      <c r="R1763">
        <v>82.8</v>
      </c>
      <c r="S1763" t="s">
        <v>60</v>
      </c>
    </row>
    <row r="1764" spans="1:19" x14ac:dyDescent="0.35">
      <c r="A1764">
        <v>18598</v>
      </c>
      <c r="B1764" t="str">
        <f>"018598"</f>
        <v>018598</v>
      </c>
      <c r="C1764" t="s">
        <v>6148</v>
      </c>
      <c r="D1764" t="s">
        <v>3394</v>
      </c>
      <c r="E1764" t="s">
        <v>3395</v>
      </c>
      <c r="F1764" t="s">
        <v>3396</v>
      </c>
      <c r="G1764" t="s">
        <v>150</v>
      </c>
      <c r="H1764" t="s">
        <v>6149</v>
      </c>
      <c r="I1764" t="s">
        <v>6150</v>
      </c>
      <c r="J1764" t="s">
        <v>153</v>
      </c>
      <c r="K1764" t="s">
        <v>55</v>
      </c>
      <c r="L1764" t="s">
        <v>154</v>
      </c>
      <c r="M1764" t="s">
        <v>57</v>
      </c>
      <c r="N1764" t="str">
        <f>"049346"</f>
        <v>049346</v>
      </c>
      <c r="O1764" t="s">
        <v>149</v>
      </c>
      <c r="P1764" t="s">
        <v>68</v>
      </c>
      <c r="Q1764">
        <v>6.4</v>
      </c>
      <c r="R1764">
        <v>0</v>
      </c>
      <c r="S1764" t="s">
        <v>156</v>
      </c>
    </row>
    <row r="1765" spans="1:19" x14ac:dyDescent="0.35">
      <c r="A1765">
        <v>18606</v>
      </c>
      <c r="B1765" t="str">
        <f>"018606"</f>
        <v>018606</v>
      </c>
      <c r="C1765" t="s">
        <v>6151</v>
      </c>
      <c r="D1765" t="s">
        <v>3398</v>
      </c>
      <c r="E1765" t="s">
        <v>3395</v>
      </c>
      <c r="F1765" t="s">
        <v>3396</v>
      </c>
      <c r="G1765" t="s">
        <v>150</v>
      </c>
      <c r="H1765" t="s">
        <v>6152</v>
      </c>
      <c r="I1765" t="s">
        <v>6153</v>
      </c>
      <c r="J1765" t="s">
        <v>153</v>
      </c>
      <c r="K1765" t="s">
        <v>55</v>
      </c>
      <c r="L1765" t="s">
        <v>154</v>
      </c>
      <c r="M1765" t="s">
        <v>57</v>
      </c>
      <c r="N1765" t="str">
        <f>"049346"</f>
        <v>049346</v>
      </c>
      <c r="O1765" t="s">
        <v>149</v>
      </c>
      <c r="P1765" t="s">
        <v>68</v>
      </c>
      <c r="Q1765">
        <v>6.9</v>
      </c>
      <c r="R1765">
        <v>0.79999999999999716</v>
      </c>
      <c r="S1765" t="s">
        <v>156</v>
      </c>
    </row>
    <row r="1766" spans="1:19" x14ac:dyDescent="0.35">
      <c r="A1766">
        <v>18655</v>
      </c>
      <c r="B1766" t="str">
        <f>"018655"</f>
        <v>018655</v>
      </c>
      <c r="C1766" t="s">
        <v>6154</v>
      </c>
      <c r="D1766" t="s">
        <v>3394</v>
      </c>
      <c r="E1766" t="s">
        <v>3395</v>
      </c>
      <c r="F1766" t="s">
        <v>3396</v>
      </c>
      <c r="G1766" t="s">
        <v>759</v>
      </c>
      <c r="H1766" t="s">
        <v>3116</v>
      </c>
      <c r="I1766" t="s">
        <v>3117</v>
      </c>
      <c r="J1766" t="s">
        <v>3118</v>
      </c>
      <c r="K1766" t="s">
        <v>55</v>
      </c>
      <c r="L1766" t="s">
        <v>3119</v>
      </c>
      <c r="M1766" t="s">
        <v>57</v>
      </c>
      <c r="N1766" t="str">
        <f>"046797"</f>
        <v>046797</v>
      </c>
      <c r="O1766" t="s">
        <v>3115</v>
      </c>
      <c r="P1766" t="s">
        <v>68</v>
      </c>
      <c r="Q1766" t="s">
        <v>68</v>
      </c>
      <c r="R1766" t="s">
        <v>68</v>
      </c>
      <c r="S1766" t="s">
        <v>69</v>
      </c>
    </row>
    <row r="1767" spans="1:19" x14ac:dyDescent="0.35">
      <c r="A1767">
        <v>18663</v>
      </c>
      <c r="B1767" t="str">
        <f>"018663"</f>
        <v>018663</v>
      </c>
      <c r="C1767" t="s">
        <v>6155</v>
      </c>
      <c r="D1767" t="s">
        <v>3398</v>
      </c>
      <c r="E1767" t="s">
        <v>3395</v>
      </c>
      <c r="F1767" t="s">
        <v>3396</v>
      </c>
      <c r="G1767" t="s">
        <v>759</v>
      </c>
      <c r="H1767" t="s">
        <v>3116</v>
      </c>
      <c r="I1767" t="s">
        <v>3117</v>
      </c>
      <c r="J1767" t="s">
        <v>3118</v>
      </c>
      <c r="K1767" t="s">
        <v>55</v>
      </c>
      <c r="L1767" t="s">
        <v>3119</v>
      </c>
      <c r="M1767" t="s">
        <v>57</v>
      </c>
      <c r="N1767" t="str">
        <f>"046797"</f>
        <v>046797</v>
      </c>
      <c r="O1767" t="s">
        <v>3115</v>
      </c>
      <c r="P1767" t="s">
        <v>68</v>
      </c>
      <c r="Q1767" t="s">
        <v>68</v>
      </c>
      <c r="R1767" t="s">
        <v>68</v>
      </c>
      <c r="S1767" t="s">
        <v>69</v>
      </c>
    </row>
    <row r="1768" spans="1:19" x14ac:dyDescent="0.35">
      <c r="A1768">
        <v>18671</v>
      </c>
      <c r="B1768" t="str">
        <f>"018671"</f>
        <v>018671</v>
      </c>
      <c r="C1768" t="s">
        <v>6156</v>
      </c>
      <c r="D1768" t="s">
        <v>3394</v>
      </c>
      <c r="E1768" t="s">
        <v>3395</v>
      </c>
      <c r="F1768" t="s">
        <v>3396</v>
      </c>
      <c r="G1768" t="s">
        <v>543</v>
      </c>
      <c r="H1768" t="s">
        <v>6157</v>
      </c>
      <c r="I1768" t="s">
        <v>6158</v>
      </c>
      <c r="J1768" t="s">
        <v>687</v>
      </c>
      <c r="K1768" t="s">
        <v>55</v>
      </c>
      <c r="L1768" t="s">
        <v>6159</v>
      </c>
      <c r="M1768" t="s">
        <v>57</v>
      </c>
      <c r="N1768" t="str">
        <f>"043844"</f>
        <v>043844</v>
      </c>
      <c r="O1768" t="s">
        <v>985</v>
      </c>
      <c r="P1768" t="s">
        <v>68</v>
      </c>
      <c r="Q1768">
        <v>97.5</v>
      </c>
      <c r="R1768">
        <v>63.7</v>
      </c>
      <c r="S1768" t="s">
        <v>180</v>
      </c>
    </row>
    <row r="1769" spans="1:19" x14ac:dyDescent="0.35">
      <c r="A1769">
        <v>18747</v>
      </c>
      <c r="B1769" t="str">
        <f>"018747"</f>
        <v>018747</v>
      </c>
      <c r="C1769" t="s">
        <v>6160</v>
      </c>
      <c r="D1769" t="s">
        <v>3394</v>
      </c>
      <c r="E1769" t="s">
        <v>3395</v>
      </c>
      <c r="F1769" t="s">
        <v>3396</v>
      </c>
      <c r="G1769" t="s">
        <v>543</v>
      </c>
      <c r="H1769" t="s">
        <v>6161</v>
      </c>
      <c r="I1769" t="s">
        <v>6162</v>
      </c>
      <c r="J1769" t="s">
        <v>1961</v>
      </c>
      <c r="K1769" t="s">
        <v>55</v>
      </c>
      <c r="L1769" t="s">
        <v>6163</v>
      </c>
      <c r="M1769" t="s">
        <v>57</v>
      </c>
      <c r="N1769" t="str">
        <f>"044180"</f>
        <v>044180</v>
      </c>
      <c r="O1769" t="s">
        <v>1963</v>
      </c>
      <c r="P1769" t="s">
        <v>68</v>
      </c>
      <c r="Q1769">
        <v>46.3</v>
      </c>
      <c r="R1769">
        <v>33</v>
      </c>
      <c r="S1769" t="s">
        <v>180</v>
      </c>
    </row>
    <row r="1770" spans="1:19" x14ac:dyDescent="0.35">
      <c r="A1770">
        <v>18754</v>
      </c>
      <c r="B1770" t="str">
        <f>"018754"</f>
        <v>018754</v>
      </c>
      <c r="C1770" t="s">
        <v>6164</v>
      </c>
      <c r="D1770" t="s">
        <v>3394</v>
      </c>
      <c r="E1770" t="s">
        <v>3395</v>
      </c>
      <c r="F1770" t="s">
        <v>3396</v>
      </c>
      <c r="G1770" t="s">
        <v>63</v>
      </c>
      <c r="H1770" t="s">
        <v>6165</v>
      </c>
      <c r="I1770" t="s">
        <v>6166</v>
      </c>
      <c r="J1770" t="s">
        <v>871</v>
      </c>
      <c r="K1770" t="s">
        <v>55</v>
      </c>
      <c r="L1770" t="s">
        <v>872</v>
      </c>
      <c r="M1770" t="s">
        <v>57</v>
      </c>
      <c r="N1770" t="str">
        <f>"044701"</f>
        <v>044701</v>
      </c>
      <c r="O1770" t="s">
        <v>1883</v>
      </c>
      <c r="P1770" t="s">
        <v>68</v>
      </c>
      <c r="Q1770">
        <v>9.9</v>
      </c>
      <c r="R1770">
        <v>12.799999999999997</v>
      </c>
      <c r="S1770" t="s">
        <v>69</v>
      </c>
    </row>
    <row r="1771" spans="1:19" x14ac:dyDescent="0.35">
      <c r="A1771">
        <v>18770</v>
      </c>
      <c r="B1771" t="str">
        <f>"018770"</f>
        <v>018770</v>
      </c>
      <c r="C1771" t="s">
        <v>6167</v>
      </c>
      <c r="D1771" t="s">
        <v>3398</v>
      </c>
      <c r="E1771" t="s">
        <v>3395</v>
      </c>
      <c r="F1771" t="s">
        <v>3396</v>
      </c>
      <c r="G1771" t="s">
        <v>511</v>
      </c>
      <c r="H1771" t="s">
        <v>6168</v>
      </c>
      <c r="I1771" t="s">
        <v>6169</v>
      </c>
      <c r="J1771" t="s">
        <v>1049</v>
      </c>
      <c r="K1771" t="s">
        <v>55</v>
      </c>
      <c r="L1771" t="s">
        <v>1050</v>
      </c>
      <c r="M1771" t="s">
        <v>57</v>
      </c>
      <c r="N1771" t="str">
        <f>"047191"</f>
        <v>047191</v>
      </c>
      <c r="O1771" t="s">
        <v>1046</v>
      </c>
      <c r="P1771" t="s">
        <v>68</v>
      </c>
      <c r="Q1771">
        <v>7.9</v>
      </c>
      <c r="R1771">
        <v>10</v>
      </c>
      <c r="S1771" t="s">
        <v>69</v>
      </c>
    </row>
    <row r="1772" spans="1:19" x14ac:dyDescent="0.35">
      <c r="A1772">
        <v>18788</v>
      </c>
      <c r="B1772" t="str">
        <f>"018788"</f>
        <v>018788</v>
      </c>
      <c r="C1772" t="s">
        <v>6170</v>
      </c>
      <c r="D1772" t="s">
        <v>3400</v>
      </c>
      <c r="E1772" t="s">
        <v>3395</v>
      </c>
      <c r="F1772" t="s">
        <v>3396</v>
      </c>
      <c r="G1772" t="s">
        <v>511</v>
      </c>
      <c r="H1772" t="s">
        <v>6171</v>
      </c>
      <c r="I1772" t="s">
        <v>6172</v>
      </c>
      <c r="J1772" t="s">
        <v>1049</v>
      </c>
      <c r="K1772" t="s">
        <v>55</v>
      </c>
      <c r="L1772" t="s">
        <v>1050</v>
      </c>
      <c r="M1772" t="s">
        <v>57</v>
      </c>
      <c r="N1772" t="str">
        <f>"047191"</f>
        <v>047191</v>
      </c>
      <c r="O1772" t="s">
        <v>1046</v>
      </c>
      <c r="P1772" t="s">
        <v>68</v>
      </c>
      <c r="Q1772">
        <v>9.5</v>
      </c>
      <c r="R1772">
        <v>12</v>
      </c>
      <c r="S1772" t="s">
        <v>69</v>
      </c>
    </row>
    <row r="1773" spans="1:19" x14ac:dyDescent="0.35">
      <c r="A1773">
        <v>18820</v>
      </c>
      <c r="B1773" t="str">
        <f>"018820"</f>
        <v>018820</v>
      </c>
      <c r="C1773" t="s">
        <v>5695</v>
      </c>
      <c r="D1773" t="s">
        <v>3394</v>
      </c>
      <c r="E1773" t="s">
        <v>3395</v>
      </c>
      <c r="F1773" t="s">
        <v>3396</v>
      </c>
      <c r="G1773" t="s">
        <v>777</v>
      </c>
      <c r="H1773" t="s">
        <v>6173</v>
      </c>
      <c r="I1773" t="s">
        <v>6174</v>
      </c>
      <c r="J1773" t="s">
        <v>780</v>
      </c>
      <c r="K1773" t="s">
        <v>55</v>
      </c>
      <c r="L1773" t="s">
        <v>6175</v>
      </c>
      <c r="M1773" t="s">
        <v>57</v>
      </c>
      <c r="N1773" t="str">
        <f>"044818"</f>
        <v>044818</v>
      </c>
      <c r="O1773" t="s">
        <v>2812</v>
      </c>
      <c r="P1773" t="s">
        <v>68</v>
      </c>
      <c r="Q1773">
        <v>100</v>
      </c>
      <c r="R1773">
        <v>48.2</v>
      </c>
      <c r="S1773" t="s">
        <v>180</v>
      </c>
    </row>
    <row r="1774" spans="1:19" x14ac:dyDescent="0.35">
      <c r="A1774">
        <v>18838</v>
      </c>
      <c r="B1774" t="str">
        <f>"018838"</f>
        <v>018838</v>
      </c>
      <c r="C1774" t="s">
        <v>6176</v>
      </c>
      <c r="D1774" t="s">
        <v>3394</v>
      </c>
      <c r="E1774" t="s">
        <v>3395</v>
      </c>
      <c r="F1774" t="s">
        <v>3396</v>
      </c>
      <c r="G1774" t="s">
        <v>642</v>
      </c>
      <c r="H1774" t="s">
        <v>6177</v>
      </c>
      <c r="I1774" t="s">
        <v>6178</v>
      </c>
      <c r="J1774" t="s">
        <v>1469</v>
      </c>
      <c r="K1774" t="s">
        <v>55</v>
      </c>
      <c r="L1774" t="s">
        <v>1470</v>
      </c>
      <c r="M1774" t="s">
        <v>57</v>
      </c>
      <c r="N1774" t="str">
        <f>"045153"</f>
        <v>045153</v>
      </c>
      <c r="O1774" t="s">
        <v>2754</v>
      </c>
      <c r="P1774" t="s">
        <v>68</v>
      </c>
      <c r="Q1774">
        <v>100</v>
      </c>
      <c r="R1774">
        <v>31</v>
      </c>
      <c r="S1774" t="s">
        <v>180</v>
      </c>
    </row>
    <row r="1775" spans="1:19" x14ac:dyDescent="0.35">
      <c r="A1775">
        <v>18846</v>
      </c>
      <c r="B1775" t="str">
        <f>"018846"</f>
        <v>018846</v>
      </c>
      <c r="C1775" t="s">
        <v>6179</v>
      </c>
      <c r="D1775" t="s">
        <v>3398</v>
      </c>
      <c r="E1775" t="s">
        <v>3395</v>
      </c>
      <c r="F1775" t="s">
        <v>3396</v>
      </c>
      <c r="G1775" t="s">
        <v>878</v>
      </c>
      <c r="H1775" t="s">
        <v>6180</v>
      </c>
      <c r="I1775" t="s">
        <v>6181</v>
      </c>
      <c r="J1775" t="s">
        <v>2521</v>
      </c>
      <c r="K1775" t="s">
        <v>55</v>
      </c>
      <c r="L1775" t="s">
        <v>2522</v>
      </c>
      <c r="M1775" t="s">
        <v>57</v>
      </c>
      <c r="N1775" t="str">
        <f>"044172"</f>
        <v>044172</v>
      </c>
      <c r="O1775" t="s">
        <v>2518</v>
      </c>
      <c r="P1775" t="s">
        <v>68</v>
      </c>
      <c r="Q1775">
        <v>48.3</v>
      </c>
      <c r="R1775">
        <v>8.7000000000000028</v>
      </c>
      <c r="S1775" t="s">
        <v>156</v>
      </c>
    </row>
    <row r="1776" spans="1:19" x14ac:dyDescent="0.35">
      <c r="A1776">
        <v>18853</v>
      </c>
      <c r="B1776" t="str">
        <f>"018853"</f>
        <v>018853</v>
      </c>
      <c r="C1776" t="s">
        <v>6182</v>
      </c>
      <c r="D1776" t="s">
        <v>3400</v>
      </c>
      <c r="E1776" t="s">
        <v>3395</v>
      </c>
      <c r="F1776" t="s">
        <v>3396</v>
      </c>
      <c r="G1776" t="s">
        <v>878</v>
      </c>
      <c r="H1776" t="s">
        <v>6183</v>
      </c>
      <c r="I1776" t="s">
        <v>6184</v>
      </c>
      <c r="J1776" t="s">
        <v>2521</v>
      </c>
      <c r="K1776" t="s">
        <v>55</v>
      </c>
      <c r="L1776" t="s">
        <v>2522</v>
      </c>
      <c r="M1776" t="s">
        <v>57</v>
      </c>
      <c r="N1776" t="str">
        <f>"044172"</f>
        <v>044172</v>
      </c>
      <c r="O1776" t="s">
        <v>2518</v>
      </c>
      <c r="P1776" t="s">
        <v>68</v>
      </c>
      <c r="Q1776">
        <v>54.3</v>
      </c>
      <c r="R1776">
        <v>7.2999999999999972</v>
      </c>
      <c r="S1776" t="s">
        <v>156</v>
      </c>
    </row>
    <row r="1777" spans="1:19" x14ac:dyDescent="0.35">
      <c r="A1777">
        <v>18879</v>
      </c>
      <c r="B1777" t="str">
        <f>"018879"</f>
        <v>018879</v>
      </c>
      <c r="C1777" t="s">
        <v>6185</v>
      </c>
      <c r="D1777" t="s">
        <v>3394</v>
      </c>
      <c r="E1777" t="s">
        <v>3395</v>
      </c>
      <c r="F1777" t="s">
        <v>3396</v>
      </c>
      <c r="G1777" t="s">
        <v>600</v>
      </c>
      <c r="H1777" t="s">
        <v>6186</v>
      </c>
      <c r="I1777" t="s">
        <v>6187</v>
      </c>
      <c r="J1777" t="s">
        <v>1348</v>
      </c>
      <c r="K1777" t="s">
        <v>55</v>
      </c>
      <c r="L1777" t="s">
        <v>5611</v>
      </c>
      <c r="M1777" t="s">
        <v>57</v>
      </c>
      <c r="N1777" t="str">
        <f>"043802"</f>
        <v>043802</v>
      </c>
      <c r="O1777" t="s">
        <v>3171</v>
      </c>
      <c r="P1777" t="s">
        <v>68</v>
      </c>
      <c r="Q1777">
        <v>100</v>
      </c>
      <c r="R1777">
        <v>41.8</v>
      </c>
      <c r="S1777" t="s">
        <v>60</v>
      </c>
    </row>
    <row r="1778" spans="1:19" x14ac:dyDescent="0.35">
      <c r="A1778">
        <v>18887</v>
      </c>
      <c r="B1778" t="str">
        <f>"018887"</f>
        <v>018887</v>
      </c>
      <c r="C1778" t="s">
        <v>6188</v>
      </c>
      <c r="D1778" t="s">
        <v>3394</v>
      </c>
      <c r="E1778" t="s">
        <v>3395</v>
      </c>
      <c r="F1778" t="s">
        <v>3396</v>
      </c>
      <c r="G1778" t="s">
        <v>226</v>
      </c>
      <c r="H1778" t="s">
        <v>6189</v>
      </c>
      <c r="I1778" t="s">
        <v>6190</v>
      </c>
      <c r="J1778" t="s">
        <v>810</v>
      </c>
      <c r="K1778" t="s">
        <v>55</v>
      </c>
      <c r="L1778" t="s">
        <v>811</v>
      </c>
      <c r="M1778" t="s">
        <v>57</v>
      </c>
      <c r="N1778" t="str">
        <f>"043638"</f>
        <v>043638</v>
      </c>
      <c r="O1778" t="s">
        <v>2594</v>
      </c>
      <c r="P1778" t="s">
        <v>68</v>
      </c>
      <c r="Q1778">
        <v>48</v>
      </c>
      <c r="R1778">
        <v>23.700000000000003</v>
      </c>
      <c r="S1778" t="s">
        <v>156</v>
      </c>
    </row>
    <row r="1779" spans="1:19" x14ac:dyDescent="0.35">
      <c r="A1779">
        <v>18895</v>
      </c>
      <c r="B1779" t="str">
        <f>"018895"</f>
        <v>018895</v>
      </c>
      <c r="C1779" t="s">
        <v>6191</v>
      </c>
      <c r="D1779" t="s">
        <v>3394</v>
      </c>
      <c r="E1779" t="s">
        <v>3395</v>
      </c>
      <c r="F1779" t="s">
        <v>3396</v>
      </c>
      <c r="G1779" t="s">
        <v>777</v>
      </c>
      <c r="H1779" t="s">
        <v>6192</v>
      </c>
      <c r="I1779" t="s">
        <v>6193</v>
      </c>
      <c r="J1779" t="s">
        <v>780</v>
      </c>
      <c r="K1779" t="s">
        <v>55</v>
      </c>
      <c r="L1779" t="s">
        <v>894</v>
      </c>
      <c r="M1779" t="s">
        <v>57</v>
      </c>
      <c r="N1779" t="str">
        <f>"044818"</f>
        <v>044818</v>
      </c>
      <c r="O1779" t="s">
        <v>2812</v>
      </c>
      <c r="P1779" t="s">
        <v>68</v>
      </c>
      <c r="Q1779">
        <v>100</v>
      </c>
      <c r="R1779">
        <v>49.4</v>
      </c>
      <c r="S1779" t="s">
        <v>180</v>
      </c>
    </row>
    <row r="1780" spans="1:19" x14ac:dyDescent="0.35">
      <c r="A1780">
        <v>18911</v>
      </c>
      <c r="B1780" t="str">
        <f>"018911"</f>
        <v>018911</v>
      </c>
      <c r="C1780" t="s">
        <v>6194</v>
      </c>
      <c r="D1780" t="s">
        <v>3400</v>
      </c>
      <c r="E1780" t="s">
        <v>3395</v>
      </c>
      <c r="F1780" t="s">
        <v>3396</v>
      </c>
      <c r="G1780" t="s">
        <v>543</v>
      </c>
      <c r="H1780" t="s">
        <v>6195</v>
      </c>
      <c r="I1780" t="s">
        <v>6196</v>
      </c>
      <c r="J1780" t="s">
        <v>1961</v>
      </c>
      <c r="K1780" t="s">
        <v>55</v>
      </c>
      <c r="L1780" t="s">
        <v>3787</v>
      </c>
      <c r="M1780" t="s">
        <v>57</v>
      </c>
      <c r="N1780" t="str">
        <f>"044180"</f>
        <v>044180</v>
      </c>
      <c r="O1780" t="s">
        <v>1963</v>
      </c>
      <c r="P1780" t="s">
        <v>68</v>
      </c>
      <c r="Q1780">
        <v>46.4</v>
      </c>
      <c r="R1780">
        <v>27.599999999999994</v>
      </c>
      <c r="S1780" t="s">
        <v>180</v>
      </c>
    </row>
    <row r="1781" spans="1:19" x14ac:dyDescent="0.35">
      <c r="A1781">
        <v>18929</v>
      </c>
      <c r="B1781" t="str">
        <f>"018929"</f>
        <v>018929</v>
      </c>
      <c r="C1781" t="s">
        <v>6197</v>
      </c>
      <c r="D1781" t="s">
        <v>3398</v>
      </c>
      <c r="E1781" t="s">
        <v>3395</v>
      </c>
      <c r="F1781" t="s">
        <v>3396</v>
      </c>
      <c r="G1781" t="s">
        <v>543</v>
      </c>
      <c r="H1781" t="s">
        <v>6198</v>
      </c>
      <c r="I1781" t="s">
        <v>6199</v>
      </c>
      <c r="J1781" t="s">
        <v>1961</v>
      </c>
      <c r="K1781" t="s">
        <v>55</v>
      </c>
      <c r="L1781" t="s">
        <v>1962</v>
      </c>
      <c r="M1781" t="s">
        <v>57</v>
      </c>
      <c r="N1781" t="str">
        <f>"044180"</f>
        <v>044180</v>
      </c>
      <c r="O1781" t="s">
        <v>1963</v>
      </c>
      <c r="P1781" t="s">
        <v>68</v>
      </c>
      <c r="Q1781">
        <v>34.700000000000003</v>
      </c>
      <c r="R1781">
        <v>20.400000000000006</v>
      </c>
      <c r="S1781" t="s">
        <v>180</v>
      </c>
    </row>
    <row r="1782" spans="1:19" x14ac:dyDescent="0.35">
      <c r="A1782">
        <v>18952</v>
      </c>
      <c r="B1782" t="str">
        <f>"018952"</f>
        <v>018952</v>
      </c>
      <c r="C1782" t="s">
        <v>6200</v>
      </c>
      <c r="D1782" t="s">
        <v>3394</v>
      </c>
      <c r="E1782" t="s">
        <v>3395</v>
      </c>
      <c r="F1782" t="s">
        <v>3396</v>
      </c>
      <c r="G1782" t="s">
        <v>200</v>
      </c>
      <c r="H1782" t="s">
        <v>6201</v>
      </c>
      <c r="I1782" t="s">
        <v>6202</v>
      </c>
      <c r="J1782" t="s">
        <v>304</v>
      </c>
      <c r="K1782" t="s">
        <v>55</v>
      </c>
      <c r="L1782" t="s">
        <v>6203</v>
      </c>
      <c r="M1782" t="s">
        <v>57</v>
      </c>
      <c r="N1782" t="str">
        <f>"044909"</f>
        <v>044909</v>
      </c>
      <c r="O1782" t="s">
        <v>3318</v>
      </c>
      <c r="P1782" t="s">
        <v>68</v>
      </c>
      <c r="Q1782">
        <v>94.7</v>
      </c>
      <c r="R1782">
        <v>86.2</v>
      </c>
      <c r="S1782" t="s">
        <v>156</v>
      </c>
    </row>
    <row r="1783" spans="1:19" x14ac:dyDescent="0.35">
      <c r="A1783">
        <v>18960</v>
      </c>
      <c r="B1783" t="str">
        <f>"018960"</f>
        <v>018960</v>
      </c>
      <c r="C1783" t="s">
        <v>6204</v>
      </c>
      <c r="D1783" t="s">
        <v>3398</v>
      </c>
      <c r="E1783" t="s">
        <v>3395</v>
      </c>
      <c r="F1783" t="s">
        <v>3396</v>
      </c>
      <c r="G1783" t="s">
        <v>143</v>
      </c>
      <c r="H1783" t="s">
        <v>6205</v>
      </c>
      <c r="I1783" t="s">
        <v>6206</v>
      </c>
      <c r="J1783" t="s">
        <v>146</v>
      </c>
      <c r="K1783" t="s">
        <v>55</v>
      </c>
      <c r="L1783" t="s">
        <v>147</v>
      </c>
      <c r="M1783" t="s">
        <v>57</v>
      </c>
      <c r="N1783" t="str">
        <f>"048165"</f>
        <v>048165</v>
      </c>
      <c r="O1783" t="s">
        <v>142</v>
      </c>
      <c r="P1783" t="s">
        <v>68</v>
      </c>
      <c r="Q1783">
        <v>17.3</v>
      </c>
      <c r="R1783">
        <v>5.7999999999999972</v>
      </c>
      <c r="S1783" t="s">
        <v>69</v>
      </c>
    </row>
    <row r="1784" spans="1:19" x14ac:dyDescent="0.35">
      <c r="A1784">
        <v>19000</v>
      </c>
      <c r="B1784" t="str">
        <f>"019000"</f>
        <v>019000</v>
      </c>
      <c r="C1784" t="s">
        <v>6207</v>
      </c>
      <c r="D1784" t="s">
        <v>3394</v>
      </c>
      <c r="E1784" t="s">
        <v>3395</v>
      </c>
      <c r="F1784" t="s">
        <v>3396</v>
      </c>
      <c r="G1784" t="s">
        <v>212</v>
      </c>
      <c r="H1784" t="s">
        <v>6208</v>
      </c>
      <c r="I1784" t="s">
        <v>6209</v>
      </c>
      <c r="J1784" t="s">
        <v>215</v>
      </c>
      <c r="K1784" t="s">
        <v>55</v>
      </c>
      <c r="L1784" t="s">
        <v>6210</v>
      </c>
      <c r="M1784" t="s">
        <v>57</v>
      </c>
      <c r="N1784" t="str">
        <f>"043752"</f>
        <v>043752</v>
      </c>
      <c r="O1784" t="s">
        <v>440</v>
      </c>
      <c r="P1784" t="s">
        <v>68</v>
      </c>
      <c r="Q1784">
        <v>13.1</v>
      </c>
      <c r="R1784">
        <v>29.599999999999994</v>
      </c>
      <c r="S1784" t="s">
        <v>217</v>
      </c>
    </row>
    <row r="1785" spans="1:19" x14ac:dyDescent="0.35">
      <c r="A1785">
        <v>19018</v>
      </c>
      <c r="B1785" t="str">
        <f>"019018"</f>
        <v>019018</v>
      </c>
      <c r="C1785" t="s">
        <v>6211</v>
      </c>
      <c r="D1785" t="s">
        <v>3394</v>
      </c>
      <c r="E1785" t="s">
        <v>3395</v>
      </c>
      <c r="F1785" t="s">
        <v>3396</v>
      </c>
      <c r="G1785" t="s">
        <v>712</v>
      </c>
      <c r="H1785" t="s">
        <v>6212</v>
      </c>
      <c r="I1785" t="s">
        <v>6213</v>
      </c>
      <c r="J1785" t="s">
        <v>6214</v>
      </c>
      <c r="K1785" t="s">
        <v>55</v>
      </c>
      <c r="L1785" t="s">
        <v>6215</v>
      </c>
      <c r="M1785" t="s">
        <v>57</v>
      </c>
      <c r="N1785" t="str">
        <f>"047696"</f>
        <v>047696</v>
      </c>
      <c r="O1785" t="s">
        <v>711</v>
      </c>
      <c r="P1785" t="s">
        <v>68</v>
      </c>
      <c r="Q1785">
        <v>50.8</v>
      </c>
      <c r="R1785">
        <v>3.5</v>
      </c>
      <c r="S1785" t="s">
        <v>77</v>
      </c>
    </row>
    <row r="1786" spans="1:19" x14ac:dyDescent="0.35">
      <c r="A1786">
        <v>19034</v>
      </c>
      <c r="B1786" t="str">
        <f>"019034"</f>
        <v>019034</v>
      </c>
      <c r="C1786" t="s">
        <v>6216</v>
      </c>
      <c r="D1786" t="s">
        <v>3394</v>
      </c>
      <c r="E1786" t="s">
        <v>3395</v>
      </c>
      <c r="F1786" t="s">
        <v>3396</v>
      </c>
      <c r="G1786" t="s">
        <v>543</v>
      </c>
      <c r="H1786" t="s">
        <v>6217</v>
      </c>
      <c r="I1786" t="s">
        <v>6218</v>
      </c>
      <c r="J1786" t="s">
        <v>790</v>
      </c>
      <c r="K1786" t="s">
        <v>55</v>
      </c>
      <c r="L1786" t="s">
        <v>791</v>
      </c>
      <c r="M1786" t="s">
        <v>57</v>
      </c>
      <c r="N1786" t="str">
        <f>"044396"</f>
        <v>044396</v>
      </c>
      <c r="O1786" t="s">
        <v>787</v>
      </c>
      <c r="P1786" t="s">
        <v>68</v>
      </c>
      <c r="Q1786">
        <v>61.8</v>
      </c>
      <c r="R1786">
        <v>31.700000000000003</v>
      </c>
      <c r="S1786" t="s">
        <v>180</v>
      </c>
    </row>
    <row r="1787" spans="1:19" x14ac:dyDescent="0.35">
      <c r="A1787">
        <v>19042</v>
      </c>
      <c r="B1787" t="str">
        <f>"019042"</f>
        <v>019042</v>
      </c>
      <c r="C1787" t="s">
        <v>6219</v>
      </c>
      <c r="D1787" t="s">
        <v>3394</v>
      </c>
      <c r="E1787" t="s">
        <v>3395</v>
      </c>
      <c r="F1787" t="s">
        <v>3396</v>
      </c>
      <c r="G1787" t="s">
        <v>264</v>
      </c>
      <c r="H1787" t="s">
        <v>6220</v>
      </c>
      <c r="I1787" t="s">
        <v>6221</v>
      </c>
      <c r="J1787" t="s">
        <v>267</v>
      </c>
      <c r="K1787" t="s">
        <v>55</v>
      </c>
      <c r="L1787" t="s">
        <v>6222</v>
      </c>
      <c r="M1787" t="s">
        <v>57</v>
      </c>
      <c r="N1787" t="str">
        <f>"043489"</f>
        <v>043489</v>
      </c>
      <c r="O1787" t="s">
        <v>3176</v>
      </c>
      <c r="P1787" t="s">
        <v>68</v>
      </c>
      <c r="Q1787">
        <v>100</v>
      </c>
      <c r="R1787">
        <v>56.1</v>
      </c>
      <c r="S1787" t="s">
        <v>77</v>
      </c>
    </row>
    <row r="1788" spans="1:19" x14ac:dyDescent="0.35">
      <c r="A1788">
        <v>19075</v>
      </c>
      <c r="B1788" t="str">
        <f>"019075"</f>
        <v>019075</v>
      </c>
      <c r="C1788" t="s">
        <v>6223</v>
      </c>
      <c r="D1788" t="s">
        <v>3506</v>
      </c>
      <c r="E1788" t="s">
        <v>3395</v>
      </c>
      <c r="F1788" t="s">
        <v>3396</v>
      </c>
      <c r="G1788" t="s">
        <v>172</v>
      </c>
      <c r="H1788" t="s">
        <v>6224</v>
      </c>
      <c r="I1788" t="s">
        <v>6225</v>
      </c>
      <c r="J1788" t="s">
        <v>580</v>
      </c>
      <c r="K1788" t="s">
        <v>55</v>
      </c>
      <c r="L1788" t="s">
        <v>581</v>
      </c>
      <c r="M1788" t="s">
        <v>57</v>
      </c>
      <c r="N1788" t="str">
        <f>"050435"</f>
        <v>050435</v>
      </c>
      <c r="O1788" t="s">
        <v>577</v>
      </c>
      <c r="P1788" t="s">
        <v>68</v>
      </c>
      <c r="Q1788">
        <v>16.5</v>
      </c>
      <c r="R1788">
        <v>19.599999999999994</v>
      </c>
      <c r="S1788" t="s">
        <v>217</v>
      </c>
    </row>
    <row r="1789" spans="1:19" x14ac:dyDescent="0.35">
      <c r="A1789">
        <v>19083</v>
      </c>
      <c r="B1789" t="str">
        <f>"019083"</f>
        <v>019083</v>
      </c>
      <c r="C1789" t="s">
        <v>6226</v>
      </c>
      <c r="D1789" t="s">
        <v>3394</v>
      </c>
      <c r="E1789" t="s">
        <v>3395</v>
      </c>
      <c r="F1789" t="s">
        <v>3396</v>
      </c>
      <c r="G1789" t="s">
        <v>172</v>
      </c>
      <c r="H1789" t="s">
        <v>6227</v>
      </c>
      <c r="I1789" t="s">
        <v>6228</v>
      </c>
      <c r="J1789" t="s">
        <v>580</v>
      </c>
      <c r="K1789" t="s">
        <v>55</v>
      </c>
      <c r="L1789" t="s">
        <v>581</v>
      </c>
      <c r="M1789" t="s">
        <v>57</v>
      </c>
      <c r="N1789" t="str">
        <f>"050435"</f>
        <v>050435</v>
      </c>
      <c r="O1789" t="s">
        <v>577</v>
      </c>
      <c r="P1789" t="s">
        <v>68</v>
      </c>
      <c r="Q1789">
        <v>9.6999999999999993</v>
      </c>
      <c r="R1789">
        <v>39.6</v>
      </c>
      <c r="S1789" t="s">
        <v>217</v>
      </c>
    </row>
    <row r="1790" spans="1:19" x14ac:dyDescent="0.35">
      <c r="A1790">
        <v>19117</v>
      </c>
      <c r="B1790" t="str">
        <f>"019117"</f>
        <v>019117</v>
      </c>
      <c r="C1790" t="s">
        <v>6229</v>
      </c>
      <c r="D1790" t="s">
        <v>3400</v>
      </c>
      <c r="E1790" t="s">
        <v>3395</v>
      </c>
      <c r="F1790" t="s">
        <v>3396</v>
      </c>
      <c r="G1790" t="s">
        <v>318</v>
      </c>
      <c r="H1790" t="s">
        <v>751</v>
      </c>
      <c r="I1790" t="s">
        <v>752</v>
      </c>
      <c r="J1790" t="s">
        <v>321</v>
      </c>
      <c r="K1790" t="s">
        <v>55</v>
      </c>
      <c r="L1790" t="s">
        <v>322</v>
      </c>
      <c r="M1790" t="s">
        <v>57</v>
      </c>
      <c r="N1790" t="str">
        <f>"049544"</f>
        <v>049544</v>
      </c>
      <c r="O1790" t="s">
        <v>750</v>
      </c>
      <c r="P1790" t="s">
        <v>68</v>
      </c>
      <c r="Q1790">
        <v>43.8</v>
      </c>
      <c r="R1790">
        <v>6.0999999999999943</v>
      </c>
      <c r="S1790" t="s">
        <v>130</v>
      </c>
    </row>
    <row r="1791" spans="1:19" x14ac:dyDescent="0.35">
      <c r="A1791">
        <v>19125</v>
      </c>
      <c r="B1791" t="str">
        <f>"019125"</f>
        <v>019125</v>
      </c>
      <c r="C1791" t="s">
        <v>6230</v>
      </c>
      <c r="D1791" t="s">
        <v>3394</v>
      </c>
      <c r="E1791" t="s">
        <v>3395</v>
      </c>
      <c r="F1791" t="s">
        <v>3396</v>
      </c>
      <c r="G1791" t="s">
        <v>132</v>
      </c>
      <c r="H1791" t="s">
        <v>6231</v>
      </c>
      <c r="I1791" t="s">
        <v>6232</v>
      </c>
      <c r="J1791" t="s">
        <v>6233</v>
      </c>
      <c r="K1791" t="s">
        <v>55</v>
      </c>
      <c r="L1791" t="s">
        <v>6234</v>
      </c>
      <c r="M1791" t="s">
        <v>57</v>
      </c>
      <c r="N1791" t="str">
        <f>"045856"</f>
        <v>045856</v>
      </c>
      <c r="O1791" t="s">
        <v>181</v>
      </c>
      <c r="P1791" t="s">
        <v>68</v>
      </c>
      <c r="Q1791">
        <v>47.1</v>
      </c>
      <c r="R1791">
        <v>14.099999999999994</v>
      </c>
      <c r="S1791" t="s">
        <v>69</v>
      </c>
    </row>
    <row r="1792" spans="1:19" x14ac:dyDescent="0.35">
      <c r="A1792">
        <v>19174</v>
      </c>
      <c r="B1792" t="str">
        <f>"019174"</f>
        <v>019174</v>
      </c>
      <c r="C1792" t="s">
        <v>6235</v>
      </c>
      <c r="D1792" t="s">
        <v>3394</v>
      </c>
      <c r="E1792" t="s">
        <v>3395</v>
      </c>
      <c r="F1792" t="s">
        <v>3396</v>
      </c>
      <c r="G1792" t="s">
        <v>110</v>
      </c>
      <c r="H1792" t="s">
        <v>6236</v>
      </c>
      <c r="I1792" t="s">
        <v>6237</v>
      </c>
      <c r="J1792" t="s">
        <v>6238</v>
      </c>
      <c r="K1792" t="s">
        <v>55</v>
      </c>
      <c r="L1792" t="s">
        <v>1028</v>
      </c>
      <c r="M1792" t="s">
        <v>57</v>
      </c>
      <c r="N1792" t="str">
        <f>"048041"</f>
        <v>048041</v>
      </c>
      <c r="O1792" t="s">
        <v>2424</v>
      </c>
      <c r="P1792" t="s">
        <v>68</v>
      </c>
      <c r="Q1792">
        <v>22.6</v>
      </c>
      <c r="R1792">
        <v>18.400000000000006</v>
      </c>
      <c r="S1792" t="s">
        <v>60</v>
      </c>
    </row>
    <row r="1793" spans="1:19" x14ac:dyDescent="0.35">
      <c r="A1793">
        <v>19190</v>
      </c>
      <c r="B1793" t="str">
        <f>"019190"</f>
        <v>019190</v>
      </c>
      <c r="C1793" t="s">
        <v>6239</v>
      </c>
      <c r="D1793" t="s">
        <v>3400</v>
      </c>
      <c r="E1793" t="s">
        <v>3395</v>
      </c>
      <c r="F1793" t="s">
        <v>3396</v>
      </c>
      <c r="G1793" t="s">
        <v>233</v>
      </c>
      <c r="H1793" t="s">
        <v>3969</v>
      </c>
      <c r="I1793" t="s">
        <v>3970</v>
      </c>
      <c r="J1793" t="s">
        <v>982</v>
      </c>
      <c r="K1793" t="s">
        <v>55</v>
      </c>
      <c r="L1793" t="s">
        <v>983</v>
      </c>
      <c r="M1793" t="s">
        <v>57</v>
      </c>
      <c r="N1793" t="str">
        <f>"045237"</f>
        <v>045237</v>
      </c>
      <c r="O1793" t="s">
        <v>979</v>
      </c>
      <c r="P1793" t="s">
        <v>68</v>
      </c>
      <c r="Q1793">
        <v>63.1</v>
      </c>
      <c r="R1793">
        <v>7.4000000000000057</v>
      </c>
      <c r="S1793" t="s">
        <v>130</v>
      </c>
    </row>
    <row r="1794" spans="1:19" x14ac:dyDescent="0.35">
      <c r="A1794">
        <v>19208</v>
      </c>
      <c r="B1794" t="str">
        <f>"019208"</f>
        <v>019208</v>
      </c>
      <c r="C1794" t="s">
        <v>6240</v>
      </c>
      <c r="D1794" t="s">
        <v>3394</v>
      </c>
      <c r="E1794" t="s">
        <v>3395</v>
      </c>
      <c r="F1794" t="s">
        <v>3396</v>
      </c>
      <c r="G1794" t="s">
        <v>481</v>
      </c>
      <c r="H1794" t="s">
        <v>6241</v>
      </c>
      <c r="I1794" t="s">
        <v>6242</v>
      </c>
      <c r="J1794" t="s">
        <v>1821</v>
      </c>
      <c r="K1794" t="s">
        <v>55</v>
      </c>
      <c r="L1794" t="s">
        <v>1822</v>
      </c>
      <c r="M1794" t="s">
        <v>57</v>
      </c>
      <c r="N1794" t="str">
        <f>"047878"</f>
        <v>047878</v>
      </c>
      <c r="O1794" t="s">
        <v>1818</v>
      </c>
      <c r="P1794" t="s">
        <v>68</v>
      </c>
      <c r="Q1794">
        <v>9.8000000000000007</v>
      </c>
      <c r="R1794">
        <v>6.7000000000000028</v>
      </c>
      <c r="S1794" t="s">
        <v>69</v>
      </c>
    </row>
    <row r="1795" spans="1:19" x14ac:dyDescent="0.35">
      <c r="A1795">
        <v>19216</v>
      </c>
      <c r="B1795" t="str">
        <f>"019216"</f>
        <v>019216</v>
      </c>
      <c r="C1795" t="s">
        <v>6243</v>
      </c>
      <c r="D1795" t="s">
        <v>3398</v>
      </c>
      <c r="E1795" t="s">
        <v>3395</v>
      </c>
      <c r="F1795" t="s">
        <v>3396</v>
      </c>
      <c r="G1795" t="s">
        <v>481</v>
      </c>
      <c r="H1795" t="s">
        <v>6244</v>
      </c>
      <c r="I1795" t="s">
        <v>6245</v>
      </c>
      <c r="J1795" t="s">
        <v>1821</v>
      </c>
      <c r="K1795" t="s">
        <v>55</v>
      </c>
      <c r="L1795" t="s">
        <v>1822</v>
      </c>
      <c r="M1795" t="s">
        <v>57</v>
      </c>
      <c r="N1795" t="str">
        <f>"047878"</f>
        <v>047878</v>
      </c>
      <c r="O1795" t="s">
        <v>1818</v>
      </c>
      <c r="P1795" t="s">
        <v>68</v>
      </c>
      <c r="Q1795">
        <v>5.5</v>
      </c>
      <c r="R1795">
        <v>5.7999999999999972</v>
      </c>
      <c r="S1795" t="s">
        <v>69</v>
      </c>
    </row>
    <row r="1796" spans="1:19" x14ac:dyDescent="0.35">
      <c r="A1796">
        <v>19224</v>
      </c>
      <c r="B1796" t="str">
        <f>"019224"</f>
        <v>019224</v>
      </c>
      <c r="C1796" t="s">
        <v>6246</v>
      </c>
      <c r="D1796" t="s">
        <v>3400</v>
      </c>
      <c r="E1796" t="s">
        <v>3395</v>
      </c>
      <c r="F1796" t="s">
        <v>3396</v>
      </c>
      <c r="G1796" t="s">
        <v>481</v>
      </c>
      <c r="H1796" t="s">
        <v>6247</v>
      </c>
      <c r="I1796" t="s">
        <v>6248</v>
      </c>
      <c r="J1796" t="s">
        <v>1821</v>
      </c>
      <c r="K1796" t="s">
        <v>55</v>
      </c>
      <c r="L1796" t="s">
        <v>1822</v>
      </c>
      <c r="M1796" t="s">
        <v>57</v>
      </c>
      <c r="N1796" t="str">
        <f>"047878"</f>
        <v>047878</v>
      </c>
      <c r="O1796" t="s">
        <v>1818</v>
      </c>
      <c r="P1796" t="s">
        <v>68</v>
      </c>
      <c r="Q1796">
        <v>8</v>
      </c>
      <c r="R1796">
        <v>4.9000000000000057</v>
      </c>
      <c r="S1796" t="s">
        <v>69</v>
      </c>
    </row>
    <row r="1797" spans="1:19" x14ac:dyDescent="0.35">
      <c r="A1797">
        <v>19273</v>
      </c>
      <c r="B1797" t="str">
        <f>"019273"</f>
        <v>019273</v>
      </c>
      <c r="C1797" t="s">
        <v>6249</v>
      </c>
      <c r="D1797" t="s">
        <v>3394</v>
      </c>
      <c r="E1797" t="s">
        <v>3395</v>
      </c>
      <c r="F1797" t="s">
        <v>3396</v>
      </c>
      <c r="G1797" t="s">
        <v>143</v>
      </c>
      <c r="H1797" t="s">
        <v>6250</v>
      </c>
      <c r="I1797" t="s">
        <v>6251</v>
      </c>
      <c r="J1797" t="s">
        <v>3076</v>
      </c>
      <c r="K1797" t="s">
        <v>55</v>
      </c>
      <c r="L1797" t="s">
        <v>3077</v>
      </c>
      <c r="M1797" t="s">
        <v>57</v>
      </c>
      <c r="N1797" t="str">
        <f>"044768"</f>
        <v>044768</v>
      </c>
      <c r="O1797" t="s">
        <v>3073</v>
      </c>
      <c r="P1797" t="s">
        <v>68</v>
      </c>
      <c r="Q1797">
        <v>53.4</v>
      </c>
      <c r="R1797">
        <v>30.599999999999994</v>
      </c>
      <c r="S1797" t="s">
        <v>69</v>
      </c>
    </row>
    <row r="1798" spans="1:19" x14ac:dyDescent="0.35">
      <c r="A1798">
        <v>19281</v>
      </c>
      <c r="B1798" t="str">
        <f>"019281"</f>
        <v>019281</v>
      </c>
      <c r="C1798" t="s">
        <v>6252</v>
      </c>
      <c r="D1798" t="s">
        <v>3394</v>
      </c>
      <c r="E1798" t="s">
        <v>3395</v>
      </c>
      <c r="F1798" t="s">
        <v>3396</v>
      </c>
      <c r="G1798" t="s">
        <v>383</v>
      </c>
      <c r="H1798" t="s">
        <v>6253</v>
      </c>
      <c r="I1798" t="s">
        <v>6254</v>
      </c>
      <c r="J1798" t="s">
        <v>2351</v>
      </c>
      <c r="K1798" t="s">
        <v>55</v>
      </c>
      <c r="L1798" t="s">
        <v>2352</v>
      </c>
      <c r="M1798" t="s">
        <v>57</v>
      </c>
      <c r="N1798" t="str">
        <f>"048389"</f>
        <v>048389</v>
      </c>
      <c r="O1798" t="s">
        <v>1978</v>
      </c>
      <c r="P1798" t="s">
        <v>68</v>
      </c>
      <c r="Q1798">
        <v>43.6</v>
      </c>
      <c r="R1798">
        <v>7</v>
      </c>
      <c r="S1798" t="s">
        <v>77</v>
      </c>
    </row>
    <row r="1799" spans="1:19" x14ac:dyDescent="0.35">
      <c r="A1799">
        <v>19323</v>
      </c>
      <c r="B1799" t="str">
        <f>"019323"</f>
        <v>019323</v>
      </c>
      <c r="C1799" t="s">
        <v>6255</v>
      </c>
      <c r="D1799" t="s">
        <v>3394</v>
      </c>
      <c r="E1799" t="s">
        <v>3395</v>
      </c>
      <c r="F1799" t="s">
        <v>3396</v>
      </c>
      <c r="G1799" t="s">
        <v>244</v>
      </c>
      <c r="H1799" t="s">
        <v>6256</v>
      </c>
      <c r="I1799" t="s">
        <v>6257</v>
      </c>
      <c r="J1799" t="s">
        <v>1748</v>
      </c>
      <c r="K1799" t="s">
        <v>55</v>
      </c>
      <c r="L1799" t="s">
        <v>1749</v>
      </c>
      <c r="M1799" t="s">
        <v>57</v>
      </c>
      <c r="N1799" t="str">
        <f>"046151"</f>
        <v>046151</v>
      </c>
      <c r="O1799" t="s">
        <v>1745</v>
      </c>
      <c r="P1799" t="s">
        <v>68</v>
      </c>
      <c r="Q1799">
        <v>38.4</v>
      </c>
      <c r="R1799">
        <v>13.400000000000006</v>
      </c>
      <c r="S1799" t="s">
        <v>217</v>
      </c>
    </row>
    <row r="1800" spans="1:19" x14ac:dyDescent="0.35">
      <c r="A1800">
        <v>19331</v>
      </c>
      <c r="B1800" t="str">
        <f>"019331"</f>
        <v>019331</v>
      </c>
      <c r="C1800" t="s">
        <v>6258</v>
      </c>
      <c r="D1800" t="s">
        <v>3394</v>
      </c>
      <c r="E1800" t="s">
        <v>3395</v>
      </c>
      <c r="F1800" t="s">
        <v>3396</v>
      </c>
      <c r="G1800" t="s">
        <v>1296</v>
      </c>
      <c r="H1800" t="s">
        <v>6259</v>
      </c>
      <c r="I1800" t="s">
        <v>6260</v>
      </c>
      <c r="J1800" t="s">
        <v>1299</v>
      </c>
      <c r="K1800" t="s">
        <v>55</v>
      </c>
      <c r="L1800" t="s">
        <v>1300</v>
      </c>
      <c r="M1800" t="s">
        <v>57</v>
      </c>
      <c r="N1800" t="str">
        <f>"044891"</f>
        <v>044891</v>
      </c>
      <c r="O1800" t="s">
        <v>3295</v>
      </c>
      <c r="P1800" t="s">
        <v>68</v>
      </c>
      <c r="Q1800">
        <v>54.1</v>
      </c>
      <c r="R1800">
        <v>16.799999999999997</v>
      </c>
      <c r="S1800" t="s">
        <v>156</v>
      </c>
    </row>
    <row r="1801" spans="1:19" x14ac:dyDescent="0.35">
      <c r="A1801">
        <v>19364</v>
      </c>
      <c r="B1801" t="str">
        <f>"019364"</f>
        <v>019364</v>
      </c>
      <c r="C1801" t="s">
        <v>6261</v>
      </c>
      <c r="D1801" t="s">
        <v>3398</v>
      </c>
      <c r="E1801" t="s">
        <v>3395</v>
      </c>
      <c r="F1801" t="s">
        <v>3396</v>
      </c>
      <c r="G1801" t="s">
        <v>861</v>
      </c>
      <c r="H1801" t="s">
        <v>6262</v>
      </c>
      <c r="I1801" t="s">
        <v>6263</v>
      </c>
      <c r="J1801" t="s">
        <v>3846</v>
      </c>
      <c r="K1801" t="s">
        <v>55</v>
      </c>
      <c r="L1801" t="s">
        <v>3847</v>
      </c>
      <c r="M1801" t="s">
        <v>57</v>
      </c>
      <c r="N1801" t="str">
        <f>"065680"</f>
        <v>065680</v>
      </c>
      <c r="O1801" t="s">
        <v>1755</v>
      </c>
      <c r="P1801" t="s">
        <v>68</v>
      </c>
      <c r="Q1801">
        <v>100</v>
      </c>
      <c r="R1801">
        <v>5.0999999999999943</v>
      </c>
      <c r="S1801" t="s">
        <v>130</v>
      </c>
    </row>
    <row r="1802" spans="1:19" x14ac:dyDescent="0.35">
      <c r="A1802">
        <v>19372</v>
      </c>
      <c r="B1802" t="str">
        <f>"019372"</f>
        <v>019372</v>
      </c>
      <c r="C1802" t="s">
        <v>6264</v>
      </c>
      <c r="D1802" t="s">
        <v>3394</v>
      </c>
      <c r="E1802" t="s">
        <v>3395</v>
      </c>
      <c r="F1802" t="s">
        <v>3396</v>
      </c>
      <c r="G1802" t="s">
        <v>325</v>
      </c>
      <c r="H1802" t="s">
        <v>6265</v>
      </c>
      <c r="I1802" t="s">
        <v>6266</v>
      </c>
      <c r="J1802" t="s">
        <v>2819</v>
      </c>
      <c r="K1802" t="s">
        <v>55</v>
      </c>
      <c r="L1802" t="s">
        <v>2820</v>
      </c>
      <c r="M1802" t="s">
        <v>57</v>
      </c>
      <c r="N1802" t="str">
        <f>"044925"</f>
        <v>044925</v>
      </c>
      <c r="O1802" t="s">
        <v>2816</v>
      </c>
      <c r="P1802" t="s">
        <v>68</v>
      </c>
      <c r="Q1802">
        <v>58.3</v>
      </c>
      <c r="R1802">
        <v>20.400000000000006</v>
      </c>
      <c r="S1802" t="s">
        <v>180</v>
      </c>
    </row>
    <row r="1803" spans="1:19" x14ac:dyDescent="0.35">
      <c r="A1803">
        <v>19380</v>
      </c>
      <c r="B1803" t="str">
        <f>"019380"</f>
        <v>019380</v>
      </c>
      <c r="C1803" t="s">
        <v>6267</v>
      </c>
      <c r="D1803" t="s">
        <v>3394</v>
      </c>
      <c r="E1803" t="s">
        <v>3395</v>
      </c>
      <c r="F1803" t="s">
        <v>3396</v>
      </c>
      <c r="G1803" t="s">
        <v>536</v>
      </c>
      <c r="H1803" t="s">
        <v>6268</v>
      </c>
      <c r="I1803" t="s">
        <v>6269</v>
      </c>
      <c r="J1803" t="s">
        <v>539</v>
      </c>
      <c r="K1803" t="s">
        <v>55</v>
      </c>
      <c r="L1803" t="s">
        <v>540</v>
      </c>
      <c r="M1803" t="s">
        <v>57</v>
      </c>
      <c r="N1803" t="str">
        <f>"043919"</f>
        <v>043919</v>
      </c>
      <c r="O1803" t="s">
        <v>1578</v>
      </c>
      <c r="P1803" t="s">
        <v>68</v>
      </c>
      <c r="Q1803">
        <v>96.5</v>
      </c>
      <c r="R1803">
        <v>18.299999999999997</v>
      </c>
      <c r="S1803" t="s">
        <v>77</v>
      </c>
    </row>
    <row r="1804" spans="1:19" x14ac:dyDescent="0.35">
      <c r="A1804">
        <v>19406</v>
      </c>
      <c r="B1804" t="str">
        <f>"019406"</f>
        <v>019406</v>
      </c>
      <c r="C1804" t="s">
        <v>6270</v>
      </c>
      <c r="D1804" t="s">
        <v>3398</v>
      </c>
      <c r="E1804" t="s">
        <v>3395</v>
      </c>
      <c r="F1804" t="s">
        <v>3396</v>
      </c>
      <c r="G1804" t="s">
        <v>63</v>
      </c>
      <c r="H1804" t="s">
        <v>6105</v>
      </c>
      <c r="I1804" t="s">
        <v>6106</v>
      </c>
      <c r="J1804" t="s">
        <v>285</v>
      </c>
      <c r="K1804" t="s">
        <v>55</v>
      </c>
      <c r="L1804" t="s">
        <v>3915</v>
      </c>
      <c r="M1804" t="s">
        <v>57</v>
      </c>
      <c r="N1804" t="str">
        <f>"043786"</f>
        <v>043786</v>
      </c>
      <c r="O1804" t="s">
        <v>1340</v>
      </c>
      <c r="P1804" t="s">
        <v>68</v>
      </c>
      <c r="Q1804">
        <v>100</v>
      </c>
      <c r="R1804">
        <v>100</v>
      </c>
      <c r="S1804" t="s">
        <v>69</v>
      </c>
    </row>
    <row r="1805" spans="1:19" x14ac:dyDescent="0.35">
      <c r="A1805">
        <v>19430</v>
      </c>
      <c r="B1805" t="str">
        <f>"019430"</f>
        <v>019430</v>
      </c>
      <c r="C1805" t="s">
        <v>6271</v>
      </c>
      <c r="D1805" t="s">
        <v>3394</v>
      </c>
      <c r="E1805" t="s">
        <v>3395</v>
      </c>
      <c r="F1805" t="s">
        <v>3396</v>
      </c>
      <c r="G1805" t="s">
        <v>777</v>
      </c>
      <c r="H1805" t="s">
        <v>6272</v>
      </c>
      <c r="I1805" t="s">
        <v>6273</v>
      </c>
      <c r="J1805" t="s">
        <v>780</v>
      </c>
      <c r="K1805" t="s">
        <v>55</v>
      </c>
      <c r="L1805" t="s">
        <v>6175</v>
      </c>
      <c r="M1805" t="s">
        <v>57</v>
      </c>
      <c r="N1805" t="str">
        <f>"044818"</f>
        <v>044818</v>
      </c>
      <c r="O1805" t="s">
        <v>2812</v>
      </c>
      <c r="P1805" t="s">
        <v>68</v>
      </c>
      <c r="Q1805">
        <v>100</v>
      </c>
      <c r="R1805">
        <v>54.3</v>
      </c>
      <c r="S1805" t="s">
        <v>180</v>
      </c>
    </row>
    <row r="1806" spans="1:19" x14ac:dyDescent="0.35">
      <c r="A1806">
        <v>19448</v>
      </c>
      <c r="B1806" t="str">
        <f>"019448"</f>
        <v>019448</v>
      </c>
      <c r="C1806" t="s">
        <v>6274</v>
      </c>
      <c r="D1806" t="s">
        <v>3400</v>
      </c>
      <c r="E1806" t="s">
        <v>3395</v>
      </c>
      <c r="F1806" t="s">
        <v>3396</v>
      </c>
      <c r="G1806" t="s">
        <v>143</v>
      </c>
      <c r="H1806" t="s">
        <v>6275</v>
      </c>
      <c r="I1806" t="s">
        <v>6276</v>
      </c>
      <c r="J1806" t="s">
        <v>146</v>
      </c>
      <c r="K1806" t="s">
        <v>55</v>
      </c>
      <c r="L1806" t="s">
        <v>147</v>
      </c>
      <c r="M1806" t="s">
        <v>57</v>
      </c>
      <c r="N1806" t="str">
        <f>"048165"</f>
        <v>048165</v>
      </c>
      <c r="O1806" t="s">
        <v>142</v>
      </c>
      <c r="P1806" t="s">
        <v>68</v>
      </c>
      <c r="Q1806">
        <v>29.4</v>
      </c>
      <c r="R1806">
        <v>7.2000000000000028</v>
      </c>
      <c r="S1806" t="s">
        <v>69</v>
      </c>
    </row>
    <row r="1807" spans="1:19" x14ac:dyDescent="0.35">
      <c r="A1807">
        <v>19489</v>
      </c>
      <c r="B1807" t="str">
        <f>"019489"</f>
        <v>019489</v>
      </c>
      <c r="C1807" t="s">
        <v>6277</v>
      </c>
      <c r="D1807" t="s">
        <v>3394</v>
      </c>
      <c r="E1807" t="s">
        <v>3395</v>
      </c>
      <c r="F1807" t="s">
        <v>3396</v>
      </c>
      <c r="G1807" t="s">
        <v>117</v>
      </c>
      <c r="H1807" t="s">
        <v>6278</v>
      </c>
      <c r="I1807" t="s">
        <v>6279</v>
      </c>
      <c r="J1807" t="s">
        <v>1409</v>
      </c>
      <c r="K1807" t="s">
        <v>55</v>
      </c>
      <c r="L1807" t="s">
        <v>6280</v>
      </c>
      <c r="M1807" t="s">
        <v>57</v>
      </c>
      <c r="N1807" t="str">
        <f>"049858"</f>
        <v>049858</v>
      </c>
      <c r="O1807" t="s">
        <v>2490</v>
      </c>
      <c r="P1807" t="s">
        <v>68</v>
      </c>
      <c r="Q1807">
        <v>24.8</v>
      </c>
      <c r="R1807">
        <v>21.5</v>
      </c>
      <c r="S1807" t="s">
        <v>77</v>
      </c>
    </row>
    <row r="1808" spans="1:19" x14ac:dyDescent="0.35">
      <c r="A1808">
        <v>19521</v>
      </c>
      <c r="B1808" t="str">
        <f>"019521"</f>
        <v>019521</v>
      </c>
      <c r="C1808" t="s">
        <v>6281</v>
      </c>
      <c r="D1808" t="s">
        <v>3394</v>
      </c>
      <c r="E1808" t="s">
        <v>3395</v>
      </c>
      <c r="F1808" t="s">
        <v>3396</v>
      </c>
      <c r="G1808" t="s">
        <v>226</v>
      </c>
      <c r="H1808" t="s">
        <v>6282</v>
      </c>
      <c r="I1808" t="s">
        <v>6283</v>
      </c>
      <c r="J1808" t="s">
        <v>3174</v>
      </c>
      <c r="K1808" t="s">
        <v>55</v>
      </c>
      <c r="L1808" t="s">
        <v>3175</v>
      </c>
      <c r="M1808" t="s">
        <v>57</v>
      </c>
      <c r="N1808" t="str">
        <f>"050690"</f>
        <v>050690</v>
      </c>
      <c r="O1808" t="s">
        <v>157</v>
      </c>
      <c r="P1808" t="s">
        <v>68</v>
      </c>
      <c r="Q1808">
        <v>37.299999999999997</v>
      </c>
      <c r="R1808">
        <v>21.299999999999997</v>
      </c>
      <c r="S1808" t="s">
        <v>156</v>
      </c>
    </row>
    <row r="1809" spans="1:19" x14ac:dyDescent="0.35">
      <c r="A1809">
        <v>19539</v>
      </c>
      <c r="B1809" t="str">
        <f>"019539"</f>
        <v>019539</v>
      </c>
      <c r="C1809" t="s">
        <v>6284</v>
      </c>
      <c r="D1809" t="s">
        <v>3398</v>
      </c>
      <c r="E1809" t="s">
        <v>3395</v>
      </c>
      <c r="F1809" t="s">
        <v>3396</v>
      </c>
      <c r="G1809" t="s">
        <v>226</v>
      </c>
      <c r="H1809" t="s">
        <v>6285</v>
      </c>
      <c r="I1809" t="s">
        <v>6286</v>
      </c>
      <c r="J1809" t="s">
        <v>3174</v>
      </c>
      <c r="K1809" t="s">
        <v>55</v>
      </c>
      <c r="L1809" t="s">
        <v>3175</v>
      </c>
      <c r="M1809" t="s">
        <v>57</v>
      </c>
      <c r="N1809" t="str">
        <f>"050690"</f>
        <v>050690</v>
      </c>
      <c r="O1809" t="s">
        <v>157</v>
      </c>
      <c r="P1809" t="s">
        <v>68</v>
      </c>
      <c r="Q1809">
        <v>30.2</v>
      </c>
      <c r="R1809">
        <v>19.299999999999997</v>
      </c>
      <c r="S1809" t="s">
        <v>156</v>
      </c>
    </row>
    <row r="1810" spans="1:19" x14ac:dyDescent="0.35">
      <c r="A1810">
        <v>19547</v>
      </c>
      <c r="B1810" t="str">
        <f>"019547"</f>
        <v>019547</v>
      </c>
      <c r="C1810" t="s">
        <v>6287</v>
      </c>
      <c r="D1810" t="s">
        <v>3400</v>
      </c>
      <c r="E1810" t="s">
        <v>3395</v>
      </c>
      <c r="F1810" t="s">
        <v>3396</v>
      </c>
      <c r="G1810" t="s">
        <v>226</v>
      </c>
      <c r="H1810" t="s">
        <v>6288</v>
      </c>
      <c r="I1810" t="s">
        <v>6289</v>
      </c>
      <c r="J1810" t="s">
        <v>3174</v>
      </c>
      <c r="K1810" t="s">
        <v>55</v>
      </c>
      <c r="L1810" t="s">
        <v>3175</v>
      </c>
      <c r="M1810" t="s">
        <v>57</v>
      </c>
      <c r="N1810" t="str">
        <f>"050690"</f>
        <v>050690</v>
      </c>
      <c r="O1810" t="s">
        <v>157</v>
      </c>
      <c r="P1810" t="s">
        <v>68</v>
      </c>
      <c r="Q1810">
        <v>35.700000000000003</v>
      </c>
      <c r="R1810">
        <v>17.700000000000003</v>
      </c>
      <c r="S1810" t="s">
        <v>156</v>
      </c>
    </row>
    <row r="1811" spans="1:19" x14ac:dyDescent="0.35">
      <c r="A1811">
        <v>19620</v>
      </c>
      <c r="B1811" t="str">
        <f>"019620"</f>
        <v>019620</v>
      </c>
      <c r="C1811" t="s">
        <v>6290</v>
      </c>
      <c r="D1811" t="s">
        <v>3394</v>
      </c>
      <c r="E1811" t="s">
        <v>3395</v>
      </c>
      <c r="F1811" t="s">
        <v>3396</v>
      </c>
      <c r="G1811" t="s">
        <v>212</v>
      </c>
      <c r="H1811" t="s">
        <v>5253</v>
      </c>
      <c r="I1811" t="s">
        <v>5254</v>
      </c>
      <c r="J1811" t="s">
        <v>215</v>
      </c>
      <c r="K1811" t="s">
        <v>55</v>
      </c>
      <c r="L1811" t="s">
        <v>3755</v>
      </c>
      <c r="M1811" t="s">
        <v>57</v>
      </c>
      <c r="N1811" t="str">
        <f>"044081"</f>
        <v>044081</v>
      </c>
      <c r="O1811" t="s">
        <v>2318</v>
      </c>
      <c r="P1811" t="s">
        <v>68</v>
      </c>
      <c r="Q1811">
        <v>75.099999999999994</v>
      </c>
      <c r="R1811">
        <v>92.7</v>
      </c>
      <c r="S1811" t="s">
        <v>217</v>
      </c>
    </row>
    <row r="1812" spans="1:19" x14ac:dyDescent="0.35">
      <c r="A1812">
        <v>19646</v>
      </c>
      <c r="B1812" t="str">
        <f>"019646"</f>
        <v>019646</v>
      </c>
      <c r="C1812" t="s">
        <v>6291</v>
      </c>
      <c r="D1812" t="s">
        <v>3394</v>
      </c>
      <c r="E1812" t="s">
        <v>3395</v>
      </c>
      <c r="F1812" t="s">
        <v>3396</v>
      </c>
      <c r="G1812" t="s">
        <v>143</v>
      </c>
      <c r="H1812" t="s">
        <v>6292</v>
      </c>
      <c r="I1812" t="s">
        <v>6293</v>
      </c>
      <c r="J1812" t="s">
        <v>143</v>
      </c>
      <c r="K1812" t="s">
        <v>55</v>
      </c>
      <c r="L1812" t="s">
        <v>1033</v>
      </c>
      <c r="M1812" t="s">
        <v>57</v>
      </c>
      <c r="N1812" t="str">
        <f>"044263"</f>
        <v>044263</v>
      </c>
      <c r="O1812" t="s">
        <v>1364</v>
      </c>
      <c r="P1812" t="s">
        <v>68</v>
      </c>
      <c r="Q1812">
        <v>100</v>
      </c>
      <c r="R1812">
        <v>75.900000000000006</v>
      </c>
      <c r="S1812" t="s">
        <v>69</v>
      </c>
    </row>
    <row r="1813" spans="1:19" x14ac:dyDescent="0.35">
      <c r="A1813">
        <v>19653</v>
      </c>
      <c r="B1813" t="str">
        <f>"019653"</f>
        <v>019653</v>
      </c>
      <c r="C1813" t="s">
        <v>6294</v>
      </c>
      <c r="D1813" t="s">
        <v>3394</v>
      </c>
      <c r="E1813" t="s">
        <v>3395</v>
      </c>
      <c r="F1813" t="s">
        <v>3396</v>
      </c>
      <c r="G1813" t="s">
        <v>288</v>
      </c>
      <c r="H1813" t="s">
        <v>6295</v>
      </c>
      <c r="I1813" t="s">
        <v>6296</v>
      </c>
      <c r="J1813" t="s">
        <v>3238</v>
      </c>
      <c r="K1813" t="s">
        <v>55</v>
      </c>
      <c r="L1813" t="s">
        <v>3239</v>
      </c>
      <c r="M1813" t="s">
        <v>57</v>
      </c>
      <c r="N1813" t="str">
        <f>"048082"</f>
        <v>048082</v>
      </c>
      <c r="O1813" t="s">
        <v>3235</v>
      </c>
      <c r="P1813" t="s">
        <v>68</v>
      </c>
      <c r="Q1813">
        <v>50.8</v>
      </c>
      <c r="R1813">
        <v>8.7000000000000028</v>
      </c>
      <c r="S1813" t="s">
        <v>180</v>
      </c>
    </row>
    <row r="1814" spans="1:19" x14ac:dyDescent="0.35">
      <c r="A1814">
        <v>19661</v>
      </c>
      <c r="B1814" t="str">
        <f>"019661"</f>
        <v>019661</v>
      </c>
      <c r="C1814" t="s">
        <v>6297</v>
      </c>
      <c r="D1814" t="s">
        <v>3398</v>
      </c>
      <c r="E1814" t="s">
        <v>3395</v>
      </c>
      <c r="F1814" t="s">
        <v>3396</v>
      </c>
      <c r="G1814" t="s">
        <v>169</v>
      </c>
      <c r="H1814" t="s">
        <v>3193</v>
      </c>
      <c r="I1814" t="s">
        <v>3194</v>
      </c>
      <c r="J1814" t="s">
        <v>730</v>
      </c>
      <c r="K1814" t="s">
        <v>55</v>
      </c>
      <c r="L1814" t="s">
        <v>731</v>
      </c>
      <c r="M1814" t="s">
        <v>57</v>
      </c>
      <c r="N1814" t="str">
        <f>"050187"</f>
        <v>050187</v>
      </c>
      <c r="O1814" t="s">
        <v>3192</v>
      </c>
      <c r="P1814" t="s">
        <v>68</v>
      </c>
      <c r="Q1814">
        <v>17.7</v>
      </c>
      <c r="R1814">
        <v>5.2000000000000028</v>
      </c>
      <c r="S1814" t="s">
        <v>77</v>
      </c>
    </row>
    <row r="1815" spans="1:19" x14ac:dyDescent="0.35">
      <c r="A1815">
        <v>19679</v>
      </c>
      <c r="B1815" t="str">
        <f>"019679"</f>
        <v>019679</v>
      </c>
      <c r="C1815" t="s">
        <v>6298</v>
      </c>
      <c r="D1815" t="s">
        <v>3394</v>
      </c>
      <c r="E1815" t="s">
        <v>3395</v>
      </c>
      <c r="F1815" t="s">
        <v>3396</v>
      </c>
      <c r="G1815" t="s">
        <v>712</v>
      </c>
      <c r="H1815" t="s">
        <v>6299</v>
      </c>
      <c r="I1815" t="s">
        <v>6300</v>
      </c>
      <c r="J1815" t="s">
        <v>6301</v>
      </c>
      <c r="K1815" t="s">
        <v>55</v>
      </c>
      <c r="L1815" t="s">
        <v>6302</v>
      </c>
      <c r="M1815" t="s">
        <v>57</v>
      </c>
      <c r="N1815" t="str">
        <f>"047696"</f>
        <v>047696</v>
      </c>
      <c r="O1815" t="s">
        <v>711</v>
      </c>
      <c r="P1815" t="s">
        <v>68</v>
      </c>
      <c r="Q1815">
        <v>43</v>
      </c>
      <c r="R1815">
        <v>5</v>
      </c>
      <c r="S1815" t="s">
        <v>77</v>
      </c>
    </row>
    <row r="1816" spans="1:19" x14ac:dyDescent="0.35">
      <c r="A1816">
        <v>19687</v>
      </c>
      <c r="B1816" t="str">
        <f>"019687"</f>
        <v>019687</v>
      </c>
      <c r="C1816" t="s">
        <v>6303</v>
      </c>
      <c r="D1816" t="s">
        <v>3398</v>
      </c>
      <c r="E1816" t="s">
        <v>3395</v>
      </c>
      <c r="F1816" t="s">
        <v>3396</v>
      </c>
      <c r="G1816" t="s">
        <v>63</v>
      </c>
      <c r="H1816" t="s">
        <v>6304</v>
      </c>
      <c r="I1816" t="s">
        <v>6305</v>
      </c>
      <c r="J1816" t="s">
        <v>1271</v>
      </c>
      <c r="K1816" t="s">
        <v>55</v>
      </c>
      <c r="L1816" t="s">
        <v>1272</v>
      </c>
      <c r="M1816" t="s">
        <v>57</v>
      </c>
      <c r="N1816" t="str">
        <f>"044198"</f>
        <v>044198</v>
      </c>
      <c r="O1816" t="s">
        <v>1268</v>
      </c>
      <c r="P1816" t="s">
        <v>68</v>
      </c>
      <c r="Q1816">
        <v>39.9</v>
      </c>
      <c r="R1816">
        <v>25.200000000000003</v>
      </c>
      <c r="S1816" t="s">
        <v>69</v>
      </c>
    </row>
    <row r="1817" spans="1:19" x14ac:dyDescent="0.35">
      <c r="A1817">
        <v>19695</v>
      </c>
      <c r="B1817" t="str">
        <f>"019695"</f>
        <v>019695</v>
      </c>
      <c r="C1817" t="s">
        <v>6303</v>
      </c>
      <c r="D1817" t="s">
        <v>3398</v>
      </c>
      <c r="E1817" t="s">
        <v>3395</v>
      </c>
      <c r="F1817" t="s">
        <v>3396</v>
      </c>
      <c r="G1817" t="s">
        <v>110</v>
      </c>
      <c r="H1817" t="s">
        <v>6306</v>
      </c>
      <c r="I1817" t="s">
        <v>6307</v>
      </c>
      <c r="J1817" t="s">
        <v>2138</v>
      </c>
      <c r="K1817" t="s">
        <v>55</v>
      </c>
      <c r="L1817" t="s">
        <v>2139</v>
      </c>
      <c r="M1817" t="s">
        <v>57</v>
      </c>
      <c r="N1817" t="str">
        <f>"047993"</f>
        <v>047993</v>
      </c>
      <c r="O1817" t="s">
        <v>2135</v>
      </c>
      <c r="P1817" t="s">
        <v>68</v>
      </c>
      <c r="Q1817">
        <v>35.1</v>
      </c>
      <c r="R1817">
        <v>7.7000000000000028</v>
      </c>
      <c r="S1817" t="s">
        <v>60</v>
      </c>
    </row>
    <row r="1818" spans="1:19" x14ac:dyDescent="0.35">
      <c r="A1818">
        <v>19703</v>
      </c>
      <c r="B1818" t="str">
        <f>"019703"</f>
        <v>019703</v>
      </c>
      <c r="C1818" t="s">
        <v>6308</v>
      </c>
      <c r="D1818" t="s">
        <v>3400</v>
      </c>
      <c r="E1818" t="s">
        <v>3395</v>
      </c>
      <c r="F1818" t="s">
        <v>3396</v>
      </c>
      <c r="G1818" t="s">
        <v>110</v>
      </c>
      <c r="H1818" t="s">
        <v>6309</v>
      </c>
      <c r="I1818" t="s">
        <v>6310</v>
      </c>
      <c r="J1818" t="s">
        <v>2138</v>
      </c>
      <c r="K1818" t="s">
        <v>55</v>
      </c>
      <c r="L1818" t="s">
        <v>2139</v>
      </c>
      <c r="M1818" t="s">
        <v>57</v>
      </c>
      <c r="N1818" t="str">
        <f>"047993"</f>
        <v>047993</v>
      </c>
      <c r="O1818" t="s">
        <v>2135</v>
      </c>
      <c r="P1818" t="s">
        <v>68</v>
      </c>
      <c r="Q1818">
        <v>45.7</v>
      </c>
      <c r="R1818">
        <v>9.0999999999999943</v>
      </c>
      <c r="S1818" t="s">
        <v>60</v>
      </c>
    </row>
    <row r="1819" spans="1:19" x14ac:dyDescent="0.35">
      <c r="A1819">
        <v>19711</v>
      </c>
      <c r="B1819" t="str">
        <f>"019711"</f>
        <v>019711</v>
      </c>
      <c r="C1819" t="s">
        <v>6311</v>
      </c>
      <c r="D1819" t="s">
        <v>3394</v>
      </c>
      <c r="E1819" t="s">
        <v>3395</v>
      </c>
      <c r="F1819" t="s">
        <v>3396</v>
      </c>
      <c r="G1819" t="s">
        <v>226</v>
      </c>
      <c r="H1819" t="s">
        <v>2597</v>
      </c>
      <c r="I1819" t="s">
        <v>2598</v>
      </c>
      <c r="J1819" t="s">
        <v>2599</v>
      </c>
      <c r="K1819" t="s">
        <v>55</v>
      </c>
      <c r="L1819" t="s">
        <v>2600</v>
      </c>
      <c r="M1819" t="s">
        <v>57</v>
      </c>
      <c r="N1819" t="str">
        <f>"049569"</f>
        <v>049569</v>
      </c>
      <c r="O1819" t="s">
        <v>2005</v>
      </c>
      <c r="P1819" t="s">
        <v>68</v>
      </c>
      <c r="Q1819">
        <v>33.6</v>
      </c>
      <c r="R1819">
        <v>13.900000000000006</v>
      </c>
      <c r="S1819" t="s">
        <v>156</v>
      </c>
    </row>
    <row r="1820" spans="1:19" x14ac:dyDescent="0.35">
      <c r="A1820">
        <v>19729</v>
      </c>
      <c r="B1820" t="str">
        <f>"019729"</f>
        <v>019729</v>
      </c>
      <c r="C1820" t="s">
        <v>6312</v>
      </c>
      <c r="D1820" t="s">
        <v>3506</v>
      </c>
      <c r="E1820" t="s">
        <v>3395</v>
      </c>
      <c r="F1820" t="s">
        <v>3396</v>
      </c>
      <c r="G1820" t="s">
        <v>244</v>
      </c>
      <c r="H1820" t="s">
        <v>6313</v>
      </c>
      <c r="I1820" t="s">
        <v>6314</v>
      </c>
      <c r="J1820" t="s">
        <v>2008</v>
      </c>
      <c r="K1820" t="s">
        <v>55</v>
      </c>
      <c r="L1820" t="s">
        <v>3475</v>
      </c>
      <c r="M1820" t="s">
        <v>57</v>
      </c>
      <c r="N1820" t="str">
        <f>"046110"</f>
        <v>046110</v>
      </c>
      <c r="O1820" t="s">
        <v>2005</v>
      </c>
      <c r="P1820" t="s">
        <v>68</v>
      </c>
      <c r="Q1820">
        <v>17.2</v>
      </c>
      <c r="R1820">
        <v>30.900000000000006</v>
      </c>
      <c r="S1820" t="s">
        <v>217</v>
      </c>
    </row>
    <row r="1821" spans="1:19" x14ac:dyDescent="0.35">
      <c r="A1821">
        <v>19737</v>
      </c>
      <c r="B1821" t="str">
        <f>"019737"</f>
        <v>019737</v>
      </c>
      <c r="C1821" t="s">
        <v>6315</v>
      </c>
      <c r="D1821" t="s">
        <v>3398</v>
      </c>
      <c r="E1821" t="s">
        <v>3395</v>
      </c>
      <c r="F1821" t="s">
        <v>3396</v>
      </c>
      <c r="G1821" t="s">
        <v>244</v>
      </c>
      <c r="H1821" t="s">
        <v>6316</v>
      </c>
      <c r="I1821" t="s">
        <v>6317</v>
      </c>
      <c r="J1821" t="s">
        <v>5918</v>
      </c>
      <c r="K1821" t="s">
        <v>55</v>
      </c>
      <c r="L1821" t="s">
        <v>5919</v>
      </c>
      <c r="M1821" t="s">
        <v>57</v>
      </c>
      <c r="N1821" t="str">
        <f>"046110"</f>
        <v>046110</v>
      </c>
      <c r="O1821" t="s">
        <v>2005</v>
      </c>
      <c r="P1821" t="s">
        <v>68</v>
      </c>
      <c r="Q1821">
        <v>23.1</v>
      </c>
      <c r="R1821">
        <v>45.3</v>
      </c>
      <c r="S1821" t="s">
        <v>217</v>
      </c>
    </row>
    <row r="1822" spans="1:19" x14ac:dyDescent="0.35">
      <c r="A1822">
        <v>19745</v>
      </c>
      <c r="B1822" t="str">
        <f>"019745"</f>
        <v>019745</v>
      </c>
      <c r="C1822" t="s">
        <v>6318</v>
      </c>
      <c r="D1822" t="s">
        <v>3398</v>
      </c>
      <c r="E1822" t="s">
        <v>3395</v>
      </c>
      <c r="F1822" t="s">
        <v>3396</v>
      </c>
      <c r="G1822" t="s">
        <v>400</v>
      </c>
      <c r="H1822" t="s">
        <v>2597</v>
      </c>
      <c r="I1822" t="s">
        <v>2598</v>
      </c>
      <c r="J1822" t="s">
        <v>2599</v>
      </c>
      <c r="K1822" t="s">
        <v>55</v>
      </c>
      <c r="L1822" t="s">
        <v>2600</v>
      </c>
      <c r="M1822" t="s">
        <v>57</v>
      </c>
      <c r="N1822" t="str">
        <f>"049569"</f>
        <v>049569</v>
      </c>
      <c r="O1822" t="s">
        <v>2005</v>
      </c>
      <c r="P1822" t="s">
        <v>68</v>
      </c>
      <c r="Q1822">
        <v>32.9</v>
      </c>
      <c r="R1822">
        <v>9.2000000000000028</v>
      </c>
      <c r="S1822" t="s">
        <v>156</v>
      </c>
    </row>
    <row r="1823" spans="1:19" x14ac:dyDescent="0.35">
      <c r="A1823">
        <v>19752</v>
      </c>
      <c r="B1823" t="str">
        <f>"019752"</f>
        <v>019752</v>
      </c>
      <c r="C1823" t="s">
        <v>6319</v>
      </c>
      <c r="D1823" t="s">
        <v>3398</v>
      </c>
      <c r="E1823" t="s">
        <v>3395</v>
      </c>
      <c r="F1823" t="s">
        <v>3396</v>
      </c>
      <c r="G1823" t="s">
        <v>92</v>
      </c>
      <c r="H1823" t="s">
        <v>6320</v>
      </c>
      <c r="I1823" t="s">
        <v>6321</v>
      </c>
      <c r="J1823" t="s">
        <v>1940</v>
      </c>
      <c r="K1823" t="s">
        <v>55</v>
      </c>
      <c r="L1823" t="s">
        <v>1941</v>
      </c>
      <c r="M1823" t="s">
        <v>57</v>
      </c>
      <c r="N1823" t="str">
        <f>"044206"</f>
        <v>044206</v>
      </c>
      <c r="O1823" t="s">
        <v>2980</v>
      </c>
      <c r="P1823" t="s">
        <v>68</v>
      </c>
      <c r="Q1823">
        <v>43.7</v>
      </c>
      <c r="R1823">
        <v>11.700000000000003</v>
      </c>
      <c r="S1823" t="s">
        <v>60</v>
      </c>
    </row>
    <row r="1824" spans="1:19" x14ac:dyDescent="0.35">
      <c r="A1824">
        <v>19778</v>
      </c>
      <c r="B1824" t="str">
        <f>"019778"</f>
        <v>019778</v>
      </c>
      <c r="C1824" t="s">
        <v>6322</v>
      </c>
      <c r="D1824" t="s">
        <v>3394</v>
      </c>
      <c r="E1824" t="s">
        <v>3395</v>
      </c>
      <c r="F1824" t="s">
        <v>3396</v>
      </c>
      <c r="G1824" t="s">
        <v>63</v>
      </c>
      <c r="H1824" t="s">
        <v>6323</v>
      </c>
      <c r="I1824" t="s">
        <v>6324</v>
      </c>
      <c r="J1824" t="s">
        <v>285</v>
      </c>
      <c r="K1824" t="s">
        <v>55</v>
      </c>
      <c r="L1824" t="s">
        <v>286</v>
      </c>
      <c r="M1824" t="s">
        <v>57</v>
      </c>
      <c r="N1824" t="str">
        <f>"044370"</f>
        <v>044370</v>
      </c>
      <c r="O1824" t="s">
        <v>2456</v>
      </c>
      <c r="P1824" t="s">
        <v>68</v>
      </c>
      <c r="Q1824">
        <v>44.7</v>
      </c>
      <c r="R1824">
        <v>59.4</v>
      </c>
      <c r="S1824" t="s">
        <v>69</v>
      </c>
    </row>
    <row r="1825" spans="1:19" x14ac:dyDescent="0.35">
      <c r="A1825">
        <v>19778</v>
      </c>
      <c r="B1825" t="str">
        <f>"019778"</f>
        <v>019778</v>
      </c>
      <c r="C1825" t="s">
        <v>6322</v>
      </c>
      <c r="D1825" t="s">
        <v>3929</v>
      </c>
      <c r="E1825" t="s">
        <v>3395</v>
      </c>
      <c r="F1825" t="s">
        <v>3396</v>
      </c>
      <c r="G1825" t="s">
        <v>63</v>
      </c>
      <c r="H1825" t="s">
        <v>6323</v>
      </c>
      <c r="I1825" t="s">
        <v>6324</v>
      </c>
      <c r="J1825" t="s">
        <v>285</v>
      </c>
      <c r="K1825" t="s">
        <v>55</v>
      </c>
      <c r="L1825" t="s">
        <v>286</v>
      </c>
      <c r="M1825" t="s">
        <v>57</v>
      </c>
      <c r="N1825" t="str">
        <f>"044370"</f>
        <v>044370</v>
      </c>
      <c r="O1825" t="s">
        <v>2456</v>
      </c>
      <c r="P1825" t="s">
        <v>68</v>
      </c>
      <c r="Q1825">
        <v>44.7</v>
      </c>
      <c r="R1825">
        <v>59.4</v>
      </c>
      <c r="S1825" t="s">
        <v>69</v>
      </c>
    </row>
    <row r="1826" spans="1:19" x14ac:dyDescent="0.35">
      <c r="A1826">
        <v>19810</v>
      </c>
      <c r="B1826" t="str">
        <f>"019810"</f>
        <v>019810</v>
      </c>
      <c r="C1826" t="s">
        <v>6325</v>
      </c>
      <c r="D1826" t="s">
        <v>3400</v>
      </c>
      <c r="E1826" t="s">
        <v>3395</v>
      </c>
      <c r="F1826" t="s">
        <v>3396</v>
      </c>
      <c r="G1826" t="s">
        <v>362</v>
      </c>
      <c r="H1826" t="s">
        <v>2145</v>
      </c>
      <c r="I1826" t="s">
        <v>2146</v>
      </c>
      <c r="J1826" t="s">
        <v>2147</v>
      </c>
      <c r="K1826" t="s">
        <v>55</v>
      </c>
      <c r="L1826" t="s">
        <v>2148</v>
      </c>
      <c r="M1826" t="s">
        <v>57</v>
      </c>
      <c r="N1826" t="str">
        <f>"049296"</f>
        <v>049296</v>
      </c>
      <c r="O1826" t="s">
        <v>2144</v>
      </c>
      <c r="P1826" t="s">
        <v>68</v>
      </c>
      <c r="Q1826">
        <v>43</v>
      </c>
      <c r="R1826">
        <v>3.7000000000000028</v>
      </c>
      <c r="S1826" t="s">
        <v>180</v>
      </c>
    </row>
    <row r="1827" spans="1:19" x14ac:dyDescent="0.35">
      <c r="A1827">
        <v>19836</v>
      </c>
      <c r="B1827" t="str">
        <f>"019836"</f>
        <v>019836</v>
      </c>
      <c r="C1827" t="s">
        <v>6326</v>
      </c>
      <c r="D1827" t="s">
        <v>3394</v>
      </c>
      <c r="E1827" t="s">
        <v>3395</v>
      </c>
      <c r="F1827" t="s">
        <v>3396</v>
      </c>
      <c r="G1827" t="s">
        <v>200</v>
      </c>
      <c r="H1827" t="s">
        <v>6327</v>
      </c>
      <c r="I1827" t="s">
        <v>6328</v>
      </c>
      <c r="J1827" t="s">
        <v>304</v>
      </c>
      <c r="K1827" t="s">
        <v>55</v>
      </c>
      <c r="L1827" t="s">
        <v>6329</v>
      </c>
      <c r="M1827" t="s">
        <v>57</v>
      </c>
      <c r="N1827" t="str">
        <f>"044909"</f>
        <v>044909</v>
      </c>
      <c r="O1827" t="s">
        <v>3318</v>
      </c>
      <c r="P1827" t="s">
        <v>68</v>
      </c>
      <c r="Q1827">
        <v>100</v>
      </c>
      <c r="R1827">
        <v>66</v>
      </c>
      <c r="S1827" t="s">
        <v>156</v>
      </c>
    </row>
    <row r="1828" spans="1:19" x14ac:dyDescent="0.35">
      <c r="A1828">
        <v>19851</v>
      </c>
      <c r="B1828" t="str">
        <f>"019851"</f>
        <v>019851</v>
      </c>
      <c r="C1828" t="s">
        <v>6330</v>
      </c>
      <c r="D1828" t="s">
        <v>3394</v>
      </c>
      <c r="E1828" t="s">
        <v>3395</v>
      </c>
      <c r="F1828" t="s">
        <v>3396</v>
      </c>
      <c r="G1828" t="s">
        <v>143</v>
      </c>
      <c r="H1828" t="s">
        <v>6331</v>
      </c>
      <c r="I1828" t="s">
        <v>6332</v>
      </c>
      <c r="J1828" t="s">
        <v>143</v>
      </c>
      <c r="K1828" t="s">
        <v>55</v>
      </c>
      <c r="L1828" t="s">
        <v>1033</v>
      </c>
      <c r="M1828" t="s">
        <v>57</v>
      </c>
      <c r="N1828" t="str">
        <f>"044263"</f>
        <v>044263</v>
      </c>
      <c r="O1828" t="s">
        <v>1364</v>
      </c>
      <c r="P1828" t="s">
        <v>68</v>
      </c>
      <c r="Q1828">
        <v>100</v>
      </c>
      <c r="R1828">
        <v>70.099999999999994</v>
      </c>
      <c r="S1828" t="s">
        <v>69</v>
      </c>
    </row>
    <row r="1829" spans="1:19" x14ac:dyDescent="0.35">
      <c r="A1829">
        <v>19877</v>
      </c>
      <c r="B1829" t="str">
        <f>"019877"</f>
        <v>019877</v>
      </c>
      <c r="C1829" t="s">
        <v>6333</v>
      </c>
      <c r="D1829" t="s">
        <v>3394</v>
      </c>
      <c r="E1829" t="s">
        <v>3395</v>
      </c>
      <c r="F1829" t="s">
        <v>3396</v>
      </c>
      <c r="G1829" t="s">
        <v>481</v>
      </c>
      <c r="H1829" t="s">
        <v>6334</v>
      </c>
      <c r="I1829" t="s">
        <v>6335</v>
      </c>
      <c r="J1829" t="s">
        <v>876</v>
      </c>
      <c r="K1829" t="s">
        <v>55</v>
      </c>
      <c r="L1829" t="s">
        <v>819</v>
      </c>
      <c r="M1829" t="s">
        <v>57</v>
      </c>
      <c r="N1829" t="str">
        <f>"044628"</f>
        <v>044628</v>
      </c>
      <c r="O1829" t="s">
        <v>873</v>
      </c>
      <c r="P1829" t="s">
        <v>68</v>
      </c>
      <c r="Q1829">
        <v>96.6</v>
      </c>
      <c r="R1829">
        <v>80.900000000000006</v>
      </c>
      <c r="S1829" t="s">
        <v>69</v>
      </c>
    </row>
    <row r="1830" spans="1:19" x14ac:dyDescent="0.35">
      <c r="A1830">
        <v>19968</v>
      </c>
      <c r="B1830" t="str">
        <f>"019968"</f>
        <v>019968</v>
      </c>
      <c r="C1830" t="s">
        <v>6336</v>
      </c>
      <c r="D1830" t="s">
        <v>3394</v>
      </c>
      <c r="E1830" t="s">
        <v>3395</v>
      </c>
      <c r="F1830" t="s">
        <v>3396</v>
      </c>
      <c r="G1830" t="s">
        <v>79</v>
      </c>
      <c r="H1830" t="s">
        <v>6337</v>
      </c>
      <c r="I1830" t="s">
        <v>6338</v>
      </c>
      <c r="J1830" t="s">
        <v>1802</v>
      </c>
      <c r="K1830" t="s">
        <v>55</v>
      </c>
      <c r="L1830" t="s">
        <v>1803</v>
      </c>
      <c r="M1830" t="s">
        <v>57</v>
      </c>
      <c r="N1830" t="str">
        <f>"044560"</f>
        <v>044560</v>
      </c>
      <c r="O1830" t="s">
        <v>1799</v>
      </c>
      <c r="P1830" t="s">
        <v>68</v>
      </c>
      <c r="Q1830">
        <v>48.2</v>
      </c>
      <c r="R1830">
        <v>14.900000000000006</v>
      </c>
      <c r="S1830" t="s">
        <v>69</v>
      </c>
    </row>
    <row r="1831" spans="1:19" x14ac:dyDescent="0.35">
      <c r="A1831">
        <v>19992</v>
      </c>
      <c r="B1831" t="str">
        <f>"019992"</f>
        <v>019992</v>
      </c>
      <c r="C1831" t="s">
        <v>6339</v>
      </c>
      <c r="D1831" t="s">
        <v>3400</v>
      </c>
      <c r="E1831" t="s">
        <v>3395</v>
      </c>
      <c r="F1831" t="s">
        <v>3396</v>
      </c>
      <c r="G1831" t="s">
        <v>169</v>
      </c>
      <c r="H1831" t="s">
        <v>2896</v>
      </c>
      <c r="I1831" t="s">
        <v>2897</v>
      </c>
      <c r="J1831" t="s">
        <v>2898</v>
      </c>
      <c r="K1831" t="s">
        <v>55</v>
      </c>
      <c r="L1831" t="s">
        <v>2899</v>
      </c>
      <c r="M1831" t="s">
        <v>57</v>
      </c>
      <c r="N1831" t="str">
        <f>"050245"</f>
        <v>050245</v>
      </c>
      <c r="O1831" t="s">
        <v>2895</v>
      </c>
      <c r="P1831" t="s">
        <v>68</v>
      </c>
      <c r="Q1831">
        <v>59.3</v>
      </c>
      <c r="R1831">
        <v>18.700000000000003</v>
      </c>
      <c r="S1831" t="s">
        <v>77</v>
      </c>
    </row>
    <row r="1832" spans="1:19" x14ac:dyDescent="0.35">
      <c r="A1832">
        <v>20008</v>
      </c>
      <c r="B1832" t="str">
        <f>"020008"</f>
        <v>020008</v>
      </c>
      <c r="C1832" t="s">
        <v>6340</v>
      </c>
      <c r="D1832" t="s">
        <v>3398</v>
      </c>
      <c r="E1832" t="s">
        <v>3395</v>
      </c>
      <c r="F1832" t="s">
        <v>3396</v>
      </c>
      <c r="G1832" t="s">
        <v>169</v>
      </c>
      <c r="H1832" t="s">
        <v>2896</v>
      </c>
      <c r="I1832" t="s">
        <v>2897</v>
      </c>
      <c r="J1832" t="s">
        <v>2898</v>
      </c>
      <c r="K1832" t="s">
        <v>55</v>
      </c>
      <c r="L1832" t="s">
        <v>2899</v>
      </c>
      <c r="M1832" t="s">
        <v>57</v>
      </c>
      <c r="N1832" t="str">
        <f>"050245"</f>
        <v>050245</v>
      </c>
      <c r="O1832" t="s">
        <v>2895</v>
      </c>
      <c r="P1832" t="s">
        <v>68</v>
      </c>
      <c r="Q1832">
        <v>40.4</v>
      </c>
      <c r="R1832">
        <v>13.799999999999997</v>
      </c>
      <c r="S1832" t="s">
        <v>77</v>
      </c>
    </row>
    <row r="1833" spans="1:19" x14ac:dyDescent="0.35">
      <c r="A1833">
        <v>20024</v>
      </c>
      <c r="B1833" t="str">
        <f>"020024"</f>
        <v>020024</v>
      </c>
      <c r="C1833" t="s">
        <v>6341</v>
      </c>
      <c r="D1833" t="s">
        <v>3394</v>
      </c>
      <c r="E1833" t="s">
        <v>3395</v>
      </c>
      <c r="F1833" t="s">
        <v>3396</v>
      </c>
      <c r="G1833" t="s">
        <v>600</v>
      </c>
      <c r="H1833" t="s">
        <v>6342</v>
      </c>
      <c r="I1833" t="s">
        <v>6343</v>
      </c>
      <c r="J1833" t="s">
        <v>1348</v>
      </c>
      <c r="K1833" t="s">
        <v>55</v>
      </c>
      <c r="L1833" t="s">
        <v>6119</v>
      </c>
      <c r="M1833" t="s">
        <v>57</v>
      </c>
      <c r="N1833" t="str">
        <f>"043802"</f>
        <v>043802</v>
      </c>
      <c r="O1833" t="s">
        <v>3171</v>
      </c>
      <c r="P1833" t="s">
        <v>68</v>
      </c>
      <c r="Q1833">
        <v>100</v>
      </c>
      <c r="R1833">
        <v>90.7</v>
      </c>
      <c r="S1833" t="s">
        <v>60</v>
      </c>
    </row>
    <row r="1834" spans="1:19" x14ac:dyDescent="0.35">
      <c r="A1834">
        <v>20032</v>
      </c>
      <c r="B1834" t="str">
        <f>"020032"</f>
        <v>020032</v>
      </c>
      <c r="C1834" t="s">
        <v>6344</v>
      </c>
      <c r="D1834" t="s">
        <v>3398</v>
      </c>
      <c r="E1834" t="s">
        <v>3395</v>
      </c>
      <c r="F1834" t="s">
        <v>3396</v>
      </c>
      <c r="G1834" t="s">
        <v>172</v>
      </c>
      <c r="H1834" t="s">
        <v>6345</v>
      </c>
      <c r="I1834" t="s">
        <v>6346</v>
      </c>
      <c r="J1834" t="s">
        <v>629</v>
      </c>
      <c r="K1834" t="s">
        <v>55</v>
      </c>
      <c r="L1834" t="s">
        <v>630</v>
      </c>
      <c r="M1834" t="s">
        <v>57</v>
      </c>
      <c r="N1834" t="str">
        <f>"044214"</f>
        <v>044214</v>
      </c>
      <c r="O1834" t="s">
        <v>626</v>
      </c>
      <c r="P1834" t="s">
        <v>68</v>
      </c>
      <c r="Q1834">
        <v>19.600000000000001</v>
      </c>
      <c r="R1834">
        <v>14.799999999999997</v>
      </c>
      <c r="S1834" t="s">
        <v>217</v>
      </c>
    </row>
    <row r="1835" spans="1:19" x14ac:dyDescent="0.35">
      <c r="A1835">
        <v>20065</v>
      </c>
      <c r="B1835" t="str">
        <f>"020065"</f>
        <v>020065</v>
      </c>
      <c r="C1835" t="s">
        <v>6347</v>
      </c>
      <c r="D1835" t="s">
        <v>3394</v>
      </c>
      <c r="E1835" t="s">
        <v>3395</v>
      </c>
      <c r="F1835" t="s">
        <v>3396</v>
      </c>
      <c r="G1835" t="s">
        <v>264</v>
      </c>
      <c r="H1835" t="s">
        <v>6348</v>
      </c>
      <c r="I1835" t="s">
        <v>6349</v>
      </c>
      <c r="J1835" t="s">
        <v>6350</v>
      </c>
      <c r="K1835" t="s">
        <v>55</v>
      </c>
      <c r="L1835" t="s">
        <v>6351</v>
      </c>
      <c r="M1835" t="s">
        <v>57</v>
      </c>
      <c r="N1835" t="str">
        <f>"050047"</f>
        <v>050047</v>
      </c>
      <c r="O1835" t="s">
        <v>883</v>
      </c>
      <c r="P1835" t="s">
        <v>68</v>
      </c>
      <c r="Q1835">
        <v>20.100000000000001</v>
      </c>
      <c r="R1835">
        <v>30.599999999999994</v>
      </c>
      <c r="S1835" t="s">
        <v>77</v>
      </c>
    </row>
    <row r="1836" spans="1:19" x14ac:dyDescent="0.35">
      <c r="A1836">
        <v>20073</v>
      </c>
      <c r="B1836" t="str">
        <f>"020073"</f>
        <v>020073</v>
      </c>
      <c r="C1836" t="s">
        <v>6352</v>
      </c>
      <c r="D1836" t="s">
        <v>3400</v>
      </c>
      <c r="E1836" t="s">
        <v>3395</v>
      </c>
      <c r="F1836" t="s">
        <v>3396</v>
      </c>
      <c r="G1836" t="s">
        <v>63</v>
      </c>
      <c r="H1836" t="s">
        <v>6353</v>
      </c>
      <c r="I1836" t="s">
        <v>6354</v>
      </c>
      <c r="J1836" t="s">
        <v>3051</v>
      </c>
      <c r="K1836" t="s">
        <v>55</v>
      </c>
      <c r="L1836" t="s">
        <v>3052</v>
      </c>
      <c r="M1836" t="s">
        <v>57</v>
      </c>
      <c r="N1836" t="str">
        <f>"045062"</f>
        <v>045062</v>
      </c>
      <c r="O1836" t="s">
        <v>3048</v>
      </c>
      <c r="P1836" t="s">
        <v>68</v>
      </c>
      <c r="Q1836">
        <v>16.8</v>
      </c>
      <c r="R1836">
        <v>22.400000000000006</v>
      </c>
      <c r="S1836" t="s">
        <v>69</v>
      </c>
    </row>
    <row r="1837" spans="1:19" x14ac:dyDescent="0.35">
      <c r="A1837">
        <v>20107</v>
      </c>
      <c r="B1837" t="str">
        <f>"020107"</f>
        <v>020107</v>
      </c>
      <c r="C1837" t="s">
        <v>6355</v>
      </c>
      <c r="D1837" t="s">
        <v>3398</v>
      </c>
      <c r="E1837" t="s">
        <v>3395</v>
      </c>
      <c r="F1837" t="s">
        <v>3396</v>
      </c>
      <c r="G1837" t="s">
        <v>536</v>
      </c>
      <c r="H1837" t="s">
        <v>3334</v>
      </c>
      <c r="I1837" t="s">
        <v>3335</v>
      </c>
      <c r="J1837" t="s">
        <v>3336</v>
      </c>
      <c r="K1837" t="s">
        <v>55</v>
      </c>
      <c r="L1837" t="s">
        <v>3337</v>
      </c>
      <c r="M1837" t="s">
        <v>57</v>
      </c>
      <c r="N1837" t="str">
        <f>"045443"</f>
        <v>045443</v>
      </c>
      <c r="O1837" t="s">
        <v>3333</v>
      </c>
      <c r="P1837" t="s">
        <v>68</v>
      </c>
      <c r="Q1837">
        <v>44.7</v>
      </c>
      <c r="R1837">
        <v>3.9000000000000057</v>
      </c>
      <c r="S1837" t="s">
        <v>77</v>
      </c>
    </row>
    <row r="1838" spans="1:19" x14ac:dyDescent="0.35">
      <c r="A1838">
        <v>20115</v>
      </c>
      <c r="B1838" t="str">
        <f>"020115"</f>
        <v>020115</v>
      </c>
      <c r="C1838" t="s">
        <v>6356</v>
      </c>
      <c r="D1838" t="s">
        <v>3394</v>
      </c>
      <c r="E1838" t="s">
        <v>3395</v>
      </c>
      <c r="F1838" t="s">
        <v>3396</v>
      </c>
      <c r="G1838" t="s">
        <v>264</v>
      </c>
      <c r="H1838" t="s">
        <v>6357</v>
      </c>
      <c r="I1838" t="s">
        <v>6358</v>
      </c>
      <c r="J1838" t="s">
        <v>267</v>
      </c>
      <c r="K1838" t="s">
        <v>55</v>
      </c>
      <c r="L1838" t="s">
        <v>6359</v>
      </c>
      <c r="M1838" t="s">
        <v>57</v>
      </c>
      <c r="N1838" t="str">
        <f>"043489"</f>
        <v>043489</v>
      </c>
      <c r="O1838" t="s">
        <v>3176</v>
      </c>
      <c r="P1838" t="s">
        <v>68</v>
      </c>
      <c r="Q1838">
        <v>100</v>
      </c>
      <c r="R1838">
        <v>86.5</v>
      </c>
      <c r="S1838" t="s">
        <v>77</v>
      </c>
    </row>
    <row r="1839" spans="1:19" x14ac:dyDescent="0.35">
      <c r="A1839">
        <v>20131</v>
      </c>
      <c r="B1839" t="str">
        <f>"020131"</f>
        <v>020131</v>
      </c>
      <c r="C1839" t="s">
        <v>6360</v>
      </c>
      <c r="D1839" t="s">
        <v>3394</v>
      </c>
      <c r="E1839" t="s">
        <v>3395</v>
      </c>
      <c r="F1839" t="s">
        <v>3396</v>
      </c>
      <c r="G1839" t="s">
        <v>150</v>
      </c>
      <c r="H1839" t="s">
        <v>2882</v>
      </c>
      <c r="I1839" t="s">
        <v>2883</v>
      </c>
      <c r="J1839" t="s">
        <v>2884</v>
      </c>
      <c r="K1839" t="s">
        <v>55</v>
      </c>
      <c r="L1839" t="s">
        <v>2885</v>
      </c>
      <c r="M1839" t="s">
        <v>57</v>
      </c>
      <c r="N1839" t="str">
        <f>"049353"</f>
        <v>049353</v>
      </c>
      <c r="O1839" t="s">
        <v>2881</v>
      </c>
      <c r="P1839" t="s">
        <v>68</v>
      </c>
      <c r="Q1839">
        <v>38</v>
      </c>
      <c r="R1839">
        <v>50</v>
      </c>
      <c r="S1839" t="s">
        <v>156</v>
      </c>
    </row>
    <row r="1840" spans="1:19" x14ac:dyDescent="0.35">
      <c r="A1840">
        <v>20149</v>
      </c>
      <c r="B1840" t="str">
        <f>"020149"</f>
        <v>020149</v>
      </c>
      <c r="C1840" t="s">
        <v>6361</v>
      </c>
      <c r="D1840" t="s">
        <v>3398</v>
      </c>
      <c r="E1840" t="s">
        <v>3395</v>
      </c>
      <c r="F1840" t="s">
        <v>3396</v>
      </c>
      <c r="G1840" t="s">
        <v>150</v>
      </c>
      <c r="H1840" t="s">
        <v>2882</v>
      </c>
      <c r="I1840" t="s">
        <v>2883</v>
      </c>
      <c r="J1840" t="s">
        <v>2884</v>
      </c>
      <c r="K1840" t="s">
        <v>55</v>
      </c>
      <c r="L1840" t="s">
        <v>2885</v>
      </c>
      <c r="M1840" t="s">
        <v>57</v>
      </c>
      <c r="N1840" t="str">
        <f>"049353"</f>
        <v>049353</v>
      </c>
      <c r="O1840" t="s">
        <v>2881</v>
      </c>
      <c r="P1840" t="s">
        <v>68</v>
      </c>
      <c r="Q1840">
        <v>33.799999999999997</v>
      </c>
      <c r="R1840">
        <v>46.4</v>
      </c>
      <c r="S1840" t="s">
        <v>156</v>
      </c>
    </row>
    <row r="1841" spans="1:19" x14ac:dyDescent="0.35">
      <c r="A1841">
        <v>20164</v>
      </c>
      <c r="B1841" t="str">
        <f>"020164"</f>
        <v>020164</v>
      </c>
      <c r="C1841" t="s">
        <v>6362</v>
      </c>
      <c r="D1841" t="s">
        <v>3394</v>
      </c>
      <c r="E1841" t="s">
        <v>3395</v>
      </c>
      <c r="F1841" t="s">
        <v>3396</v>
      </c>
      <c r="G1841" t="s">
        <v>63</v>
      </c>
      <c r="H1841" t="s">
        <v>6363</v>
      </c>
      <c r="I1841" t="s">
        <v>6364</v>
      </c>
      <c r="J1841" t="s">
        <v>2316</v>
      </c>
      <c r="K1841" t="s">
        <v>55</v>
      </c>
      <c r="L1841" t="s">
        <v>2317</v>
      </c>
      <c r="M1841" t="s">
        <v>57</v>
      </c>
      <c r="N1841" t="str">
        <f>"046573"</f>
        <v>046573</v>
      </c>
      <c r="O1841" t="s">
        <v>2313</v>
      </c>
      <c r="P1841" t="s">
        <v>68</v>
      </c>
      <c r="Q1841">
        <v>17.100000000000001</v>
      </c>
      <c r="R1841">
        <v>14.5</v>
      </c>
      <c r="S1841" t="s">
        <v>69</v>
      </c>
    </row>
    <row r="1842" spans="1:19" x14ac:dyDescent="0.35">
      <c r="A1842">
        <v>20172</v>
      </c>
      <c r="B1842" t="str">
        <f>"020172"</f>
        <v>020172</v>
      </c>
      <c r="C1842" t="s">
        <v>6365</v>
      </c>
      <c r="D1842" t="s">
        <v>3400</v>
      </c>
      <c r="E1842" t="s">
        <v>3395</v>
      </c>
      <c r="F1842" t="s">
        <v>3396</v>
      </c>
      <c r="G1842" t="s">
        <v>233</v>
      </c>
      <c r="H1842" t="s">
        <v>6366</v>
      </c>
      <c r="I1842" t="s">
        <v>6367</v>
      </c>
      <c r="J1842" t="s">
        <v>2622</v>
      </c>
      <c r="K1842" t="s">
        <v>55</v>
      </c>
      <c r="L1842" t="s">
        <v>2623</v>
      </c>
      <c r="M1842" t="s">
        <v>57</v>
      </c>
      <c r="N1842" t="str">
        <f>"046003"</f>
        <v>046003</v>
      </c>
      <c r="O1842" t="s">
        <v>2619</v>
      </c>
      <c r="P1842" t="s">
        <v>68</v>
      </c>
      <c r="Q1842">
        <v>31.4</v>
      </c>
      <c r="R1842">
        <v>4.2999999999999972</v>
      </c>
      <c r="S1842" t="s">
        <v>130</v>
      </c>
    </row>
    <row r="1843" spans="1:19" x14ac:dyDescent="0.35">
      <c r="A1843">
        <v>20180</v>
      </c>
      <c r="B1843" t="str">
        <f>"020180"</f>
        <v>020180</v>
      </c>
      <c r="C1843" t="s">
        <v>6368</v>
      </c>
      <c r="D1843" t="s">
        <v>3394</v>
      </c>
      <c r="E1843" t="s">
        <v>3395</v>
      </c>
      <c r="F1843" t="s">
        <v>3396</v>
      </c>
      <c r="G1843" t="s">
        <v>481</v>
      </c>
      <c r="H1843" t="s">
        <v>6369</v>
      </c>
      <c r="I1843" t="s">
        <v>6370</v>
      </c>
      <c r="J1843" t="s">
        <v>6371</v>
      </c>
      <c r="K1843" t="s">
        <v>55</v>
      </c>
      <c r="L1843" t="s">
        <v>819</v>
      </c>
      <c r="M1843" t="s">
        <v>57</v>
      </c>
      <c r="N1843" t="str">
        <f>"047894"</f>
        <v>047894</v>
      </c>
      <c r="O1843" t="s">
        <v>287</v>
      </c>
      <c r="P1843" t="s">
        <v>68</v>
      </c>
      <c r="Q1843">
        <v>11.4</v>
      </c>
      <c r="R1843">
        <v>10.099999999999994</v>
      </c>
      <c r="S1843" t="s">
        <v>69</v>
      </c>
    </row>
    <row r="1844" spans="1:19" x14ac:dyDescent="0.35">
      <c r="A1844">
        <v>20206</v>
      </c>
      <c r="B1844" t="str">
        <f>"020206"</f>
        <v>020206</v>
      </c>
      <c r="C1844" t="s">
        <v>6372</v>
      </c>
      <c r="D1844" t="s">
        <v>3394</v>
      </c>
      <c r="E1844" t="s">
        <v>3395</v>
      </c>
      <c r="F1844" t="s">
        <v>3396</v>
      </c>
      <c r="G1844" t="s">
        <v>362</v>
      </c>
      <c r="H1844" t="s">
        <v>2283</v>
      </c>
      <c r="I1844" t="s">
        <v>2284</v>
      </c>
      <c r="J1844" t="s">
        <v>2285</v>
      </c>
      <c r="K1844" t="s">
        <v>55</v>
      </c>
      <c r="L1844" t="s">
        <v>2286</v>
      </c>
      <c r="M1844" t="s">
        <v>57</v>
      </c>
      <c r="N1844" t="str">
        <f>"091397"</f>
        <v>091397</v>
      </c>
      <c r="O1844" t="s">
        <v>2282</v>
      </c>
      <c r="P1844" t="s">
        <v>68</v>
      </c>
      <c r="Q1844">
        <v>33.700000000000003</v>
      </c>
      <c r="R1844">
        <v>4</v>
      </c>
      <c r="S1844" t="s">
        <v>180</v>
      </c>
    </row>
    <row r="1845" spans="1:19" x14ac:dyDescent="0.35">
      <c r="A1845">
        <v>20230</v>
      </c>
      <c r="B1845" t="str">
        <f>"020230"</f>
        <v>020230</v>
      </c>
      <c r="C1845" t="s">
        <v>6373</v>
      </c>
      <c r="D1845" t="s">
        <v>3394</v>
      </c>
      <c r="E1845" t="s">
        <v>3395</v>
      </c>
      <c r="F1845" t="s">
        <v>3396</v>
      </c>
      <c r="G1845" t="s">
        <v>117</v>
      </c>
      <c r="H1845" t="s">
        <v>6374</v>
      </c>
      <c r="I1845" t="s">
        <v>6375</v>
      </c>
      <c r="J1845" t="s">
        <v>120</v>
      </c>
      <c r="K1845" t="s">
        <v>55</v>
      </c>
      <c r="L1845" t="s">
        <v>121</v>
      </c>
      <c r="M1845" t="s">
        <v>57</v>
      </c>
      <c r="N1845" t="str">
        <f>"049882"</f>
        <v>049882</v>
      </c>
      <c r="O1845" t="s">
        <v>116</v>
      </c>
      <c r="P1845" t="s">
        <v>68</v>
      </c>
      <c r="Q1845">
        <v>63</v>
      </c>
      <c r="R1845">
        <v>20.700000000000003</v>
      </c>
      <c r="S1845" t="s">
        <v>77</v>
      </c>
    </row>
    <row r="1846" spans="1:19" x14ac:dyDescent="0.35">
      <c r="A1846">
        <v>20255</v>
      </c>
      <c r="B1846" t="str">
        <f>"020255"</f>
        <v>020255</v>
      </c>
      <c r="C1846" t="s">
        <v>6376</v>
      </c>
      <c r="D1846" t="s">
        <v>3398</v>
      </c>
      <c r="E1846" t="s">
        <v>3395</v>
      </c>
      <c r="F1846" t="s">
        <v>3396</v>
      </c>
      <c r="G1846" t="s">
        <v>663</v>
      </c>
      <c r="H1846" t="s">
        <v>2028</v>
      </c>
      <c r="I1846" t="s">
        <v>2029</v>
      </c>
      <c r="J1846" t="s">
        <v>2030</v>
      </c>
      <c r="K1846" t="s">
        <v>55</v>
      </c>
      <c r="L1846" t="s">
        <v>2031</v>
      </c>
      <c r="M1846" t="s">
        <v>57</v>
      </c>
      <c r="N1846" t="str">
        <f>"049437"</f>
        <v>049437</v>
      </c>
      <c r="O1846" t="s">
        <v>2027</v>
      </c>
      <c r="P1846" t="s">
        <v>68</v>
      </c>
      <c r="Q1846">
        <v>19.3</v>
      </c>
      <c r="R1846">
        <v>12.700000000000003</v>
      </c>
      <c r="S1846" t="s">
        <v>77</v>
      </c>
    </row>
    <row r="1847" spans="1:19" x14ac:dyDescent="0.35">
      <c r="A1847">
        <v>20263</v>
      </c>
      <c r="B1847" t="str">
        <f>"020263"</f>
        <v>020263</v>
      </c>
      <c r="C1847" t="s">
        <v>6377</v>
      </c>
      <c r="D1847" t="s">
        <v>3400</v>
      </c>
      <c r="E1847" t="s">
        <v>3395</v>
      </c>
      <c r="F1847" t="s">
        <v>3396</v>
      </c>
      <c r="G1847" t="s">
        <v>63</v>
      </c>
      <c r="H1847" t="s">
        <v>6378</v>
      </c>
      <c r="I1847" t="s">
        <v>6379</v>
      </c>
      <c r="J1847" t="s">
        <v>2869</v>
      </c>
      <c r="K1847" t="s">
        <v>55</v>
      </c>
      <c r="L1847" t="s">
        <v>2870</v>
      </c>
      <c r="M1847" t="s">
        <v>57</v>
      </c>
      <c r="N1847" t="str">
        <f>"043976"</f>
        <v>043976</v>
      </c>
      <c r="O1847" t="s">
        <v>2866</v>
      </c>
      <c r="P1847" t="s">
        <v>68</v>
      </c>
      <c r="Q1847">
        <v>18.600000000000001</v>
      </c>
      <c r="R1847">
        <v>16.900000000000006</v>
      </c>
      <c r="S1847" t="s">
        <v>69</v>
      </c>
    </row>
    <row r="1848" spans="1:19" x14ac:dyDescent="0.35">
      <c r="A1848">
        <v>20289</v>
      </c>
      <c r="B1848" t="str">
        <f>"020289"</f>
        <v>020289</v>
      </c>
      <c r="C1848" t="s">
        <v>6380</v>
      </c>
      <c r="D1848" t="s">
        <v>3394</v>
      </c>
      <c r="E1848" t="s">
        <v>3395</v>
      </c>
      <c r="F1848" t="s">
        <v>3396</v>
      </c>
      <c r="G1848" t="s">
        <v>271</v>
      </c>
      <c r="H1848" t="s">
        <v>2539</v>
      </c>
      <c r="I1848" t="s">
        <v>2540</v>
      </c>
      <c r="J1848" t="s">
        <v>2541</v>
      </c>
      <c r="K1848" t="s">
        <v>55</v>
      </c>
      <c r="L1848" t="s">
        <v>2542</v>
      </c>
      <c r="M1848" t="s">
        <v>57</v>
      </c>
      <c r="N1848" t="str">
        <f>"047589"</f>
        <v>047589</v>
      </c>
      <c r="O1848" t="s">
        <v>2538</v>
      </c>
      <c r="P1848" t="s">
        <v>68</v>
      </c>
      <c r="Q1848">
        <v>22.6</v>
      </c>
      <c r="R1848">
        <v>5.9000000000000057</v>
      </c>
      <c r="S1848" t="s">
        <v>156</v>
      </c>
    </row>
    <row r="1849" spans="1:19" x14ac:dyDescent="0.35">
      <c r="A1849">
        <v>20297</v>
      </c>
      <c r="B1849" t="str">
        <f>"020297"</f>
        <v>020297</v>
      </c>
      <c r="C1849" t="s">
        <v>6381</v>
      </c>
      <c r="D1849" t="s">
        <v>3398</v>
      </c>
      <c r="E1849" t="s">
        <v>3395</v>
      </c>
      <c r="F1849" t="s">
        <v>3396</v>
      </c>
      <c r="G1849" t="s">
        <v>271</v>
      </c>
      <c r="H1849" t="s">
        <v>2539</v>
      </c>
      <c r="I1849" t="s">
        <v>2540</v>
      </c>
      <c r="J1849" t="s">
        <v>2541</v>
      </c>
      <c r="K1849" t="s">
        <v>55</v>
      </c>
      <c r="L1849" t="s">
        <v>2542</v>
      </c>
      <c r="M1849" t="s">
        <v>57</v>
      </c>
      <c r="N1849" t="str">
        <f>"047589"</f>
        <v>047589</v>
      </c>
      <c r="O1849" t="s">
        <v>2538</v>
      </c>
      <c r="P1849" t="s">
        <v>68</v>
      </c>
      <c r="Q1849">
        <v>16.100000000000001</v>
      </c>
      <c r="R1849">
        <v>8.7000000000000028</v>
      </c>
      <c r="S1849" t="s">
        <v>156</v>
      </c>
    </row>
    <row r="1850" spans="1:19" x14ac:dyDescent="0.35">
      <c r="A1850">
        <v>20321</v>
      </c>
      <c r="B1850" t="str">
        <f>"020321"</f>
        <v>020321</v>
      </c>
      <c r="C1850" t="s">
        <v>6382</v>
      </c>
      <c r="D1850" t="s">
        <v>3394</v>
      </c>
      <c r="E1850" t="s">
        <v>3395</v>
      </c>
      <c r="F1850" t="s">
        <v>3396</v>
      </c>
      <c r="G1850" t="s">
        <v>244</v>
      </c>
      <c r="H1850" t="s">
        <v>6383</v>
      </c>
      <c r="I1850" t="s">
        <v>6384</v>
      </c>
      <c r="J1850" t="s">
        <v>6385</v>
      </c>
      <c r="K1850" t="s">
        <v>55</v>
      </c>
      <c r="L1850" t="s">
        <v>374</v>
      </c>
      <c r="M1850" t="s">
        <v>57</v>
      </c>
      <c r="N1850" t="str">
        <f>"046110"</f>
        <v>046110</v>
      </c>
      <c r="O1850" t="s">
        <v>2005</v>
      </c>
      <c r="P1850" t="s">
        <v>68</v>
      </c>
      <c r="Q1850">
        <v>13.6</v>
      </c>
      <c r="R1850">
        <v>30.200000000000003</v>
      </c>
      <c r="S1850" t="s">
        <v>217</v>
      </c>
    </row>
    <row r="1851" spans="1:19" x14ac:dyDescent="0.35">
      <c r="A1851">
        <v>20388</v>
      </c>
      <c r="B1851" t="str">
        <f>"020388"</f>
        <v>020388</v>
      </c>
      <c r="C1851" t="s">
        <v>6386</v>
      </c>
      <c r="D1851" t="s">
        <v>3398</v>
      </c>
      <c r="E1851" t="s">
        <v>3395</v>
      </c>
      <c r="F1851" t="s">
        <v>3396</v>
      </c>
      <c r="G1851" t="s">
        <v>169</v>
      </c>
      <c r="H1851" t="s">
        <v>6387</v>
      </c>
      <c r="I1851" t="s">
        <v>6388</v>
      </c>
      <c r="J1851" t="s">
        <v>1215</v>
      </c>
      <c r="K1851" t="s">
        <v>55</v>
      </c>
      <c r="L1851" t="s">
        <v>1738</v>
      </c>
      <c r="M1851" t="s">
        <v>57</v>
      </c>
      <c r="N1851" t="str">
        <f>"050195"</f>
        <v>050195</v>
      </c>
      <c r="O1851" t="s">
        <v>1735</v>
      </c>
      <c r="P1851" t="s">
        <v>68</v>
      </c>
      <c r="Q1851">
        <v>55.7</v>
      </c>
      <c r="R1851">
        <v>53</v>
      </c>
      <c r="S1851" t="s">
        <v>77</v>
      </c>
    </row>
    <row r="1852" spans="1:19" x14ac:dyDescent="0.35">
      <c r="A1852">
        <v>20404</v>
      </c>
      <c r="B1852" t="str">
        <f>"020404"</f>
        <v>020404</v>
      </c>
      <c r="C1852" t="s">
        <v>6389</v>
      </c>
      <c r="D1852" t="s">
        <v>3394</v>
      </c>
      <c r="E1852" t="s">
        <v>3395</v>
      </c>
      <c r="F1852" t="s">
        <v>3396</v>
      </c>
      <c r="G1852" t="s">
        <v>92</v>
      </c>
      <c r="H1852" t="s">
        <v>6390</v>
      </c>
      <c r="I1852" t="s">
        <v>6391</v>
      </c>
      <c r="J1852" t="s">
        <v>1532</v>
      </c>
      <c r="K1852" t="s">
        <v>55</v>
      </c>
      <c r="L1852" t="s">
        <v>1533</v>
      </c>
      <c r="M1852" t="s">
        <v>57</v>
      </c>
      <c r="N1852" t="str">
        <f>"046888"</f>
        <v>046888</v>
      </c>
      <c r="O1852" t="s">
        <v>1529</v>
      </c>
      <c r="P1852" t="s">
        <v>68</v>
      </c>
      <c r="Q1852">
        <v>30.9</v>
      </c>
      <c r="R1852">
        <v>4.7000000000000028</v>
      </c>
      <c r="S1852" t="s">
        <v>60</v>
      </c>
    </row>
    <row r="1853" spans="1:19" x14ac:dyDescent="0.35">
      <c r="A1853">
        <v>20420</v>
      </c>
      <c r="B1853" t="str">
        <f>"020420"</f>
        <v>020420</v>
      </c>
      <c r="C1853" t="s">
        <v>6392</v>
      </c>
      <c r="D1853" t="s">
        <v>3398</v>
      </c>
      <c r="E1853" t="s">
        <v>3395</v>
      </c>
      <c r="F1853" t="s">
        <v>3396</v>
      </c>
      <c r="G1853" t="s">
        <v>92</v>
      </c>
      <c r="H1853" t="s">
        <v>6393</v>
      </c>
      <c r="I1853" t="s">
        <v>6394</v>
      </c>
      <c r="J1853" t="s">
        <v>1532</v>
      </c>
      <c r="K1853" t="s">
        <v>55</v>
      </c>
      <c r="L1853" t="s">
        <v>1533</v>
      </c>
      <c r="M1853" t="s">
        <v>57</v>
      </c>
      <c r="N1853" t="str">
        <f>"046888"</f>
        <v>046888</v>
      </c>
      <c r="O1853" t="s">
        <v>1529</v>
      </c>
      <c r="P1853" t="s">
        <v>68</v>
      </c>
      <c r="Q1853">
        <v>21.9</v>
      </c>
      <c r="R1853">
        <v>7.4000000000000057</v>
      </c>
      <c r="S1853" t="s">
        <v>60</v>
      </c>
    </row>
    <row r="1854" spans="1:19" x14ac:dyDescent="0.35">
      <c r="A1854">
        <v>20438</v>
      </c>
      <c r="B1854" t="str">
        <f>"020438"</f>
        <v>020438</v>
      </c>
      <c r="C1854" t="s">
        <v>6395</v>
      </c>
      <c r="D1854" t="s">
        <v>3394</v>
      </c>
      <c r="E1854" t="s">
        <v>3395</v>
      </c>
      <c r="F1854" t="s">
        <v>3396</v>
      </c>
      <c r="G1854" t="s">
        <v>821</v>
      </c>
      <c r="H1854" t="s">
        <v>6396</v>
      </c>
      <c r="I1854" t="s">
        <v>6397</v>
      </c>
      <c r="J1854" t="s">
        <v>1427</v>
      </c>
      <c r="K1854" t="s">
        <v>55</v>
      </c>
      <c r="L1854" t="s">
        <v>1428</v>
      </c>
      <c r="M1854" t="s">
        <v>57</v>
      </c>
      <c r="N1854" t="str">
        <f>"047449"</f>
        <v>047449</v>
      </c>
      <c r="O1854" t="s">
        <v>2645</v>
      </c>
      <c r="P1854" t="s">
        <v>68</v>
      </c>
      <c r="Q1854">
        <v>18.5</v>
      </c>
      <c r="R1854">
        <v>9.2000000000000028</v>
      </c>
      <c r="S1854" t="s">
        <v>156</v>
      </c>
    </row>
    <row r="1855" spans="1:19" x14ac:dyDescent="0.35">
      <c r="A1855">
        <v>20446</v>
      </c>
      <c r="B1855" t="str">
        <f>"020446"</f>
        <v>020446</v>
      </c>
      <c r="C1855" t="s">
        <v>6398</v>
      </c>
      <c r="D1855" t="s">
        <v>3398</v>
      </c>
      <c r="E1855" t="s">
        <v>3395</v>
      </c>
      <c r="F1855" t="s">
        <v>3396</v>
      </c>
      <c r="G1855" t="s">
        <v>821</v>
      </c>
      <c r="H1855" t="s">
        <v>2646</v>
      </c>
      <c r="I1855" t="s">
        <v>2647</v>
      </c>
      <c r="J1855" t="s">
        <v>1427</v>
      </c>
      <c r="K1855" t="s">
        <v>55</v>
      </c>
      <c r="L1855" t="s">
        <v>1428</v>
      </c>
      <c r="M1855" t="s">
        <v>57</v>
      </c>
      <c r="N1855" t="str">
        <f>"047449"</f>
        <v>047449</v>
      </c>
      <c r="O1855" t="s">
        <v>2645</v>
      </c>
      <c r="P1855" t="s">
        <v>68</v>
      </c>
      <c r="Q1855">
        <v>17</v>
      </c>
      <c r="R1855">
        <v>12.200000000000003</v>
      </c>
      <c r="S1855" t="s">
        <v>156</v>
      </c>
    </row>
    <row r="1856" spans="1:19" x14ac:dyDescent="0.35">
      <c r="A1856">
        <v>20453</v>
      </c>
      <c r="B1856" t="str">
        <f>"020453"</f>
        <v>020453</v>
      </c>
      <c r="C1856" t="s">
        <v>6399</v>
      </c>
      <c r="D1856" t="s">
        <v>3400</v>
      </c>
      <c r="E1856" t="s">
        <v>3395</v>
      </c>
      <c r="F1856" t="s">
        <v>3396</v>
      </c>
      <c r="G1856" t="s">
        <v>351</v>
      </c>
      <c r="H1856" t="s">
        <v>6400</v>
      </c>
      <c r="I1856" t="s">
        <v>6401</v>
      </c>
      <c r="J1856" t="s">
        <v>351</v>
      </c>
      <c r="K1856" t="s">
        <v>55</v>
      </c>
      <c r="L1856" t="s">
        <v>2771</v>
      </c>
      <c r="M1856" t="s">
        <v>57</v>
      </c>
      <c r="N1856" t="str">
        <f>"044156"</f>
        <v>044156</v>
      </c>
      <c r="O1856" t="s">
        <v>2768</v>
      </c>
      <c r="P1856" t="s">
        <v>68</v>
      </c>
      <c r="Q1856">
        <v>46.2</v>
      </c>
      <c r="R1856">
        <v>4</v>
      </c>
      <c r="S1856" t="s">
        <v>130</v>
      </c>
    </row>
    <row r="1857" spans="1:19" x14ac:dyDescent="0.35">
      <c r="A1857">
        <v>20461</v>
      </c>
      <c r="B1857" t="str">
        <f>"020461"</f>
        <v>020461</v>
      </c>
      <c r="C1857" t="s">
        <v>6402</v>
      </c>
      <c r="D1857" t="s">
        <v>3398</v>
      </c>
      <c r="E1857" t="s">
        <v>3395</v>
      </c>
      <c r="F1857" t="s">
        <v>3396</v>
      </c>
      <c r="G1857" t="s">
        <v>110</v>
      </c>
      <c r="H1857" t="s">
        <v>6403</v>
      </c>
      <c r="I1857" t="s">
        <v>6404</v>
      </c>
      <c r="J1857" t="s">
        <v>1027</v>
      </c>
      <c r="K1857" t="s">
        <v>55</v>
      </c>
      <c r="L1857" t="s">
        <v>1028</v>
      </c>
      <c r="M1857" t="s">
        <v>57</v>
      </c>
      <c r="N1857" t="str">
        <f>"048009"</f>
        <v>048009</v>
      </c>
      <c r="O1857" t="s">
        <v>1024</v>
      </c>
      <c r="P1857" t="s">
        <v>68</v>
      </c>
      <c r="Q1857">
        <v>46.7</v>
      </c>
      <c r="R1857">
        <v>59.3</v>
      </c>
      <c r="S1857" t="s">
        <v>60</v>
      </c>
    </row>
    <row r="1858" spans="1:19" x14ac:dyDescent="0.35">
      <c r="A1858">
        <v>20479</v>
      </c>
      <c r="B1858" t="str">
        <f>"020479"</f>
        <v>020479</v>
      </c>
      <c r="C1858" t="s">
        <v>6405</v>
      </c>
      <c r="D1858" t="s">
        <v>3400</v>
      </c>
      <c r="E1858" t="s">
        <v>3395</v>
      </c>
      <c r="F1858" t="s">
        <v>3396</v>
      </c>
      <c r="G1858" t="s">
        <v>110</v>
      </c>
      <c r="H1858" t="s">
        <v>2407</v>
      </c>
      <c r="I1858" t="s">
        <v>2408</v>
      </c>
      <c r="J1858" t="s">
        <v>671</v>
      </c>
      <c r="K1858" t="s">
        <v>55</v>
      </c>
      <c r="L1858" t="s">
        <v>672</v>
      </c>
      <c r="M1858" t="s">
        <v>57</v>
      </c>
      <c r="N1858" t="str">
        <f>"048017"</f>
        <v>048017</v>
      </c>
      <c r="O1858" t="s">
        <v>2406</v>
      </c>
      <c r="P1858" t="s">
        <v>68</v>
      </c>
      <c r="Q1858">
        <v>38.200000000000003</v>
      </c>
      <c r="R1858">
        <v>7</v>
      </c>
      <c r="S1858" t="s">
        <v>60</v>
      </c>
    </row>
    <row r="1859" spans="1:19" x14ac:dyDescent="0.35">
      <c r="A1859">
        <v>20487</v>
      </c>
      <c r="B1859" t="str">
        <f>"020487"</f>
        <v>020487</v>
      </c>
      <c r="C1859" t="s">
        <v>6406</v>
      </c>
      <c r="D1859" t="s">
        <v>3398</v>
      </c>
      <c r="E1859" t="s">
        <v>3395</v>
      </c>
      <c r="F1859" t="s">
        <v>3396</v>
      </c>
      <c r="G1859" t="s">
        <v>110</v>
      </c>
      <c r="H1859" t="s">
        <v>6407</v>
      </c>
      <c r="I1859" t="s">
        <v>6408</v>
      </c>
      <c r="J1859" t="s">
        <v>671</v>
      </c>
      <c r="K1859" t="s">
        <v>55</v>
      </c>
      <c r="L1859" t="s">
        <v>672</v>
      </c>
      <c r="M1859" t="s">
        <v>57</v>
      </c>
      <c r="N1859" t="str">
        <f>"048017"</f>
        <v>048017</v>
      </c>
      <c r="O1859" t="s">
        <v>2406</v>
      </c>
      <c r="P1859" t="s">
        <v>68</v>
      </c>
      <c r="Q1859">
        <v>31.5</v>
      </c>
      <c r="R1859">
        <v>2.7999999999999972</v>
      </c>
      <c r="S1859" t="s">
        <v>60</v>
      </c>
    </row>
    <row r="1860" spans="1:19" x14ac:dyDescent="0.35">
      <c r="A1860">
        <v>20503</v>
      </c>
      <c r="B1860" t="str">
        <f>"020503"</f>
        <v>020503</v>
      </c>
      <c r="C1860" t="s">
        <v>6409</v>
      </c>
      <c r="D1860" t="s">
        <v>3400</v>
      </c>
      <c r="E1860" t="s">
        <v>3395</v>
      </c>
      <c r="F1860" t="s">
        <v>3396</v>
      </c>
      <c r="G1860" t="s">
        <v>264</v>
      </c>
      <c r="H1860" t="s">
        <v>6410</v>
      </c>
      <c r="I1860" t="s">
        <v>6411</v>
      </c>
      <c r="J1860" t="s">
        <v>2558</v>
      </c>
      <c r="K1860" t="s">
        <v>55</v>
      </c>
      <c r="L1860" t="s">
        <v>2559</v>
      </c>
      <c r="M1860" t="s">
        <v>57</v>
      </c>
      <c r="N1860" t="str">
        <f>"043539"</f>
        <v>043539</v>
      </c>
      <c r="O1860" t="s">
        <v>2555</v>
      </c>
      <c r="P1860" t="s">
        <v>68</v>
      </c>
      <c r="Q1860">
        <v>74.3</v>
      </c>
      <c r="R1860">
        <v>29.700000000000003</v>
      </c>
      <c r="S1860" t="s">
        <v>77</v>
      </c>
    </row>
    <row r="1861" spans="1:19" x14ac:dyDescent="0.35">
      <c r="A1861">
        <v>20594</v>
      </c>
      <c r="B1861" t="str">
        <f>"020594"</f>
        <v>020594</v>
      </c>
      <c r="C1861" t="s">
        <v>6412</v>
      </c>
      <c r="D1861" t="s">
        <v>3400</v>
      </c>
      <c r="E1861" t="s">
        <v>3395</v>
      </c>
      <c r="F1861" t="s">
        <v>3396</v>
      </c>
      <c r="G1861" t="s">
        <v>1020</v>
      </c>
      <c r="H1861" t="s">
        <v>6413</v>
      </c>
      <c r="I1861" t="s">
        <v>6414</v>
      </c>
      <c r="J1861" t="s">
        <v>1020</v>
      </c>
      <c r="K1861" t="s">
        <v>55</v>
      </c>
      <c r="L1861" t="s">
        <v>1023</v>
      </c>
      <c r="M1861" t="s">
        <v>57</v>
      </c>
      <c r="N1861" t="str">
        <f>"044966"</f>
        <v>044966</v>
      </c>
      <c r="O1861" t="s">
        <v>1019</v>
      </c>
      <c r="P1861" t="s">
        <v>68</v>
      </c>
      <c r="Q1861">
        <v>48.5</v>
      </c>
      <c r="R1861">
        <v>14.700000000000003</v>
      </c>
      <c r="S1861" t="s">
        <v>156</v>
      </c>
    </row>
    <row r="1862" spans="1:19" x14ac:dyDescent="0.35">
      <c r="A1862">
        <v>20644</v>
      </c>
      <c r="B1862" t="str">
        <f>"020644"</f>
        <v>020644</v>
      </c>
      <c r="C1862" t="s">
        <v>6415</v>
      </c>
      <c r="D1862" t="s">
        <v>3394</v>
      </c>
      <c r="E1862" t="s">
        <v>3395</v>
      </c>
      <c r="F1862" t="s">
        <v>3396</v>
      </c>
      <c r="G1862" t="s">
        <v>264</v>
      </c>
      <c r="H1862" t="s">
        <v>6416</v>
      </c>
      <c r="I1862" t="s">
        <v>6417</v>
      </c>
      <c r="J1862" t="s">
        <v>2497</v>
      </c>
      <c r="K1862" t="s">
        <v>55</v>
      </c>
      <c r="L1862" t="s">
        <v>2498</v>
      </c>
      <c r="M1862" t="s">
        <v>57</v>
      </c>
      <c r="N1862" t="str">
        <f>"043836"</f>
        <v>043836</v>
      </c>
      <c r="O1862" t="s">
        <v>2494</v>
      </c>
      <c r="P1862" t="s">
        <v>68</v>
      </c>
      <c r="Q1862">
        <v>51.9</v>
      </c>
      <c r="R1862">
        <v>25.799999999999997</v>
      </c>
      <c r="S1862" t="s">
        <v>77</v>
      </c>
    </row>
    <row r="1863" spans="1:19" x14ac:dyDescent="0.35">
      <c r="A1863">
        <v>20719</v>
      </c>
      <c r="B1863" t="str">
        <f>"020719"</f>
        <v>020719</v>
      </c>
      <c r="C1863" t="s">
        <v>6418</v>
      </c>
      <c r="D1863" t="s">
        <v>3394</v>
      </c>
      <c r="E1863" t="s">
        <v>3395</v>
      </c>
      <c r="F1863" t="s">
        <v>3396</v>
      </c>
      <c r="G1863" t="s">
        <v>63</v>
      </c>
      <c r="H1863" t="s">
        <v>6419</v>
      </c>
      <c r="I1863" t="s">
        <v>6420</v>
      </c>
      <c r="J1863" t="s">
        <v>2182</v>
      </c>
      <c r="K1863" t="s">
        <v>55</v>
      </c>
      <c r="L1863" t="s">
        <v>6421</v>
      </c>
      <c r="M1863" t="s">
        <v>57</v>
      </c>
      <c r="N1863" t="str">
        <f>"043950"</f>
        <v>043950</v>
      </c>
      <c r="O1863" t="s">
        <v>2179</v>
      </c>
      <c r="P1863" t="s">
        <v>68</v>
      </c>
      <c r="Q1863">
        <v>100</v>
      </c>
      <c r="R1863">
        <v>95.7</v>
      </c>
      <c r="S1863" t="s">
        <v>69</v>
      </c>
    </row>
    <row r="1864" spans="1:19" x14ac:dyDescent="0.35">
      <c r="A1864">
        <v>20735</v>
      </c>
      <c r="B1864" t="str">
        <f>"020735"</f>
        <v>020735</v>
      </c>
      <c r="C1864" t="s">
        <v>6422</v>
      </c>
      <c r="D1864" t="s">
        <v>3394</v>
      </c>
      <c r="E1864" t="s">
        <v>3395</v>
      </c>
      <c r="F1864" t="s">
        <v>3396</v>
      </c>
      <c r="G1864" t="s">
        <v>169</v>
      </c>
      <c r="H1864" t="s">
        <v>6423</v>
      </c>
      <c r="I1864" t="s">
        <v>6424</v>
      </c>
      <c r="J1864" t="s">
        <v>2973</v>
      </c>
      <c r="K1864" t="s">
        <v>55</v>
      </c>
      <c r="L1864" t="s">
        <v>2974</v>
      </c>
      <c r="M1864" t="s">
        <v>57</v>
      </c>
      <c r="N1864" t="str">
        <f>"044495"</f>
        <v>044495</v>
      </c>
      <c r="O1864" t="s">
        <v>2970</v>
      </c>
      <c r="P1864" t="s">
        <v>68</v>
      </c>
      <c r="Q1864">
        <v>100</v>
      </c>
      <c r="R1864">
        <v>22.5</v>
      </c>
      <c r="S1864" t="s">
        <v>77</v>
      </c>
    </row>
    <row r="1865" spans="1:19" x14ac:dyDescent="0.35">
      <c r="A1865">
        <v>20776</v>
      </c>
      <c r="B1865" t="str">
        <f>"020776"</f>
        <v>020776</v>
      </c>
      <c r="C1865" t="s">
        <v>6425</v>
      </c>
      <c r="D1865" t="s">
        <v>3394</v>
      </c>
      <c r="E1865" t="s">
        <v>3395</v>
      </c>
      <c r="F1865" t="s">
        <v>3396</v>
      </c>
      <c r="G1865" t="s">
        <v>481</v>
      </c>
      <c r="H1865" t="s">
        <v>6426</v>
      </c>
      <c r="I1865" t="s">
        <v>6427</v>
      </c>
      <c r="J1865" t="s">
        <v>3091</v>
      </c>
      <c r="K1865" t="s">
        <v>55</v>
      </c>
      <c r="L1865" t="s">
        <v>3092</v>
      </c>
      <c r="M1865" t="s">
        <v>57</v>
      </c>
      <c r="N1865" t="str">
        <f>"045088"</f>
        <v>045088</v>
      </c>
      <c r="O1865" t="s">
        <v>3088</v>
      </c>
      <c r="P1865" t="s">
        <v>68</v>
      </c>
      <c r="Q1865">
        <v>34</v>
      </c>
      <c r="R1865">
        <v>34.799999999999997</v>
      </c>
      <c r="S1865" t="s">
        <v>69</v>
      </c>
    </row>
    <row r="1866" spans="1:19" x14ac:dyDescent="0.35">
      <c r="A1866">
        <v>20784</v>
      </c>
      <c r="B1866" t="str">
        <f>"020784"</f>
        <v>020784</v>
      </c>
      <c r="C1866" t="s">
        <v>6415</v>
      </c>
      <c r="D1866" t="s">
        <v>3394</v>
      </c>
      <c r="E1866" t="s">
        <v>3395</v>
      </c>
      <c r="F1866" t="s">
        <v>3396</v>
      </c>
      <c r="G1866" t="s">
        <v>406</v>
      </c>
      <c r="H1866" t="s">
        <v>6428</v>
      </c>
      <c r="I1866" t="s">
        <v>6429</v>
      </c>
      <c r="J1866" t="s">
        <v>465</v>
      </c>
      <c r="K1866" t="s">
        <v>55</v>
      </c>
      <c r="L1866" t="s">
        <v>466</v>
      </c>
      <c r="M1866" t="s">
        <v>57</v>
      </c>
      <c r="N1866" t="str">
        <f>"044974"</f>
        <v>044974</v>
      </c>
      <c r="O1866" t="s">
        <v>462</v>
      </c>
      <c r="P1866" t="s">
        <v>68</v>
      </c>
      <c r="Q1866">
        <v>37.6</v>
      </c>
      <c r="R1866">
        <v>6</v>
      </c>
      <c r="S1866" t="s">
        <v>77</v>
      </c>
    </row>
    <row r="1867" spans="1:19" x14ac:dyDescent="0.35">
      <c r="A1867">
        <v>20792</v>
      </c>
      <c r="B1867" t="str">
        <f>"020792"</f>
        <v>020792</v>
      </c>
      <c r="C1867" t="s">
        <v>6415</v>
      </c>
      <c r="D1867" t="s">
        <v>3394</v>
      </c>
      <c r="E1867" t="s">
        <v>3395</v>
      </c>
      <c r="F1867" t="s">
        <v>3396</v>
      </c>
      <c r="G1867" t="s">
        <v>777</v>
      </c>
      <c r="H1867" t="s">
        <v>6430</v>
      </c>
      <c r="I1867" t="s">
        <v>6431</v>
      </c>
      <c r="J1867" t="s">
        <v>780</v>
      </c>
      <c r="K1867" t="s">
        <v>55</v>
      </c>
      <c r="L1867" t="s">
        <v>894</v>
      </c>
      <c r="M1867" t="s">
        <v>57</v>
      </c>
      <c r="N1867" t="str">
        <f>"044818"</f>
        <v>044818</v>
      </c>
      <c r="O1867" t="s">
        <v>2812</v>
      </c>
      <c r="P1867" t="s">
        <v>68</v>
      </c>
      <c r="Q1867">
        <v>100</v>
      </c>
      <c r="R1867">
        <v>72.7</v>
      </c>
      <c r="S1867" t="s">
        <v>180</v>
      </c>
    </row>
    <row r="1868" spans="1:19" x14ac:dyDescent="0.35">
      <c r="A1868">
        <v>20859</v>
      </c>
      <c r="B1868" t="str">
        <f>"020859"</f>
        <v>020859</v>
      </c>
      <c r="C1868" t="s">
        <v>6415</v>
      </c>
      <c r="D1868" t="s">
        <v>3394</v>
      </c>
      <c r="E1868" t="s">
        <v>3395</v>
      </c>
      <c r="F1868" t="s">
        <v>3396</v>
      </c>
      <c r="G1868" t="s">
        <v>63</v>
      </c>
      <c r="H1868" t="s">
        <v>6432</v>
      </c>
      <c r="I1868" t="s">
        <v>6433</v>
      </c>
      <c r="J1868" t="s">
        <v>1271</v>
      </c>
      <c r="K1868" t="s">
        <v>55</v>
      </c>
      <c r="L1868" t="s">
        <v>1272</v>
      </c>
      <c r="M1868" t="s">
        <v>57</v>
      </c>
      <c r="N1868" t="str">
        <f>"044198"</f>
        <v>044198</v>
      </c>
      <c r="O1868" t="s">
        <v>1268</v>
      </c>
      <c r="P1868" t="s">
        <v>68</v>
      </c>
      <c r="Q1868">
        <v>20.6</v>
      </c>
      <c r="R1868">
        <v>13.799999999999997</v>
      </c>
      <c r="S1868" t="s">
        <v>69</v>
      </c>
    </row>
    <row r="1869" spans="1:19" x14ac:dyDescent="0.35">
      <c r="A1869">
        <v>20875</v>
      </c>
      <c r="B1869" t="str">
        <f>"020875"</f>
        <v>020875</v>
      </c>
      <c r="C1869" t="s">
        <v>6415</v>
      </c>
      <c r="D1869" t="s">
        <v>3394</v>
      </c>
      <c r="E1869" t="s">
        <v>3395</v>
      </c>
      <c r="F1869" t="s">
        <v>3396</v>
      </c>
      <c r="G1869" t="s">
        <v>600</v>
      </c>
      <c r="H1869" t="s">
        <v>6434</v>
      </c>
      <c r="I1869" t="s">
        <v>6435</v>
      </c>
      <c r="J1869" t="s">
        <v>2536</v>
      </c>
      <c r="K1869" t="s">
        <v>55</v>
      </c>
      <c r="L1869" t="s">
        <v>2537</v>
      </c>
      <c r="M1869" t="s">
        <v>57</v>
      </c>
      <c r="N1869" t="str">
        <f>"046961"</f>
        <v>046961</v>
      </c>
      <c r="O1869" t="s">
        <v>2533</v>
      </c>
      <c r="P1869" t="s">
        <v>68</v>
      </c>
      <c r="Q1869">
        <v>33</v>
      </c>
      <c r="R1869">
        <v>48.3</v>
      </c>
      <c r="S1869" t="s">
        <v>60</v>
      </c>
    </row>
    <row r="1870" spans="1:19" x14ac:dyDescent="0.35">
      <c r="A1870">
        <v>20883</v>
      </c>
      <c r="B1870" t="str">
        <f>"020883"</f>
        <v>020883</v>
      </c>
      <c r="C1870" t="s">
        <v>6436</v>
      </c>
      <c r="D1870" t="s">
        <v>3398</v>
      </c>
      <c r="E1870" t="s">
        <v>3395</v>
      </c>
      <c r="F1870" t="s">
        <v>3396</v>
      </c>
      <c r="G1870" t="s">
        <v>600</v>
      </c>
      <c r="H1870" t="s">
        <v>6437</v>
      </c>
      <c r="I1870" t="s">
        <v>6438</v>
      </c>
      <c r="J1870" t="s">
        <v>2536</v>
      </c>
      <c r="K1870" t="s">
        <v>55</v>
      </c>
      <c r="L1870" t="s">
        <v>2537</v>
      </c>
      <c r="M1870" t="s">
        <v>57</v>
      </c>
      <c r="N1870" t="str">
        <f>"046961"</f>
        <v>046961</v>
      </c>
      <c r="O1870" t="s">
        <v>2533</v>
      </c>
      <c r="P1870" t="s">
        <v>68</v>
      </c>
      <c r="Q1870">
        <v>31.6</v>
      </c>
      <c r="R1870">
        <v>46.7</v>
      </c>
      <c r="S1870" t="s">
        <v>60</v>
      </c>
    </row>
    <row r="1871" spans="1:19" x14ac:dyDescent="0.35">
      <c r="A1871">
        <v>20917</v>
      </c>
      <c r="B1871" t="str">
        <f>"020917"</f>
        <v>020917</v>
      </c>
      <c r="C1871" t="s">
        <v>6439</v>
      </c>
      <c r="D1871" t="s">
        <v>3394</v>
      </c>
      <c r="E1871" t="s">
        <v>3395</v>
      </c>
      <c r="F1871" t="s">
        <v>3396</v>
      </c>
      <c r="G1871" t="s">
        <v>212</v>
      </c>
      <c r="H1871" t="s">
        <v>6440</v>
      </c>
      <c r="I1871" t="s">
        <v>6441</v>
      </c>
      <c r="J1871" t="s">
        <v>215</v>
      </c>
      <c r="K1871" t="s">
        <v>55</v>
      </c>
      <c r="L1871" t="s">
        <v>954</v>
      </c>
      <c r="M1871" t="s">
        <v>57</v>
      </c>
      <c r="N1871" t="str">
        <f>"044677"</f>
        <v>044677</v>
      </c>
      <c r="O1871" t="s">
        <v>2499</v>
      </c>
      <c r="P1871" t="s">
        <v>68</v>
      </c>
      <c r="Q1871">
        <v>98.7</v>
      </c>
      <c r="R1871">
        <v>100</v>
      </c>
      <c r="S1871" t="s">
        <v>217</v>
      </c>
    </row>
    <row r="1872" spans="1:19" x14ac:dyDescent="0.35">
      <c r="A1872">
        <v>20941</v>
      </c>
      <c r="B1872" t="str">
        <f>"020941"</f>
        <v>020941</v>
      </c>
      <c r="C1872" t="s">
        <v>6442</v>
      </c>
      <c r="D1872" t="s">
        <v>3400</v>
      </c>
      <c r="E1872" t="s">
        <v>3395</v>
      </c>
      <c r="F1872" t="s">
        <v>3396</v>
      </c>
      <c r="G1872" t="s">
        <v>600</v>
      </c>
      <c r="H1872" t="s">
        <v>6443</v>
      </c>
      <c r="I1872" t="s">
        <v>6444</v>
      </c>
      <c r="J1872" t="s">
        <v>2536</v>
      </c>
      <c r="K1872" t="s">
        <v>55</v>
      </c>
      <c r="L1872" t="s">
        <v>2537</v>
      </c>
      <c r="M1872" t="s">
        <v>57</v>
      </c>
      <c r="N1872" t="str">
        <f>"046961"</f>
        <v>046961</v>
      </c>
      <c r="O1872" t="s">
        <v>2533</v>
      </c>
      <c r="P1872" t="s">
        <v>68</v>
      </c>
      <c r="Q1872">
        <v>16.600000000000001</v>
      </c>
      <c r="R1872">
        <v>31.5</v>
      </c>
      <c r="S1872" t="s">
        <v>60</v>
      </c>
    </row>
    <row r="1873" spans="1:19" x14ac:dyDescent="0.35">
      <c r="A1873">
        <v>20974</v>
      </c>
      <c r="B1873" t="str">
        <f>"020974"</f>
        <v>020974</v>
      </c>
      <c r="C1873" t="s">
        <v>6445</v>
      </c>
      <c r="D1873" t="s">
        <v>3394</v>
      </c>
      <c r="E1873" t="s">
        <v>3395</v>
      </c>
      <c r="F1873" t="s">
        <v>3396</v>
      </c>
      <c r="G1873" t="s">
        <v>600</v>
      </c>
      <c r="H1873" t="s">
        <v>6446</v>
      </c>
      <c r="I1873" t="s">
        <v>6447</v>
      </c>
      <c r="J1873" t="s">
        <v>1348</v>
      </c>
      <c r="K1873" t="s">
        <v>55</v>
      </c>
      <c r="L1873" t="s">
        <v>2733</v>
      </c>
      <c r="M1873" t="s">
        <v>57</v>
      </c>
      <c r="N1873" t="str">
        <f>"043802"</f>
        <v>043802</v>
      </c>
      <c r="O1873" t="s">
        <v>3171</v>
      </c>
      <c r="P1873" t="s">
        <v>68</v>
      </c>
      <c r="Q1873">
        <v>100</v>
      </c>
      <c r="R1873">
        <v>73.5</v>
      </c>
      <c r="S1873" t="s">
        <v>60</v>
      </c>
    </row>
    <row r="1874" spans="1:19" x14ac:dyDescent="0.35">
      <c r="A1874">
        <v>20990</v>
      </c>
      <c r="B1874" t="str">
        <f>"020990"</f>
        <v>020990</v>
      </c>
      <c r="C1874" t="s">
        <v>6448</v>
      </c>
      <c r="D1874" t="s">
        <v>3398</v>
      </c>
      <c r="E1874" t="s">
        <v>3395</v>
      </c>
      <c r="F1874" t="s">
        <v>3396</v>
      </c>
      <c r="G1874" t="s">
        <v>1020</v>
      </c>
      <c r="H1874" t="s">
        <v>3233</v>
      </c>
      <c r="I1874" t="s">
        <v>3234</v>
      </c>
      <c r="J1874" t="s">
        <v>1020</v>
      </c>
      <c r="K1874" t="s">
        <v>55</v>
      </c>
      <c r="L1874" t="s">
        <v>1023</v>
      </c>
      <c r="M1874" t="s">
        <v>57</v>
      </c>
      <c r="N1874" t="str">
        <f>"050369"</f>
        <v>050369</v>
      </c>
      <c r="O1874" t="s">
        <v>3232</v>
      </c>
      <c r="P1874" t="s">
        <v>68</v>
      </c>
      <c r="Q1874">
        <v>26.4</v>
      </c>
      <c r="R1874">
        <v>4.5</v>
      </c>
      <c r="S1874" t="s">
        <v>156</v>
      </c>
    </row>
    <row r="1875" spans="1:19" x14ac:dyDescent="0.35">
      <c r="A1875">
        <v>21014</v>
      </c>
      <c r="B1875" t="str">
        <f>"021014"</f>
        <v>021014</v>
      </c>
      <c r="C1875" t="s">
        <v>6449</v>
      </c>
      <c r="D1875" t="s">
        <v>3394</v>
      </c>
      <c r="E1875" t="s">
        <v>3395</v>
      </c>
      <c r="F1875" t="s">
        <v>3396</v>
      </c>
      <c r="G1875" t="s">
        <v>600</v>
      </c>
      <c r="H1875" t="s">
        <v>6450</v>
      </c>
      <c r="I1875" t="s">
        <v>6451</v>
      </c>
      <c r="J1875" t="s">
        <v>1348</v>
      </c>
      <c r="K1875" t="s">
        <v>55</v>
      </c>
      <c r="L1875" t="s">
        <v>5209</v>
      </c>
      <c r="M1875" t="s">
        <v>57</v>
      </c>
      <c r="N1875" t="str">
        <f>"043802"</f>
        <v>043802</v>
      </c>
      <c r="O1875" t="s">
        <v>3171</v>
      </c>
      <c r="P1875" t="s">
        <v>68</v>
      </c>
      <c r="Q1875">
        <v>100</v>
      </c>
      <c r="R1875">
        <v>46.6</v>
      </c>
      <c r="S1875" t="s">
        <v>60</v>
      </c>
    </row>
    <row r="1876" spans="1:19" x14ac:dyDescent="0.35">
      <c r="A1876">
        <v>21022</v>
      </c>
      <c r="B1876" t="str">
        <f>"021022"</f>
        <v>021022</v>
      </c>
      <c r="C1876" t="s">
        <v>6452</v>
      </c>
      <c r="D1876" t="s">
        <v>3394</v>
      </c>
      <c r="E1876" t="s">
        <v>3395</v>
      </c>
      <c r="F1876" t="s">
        <v>3396</v>
      </c>
      <c r="G1876" t="s">
        <v>600</v>
      </c>
      <c r="H1876" t="s">
        <v>6453</v>
      </c>
      <c r="I1876" t="s">
        <v>6454</v>
      </c>
      <c r="J1876" t="s">
        <v>1348</v>
      </c>
      <c r="K1876" t="s">
        <v>55</v>
      </c>
      <c r="L1876" t="s">
        <v>4840</v>
      </c>
      <c r="M1876" t="s">
        <v>57</v>
      </c>
      <c r="N1876" t="str">
        <f>"043802"</f>
        <v>043802</v>
      </c>
      <c r="O1876" t="s">
        <v>3171</v>
      </c>
      <c r="P1876" t="s">
        <v>68</v>
      </c>
      <c r="Q1876">
        <v>100</v>
      </c>
      <c r="R1876">
        <v>94.7</v>
      </c>
      <c r="S1876" t="s">
        <v>60</v>
      </c>
    </row>
    <row r="1877" spans="1:19" x14ac:dyDescent="0.35">
      <c r="A1877">
        <v>21030</v>
      </c>
      <c r="B1877" t="str">
        <f>"021030"</f>
        <v>021030</v>
      </c>
      <c r="C1877" t="s">
        <v>6455</v>
      </c>
      <c r="D1877" t="s">
        <v>3398</v>
      </c>
      <c r="E1877" t="s">
        <v>3395</v>
      </c>
      <c r="F1877" t="s">
        <v>3396</v>
      </c>
      <c r="G1877" t="s">
        <v>600</v>
      </c>
      <c r="H1877" t="s">
        <v>6456</v>
      </c>
      <c r="I1877" t="s">
        <v>6457</v>
      </c>
      <c r="J1877" t="s">
        <v>1348</v>
      </c>
      <c r="K1877" t="s">
        <v>55</v>
      </c>
      <c r="L1877" t="s">
        <v>4840</v>
      </c>
      <c r="M1877" t="s">
        <v>57</v>
      </c>
      <c r="N1877" t="str">
        <f>"043802"</f>
        <v>043802</v>
      </c>
      <c r="O1877" t="s">
        <v>3171</v>
      </c>
      <c r="P1877" t="s">
        <v>68</v>
      </c>
      <c r="Q1877">
        <v>100</v>
      </c>
      <c r="R1877">
        <v>93.7</v>
      </c>
      <c r="S1877" t="s">
        <v>60</v>
      </c>
    </row>
    <row r="1878" spans="1:19" x14ac:dyDescent="0.35">
      <c r="A1878">
        <v>21030</v>
      </c>
      <c r="B1878" t="str">
        <f>"021030"</f>
        <v>021030</v>
      </c>
      <c r="C1878" t="s">
        <v>6455</v>
      </c>
      <c r="D1878" t="s">
        <v>3929</v>
      </c>
      <c r="E1878" t="s">
        <v>3395</v>
      </c>
      <c r="F1878" t="s">
        <v>3396</v>
      </c>
      <c r="G1878" t="s">
        <v>600</v>
      </c>
      <c r="H1878" t="s">
        <v>6456</v>
      </c>
      <c r="I1878" t="s">
        <v>6457</v>
      </c>
      <c r="J1878" t="s">
        <v>1348</v>
      </c>
      <c r="K1878" t="s">
        <v>55</v>
      </c>
      <c r="L1878" t="s">
        <v>4840</v>
      </c>
      <c r="M1878" t="s">
        <v>57</v>
      </c>
      <c r="N1878" t="str">
        <f>"043802"</f>
        <v>043802</v>
      </c>
      <c r="O1878" t="s">
        <v>3171</v>
      </c>
      <c r="P1878" t="s">
        <v>68</v>
      </c>
      <c r="Q1878">
        <v>100</v>
      </c>
      <c r="R1878">
        <v>93.7</v>
      </c>
      <c r="S1878" t="s">
        <v>60</v>
      </c>
    </row>
    <row r="1879" spans="1:19" x14ac:dyDescent="0.35">
      <c r="A1879">
        <v>21097</v>
      </c>
      <c r="B1879" t="str">
        <f>"021097"</f>
        <v>021097</v>
      </c>
      <c r="C1879" t="s">
        <v>6458</v>
      </c>
      <c r="D1879" t="s">
        <v>3400</v>
      </c>
      <c r="E1879" t="s">
        <v>3395</v>
      </c>
      <c r="F1879" t="s">
        <v>3396</v>
      </c>
      <c r="G1879" t="s">
        <v>264</v>
      </c>
      <c r="H1879" t="s">
        <v>5218</v>
      </c>
      <c r="I1879" t="s">
        <v>5219</v>
      </c>
      <c r="J1879" t="s">
        <v>267</v>
      </c>
      <c r="K1879" t="s">
        <v>55</v>
      </c>
      <c r="L1879" t="s">
        <v>4206</v>
      </c>
      <c r="M1879" t="s">
        <v>57</v>
      </c>
      <c r="N1879" t="str">
        <f>"043489"</f>
        <v>043489</v>
      </c>
      <c r="O1879" t="s">
        <v>3176</v>
      </c>
      <c r="P1879" t="s">
        <v>68</v>
      </c>
      <c r="Q1879">
        <v>100</v>
      </c>
      <c r="R1879">
        <v>81</v>
      </c>
      <c r="S1879" t="s">
        <v>77</v>
      </c>
    </row>
    <row r="1880" spans="1:19" x14ac:dyDescent="0.35">
      <c r="A1880">
        <v>21105</v>
      </c>
      <c r="B1880" t="str">
        <f>"021105"</f>
        <v>021105</v>
      </c>
      <c r="C1880" t="s">
        <v>6459</v>
      </c>
      <c r="D1880" t="s">
        <v>3394</v>
      </c>
      <c r="E1880" t="s">
        <v>3395</v>
      </c>
      <c r="F1880" t="s">
        <v>3396</v>
      </c>
      <c r="G1880" t="s">
        <v>124</v>
      </c>
      <c r="H1880" t="s">
        <v>6460</v>
      </c>
      <c r="I1880" t="s">
        <v>6461</v>
      </c>
      <c r="J1880" t="s">
        <v>2829</v>
      </c>
      <c r="K1880" t="s">
        <v>55</v>
      </c>
      <c r="L1880" t="s">
        <v>2830</v>
      </c>
      <c r="M1880" t="s">
        <v>57</v>
      </c>
      <c r="N1880" t="str">
        <f>"050500"</f>
        <v>050500</v>
      </c>
      <c r="O1880" t="s">
        <v>2826</v>
      </c>
      <c r="P1880" t="s">
        <v>68</v>
      </c>
      <c r="Q1880">
        <v>34.700000000000003</v>
      </c>
      <c r="R1880">
        <v>5.4000000000000057</v>
      </c>
      <c r="S1880" t="s">
        <v>130</v>
      </c>
    </row>
    <row r="1881" spans="1:19" x14ac:dyDescent="0.35">
      <c r="A1881">
        <v>21113</v>
      </c>
      <c r="B1881" t="str">
        <f>"021113"</f>
        <v>021113</v>
      </c>
      <c r="C1881" t="s">
        <v>6462</v>
      </c>
      <c r="D1881" t="s">
        <v>3398</v>
      </c>
      <c r="E1881" t="s">
        <v>3395</v>
      </c>
      <c r="F1881" t="s">
        <v>3396</v>
      </c>
      <c r="G1881" t="s">
        <v>172</v>
      </c>
      <c r="H1881" t="s">
        <v>6463</v>
      </c>
      <c r="I1881" t="s">
        <v>6464</v>
      </c>
      <c r="J1881" t="s">
        <v>1359</v>
      </c>
      <c r="K1881" t="s">
        <v>55</v>
      </c>
      <c r="L1881" t="s">
        <v>6465</v>
      </c>
      <c r="M1881" t="s">
        <v>57</v>
      </c>
      <c r="N1881" t="str">
        <f>"050443"</f>
        <v>050443</v>
      </c>
      <c r="O1881" t="s">
        <v>1850</v>
      </c>
      <c r="P1881" t="s">
        <v>68</v>
      </c>
      <c r="Q1881">
        <v>14.2</v>
      </c>
      <c r="R1881">
        <v>13</v>
      </c>
      <c r="S1881" t="s">
        <v>217</v>
      </c>
    </row>
    <row r="1882" spans="1:19" x14ac:dyDescent="0.35">
      <c r="A1882">
        <v>21121</v>
      </c>
      <c r="B1882" t="str">
        <f>"021121"</f>
        <v>021121</v>
      </c>
      <c r="C1882" t="s">
        <v>6466</v>
      </c>
      <c r="D1882" t="s">
        <v>3400</v>
      </c>
      <c r="E1882" t="s">
        <v>3395</v>
      </c>
      <c r="F1882" t="s">
        <v>3396</v>
      </c>
      <c r="G1882" t="s">
        <v>172</v>
      </c>
      <c r="H1882" t="s">
        <v>6467</v>
      </c>
      <c r="I1882" t="s">
        <v>6468</v>
      </c>
      <c r="J1882" t="s">
        <v>1359</v>
      </c>
      <c r="K1882" t="s">
        <v>55</v>
      </c>
      <c r="L1882" t="s">
        <v>6465</v>
      </c>
      <c r="M1882" t="s">
        <v>57</v>
      </c>
      <c r="N1882" t="str">
        <f>"050443"</f>
        <v>050443</v>
      </c>
      <c r="O1882" t="s">
        <v>1850</v>
      </c>
      <c r="P1882" t="s">
        <v>68</v>
      </c>
      <c r="Q1882">
        <v>17.5</v>
      </c>
      <c r="R1882">
        <v>14.099999999999994</v>
      </c>
      <c r="S1882" t="s">
        <v>217</v>
      </c>
    </row>
    <row r="1883" spans="1:19" x14ac:dyDescent="0.35">
      <c r="A1883">
        <v>21139</v>
      </c>
      <c r="B1883" t="str">
        <f>"021139"</f>
        <v>021139</v>
      </c>
      <c r="C1883" t="s">
        <v>6469</v>
      </c>
      <c r="D1883" t="s">
        <v>3394</v>
      </c>
      <c r="E1883" t="s">
        <v>3395</v>
      </c>
      <c r="F1883" t="s">
        <v>3396</v>
      </c>
      <c r="G1883" t="s">
        <v>406</v>
      </c>
      <c r="H1883" t="s">
        <v>6470</v>
      </c>
      <c r="I1883" t="s">
        <v>6471</v>
      </c>
      <c r="J1883" t="s">
        <v>406</v>
      </c>
      <c r="K1883" t="s">
        <v>55</v>
      </c>
      <c r="L1883" t="s">
        <v>409</v>
      </c>
      <c r="M1883" t="s">
        <v>57</v>
      </c>
      <c r="N1883" t="str">
        <f>"048470"</f>
        <v>048470</v>
      </c>
      <c r="O1883" t="s">
        <v>742</v>
      </c>
      <c r="P1883" t="s">
        <v>68</v>
      </c>
      <c r="Q1883">
        <v>17.399999999999999</v>
      </c>
      <c r="R1883">
        <v>11.900000000000006</v>
      </c>
      <c r="S1883" t="s">
        <v>77</v>
      </c>
    </row>
    <row r="1884" spans="1:19" x14ac:dyDescent="0.35">
      <c r="A1884">
        <v>21147</v>
      </c>
      <c r="B1884" t="str">
        <f>"021147"</f>
        <v>021147</v>
      </c>
      <c r="C1884" t="s">
        <v>6472</v>
      </c>
      <c r="D1884" t="s">
        <v>3394</v>
      </c>
      <c r="E1884" t="s">
        <v>3395</v>
      </c>
      <c r="F1884" t="s">
        <v>3396</v>
      </c>
      <c r="G1884" t="s">
        <v>600</v>
      </c>
      <c r="H1884" t="s">
        <v>6473</v>
      </c>
      <c r="I1884" t="s">
        <v>6474</v>
      </c>
      <c r="J1884" t="s">
        <v>1348</v>
      </c>
      <c r="K1884" t="s">
        <v>55</v>
      </c>
      <c r="L1884" t="s">
        <v>4906</v>
      </c>
      <c r="M1884" t="s">
        <v>57</v>
      </c>
      <c r="N1884" t="str">
        <f>"043802"</f>
        <v>043802</v>
      </c>
      <c r="O1884" t="s">
        <v>3171</v>
      </c>
      <c r="P1884" t="s">
        <v>68</v>
      </c>
      <c r="Q1884">
        <v>100</v>
      </c>
      <c r="R1884">
        <v>94.5</v>
      </c>
      <c r="S1884" t="s">
        <v>60</v>
      </c>
    </row>
    <row r="1885" spans="1:19" x14ac:dyDescent="0.35">
      <c r="A1885">
        <v>21162</v>
      </c>
      <c r="B1885" t="str">
        <f>"021162"</f>
        <v>021162</v>
      </c>
      <c r="C1885" t="s">
        <v>6475</v>
      </c>
      <c r="D1885" t="s">
        <v>3394</v>
      </c>
      <c r="E1885" t="s">
        <v>3395</v>
      </c>
      <c r="F1885" t="s">
        <v>3396</v>
      </c>
      <c r="G1885" t="s">
        <v>1041</v>
      </c>
      <c r="H1885" t="s">
        <v>6476</v>
      </c>
      <c r="I1885" t="s">
        <v>6477</v>
      </c>
      <c r="J1885" t="s">
        <v>3371</v>
      </c>
      <c r="K1885" t="s">
        <v>55</v>
      </c>
      <c r="L1885" t="s">
        <v>3372</v>
      </c>
      <c r="M1885" t="s">
        <v>57</v>
      </c>
      <c r="N1885" t="str">
        <f>"044271"</f>
        <v>044271</v>
      </c>
      <c r="O1885" t="s">
        <v>3368</v>
      </c>
      <c r="P1885" t="s">
        <v>68</v>
      </c>
      <c r="Q1885">
        <v>16.2</v>
      </c>
      <c r="R1885">
        <v>15.599999999999994</v>
      </c>
      <c r="S1885" t="s">
        <v>217</v>
      </c>
    </row>
    <row r="1886" spans="1:19" x14ac:dyDescent="0.35">
      <c r="A1886">
        <v>21170</v>
      </c>
      <c r="B1886" t="str">
        <f>"021170"</f>
        <v>021170</v>
      </c>
      <c r="C1886" t="s">
        <v>6478</v>
      </c>
      <c r="D1886" t="s">
        <v>3394</v>
      </c>
      <c r="E1886" t="s">
        <v>3395</v>
      </c>
      <c r="F1886" t="s">
        <v>3396</v>
      </c>
      <c r="G1886" t="s">
        <v>212</v>
      </c>
      <c r="H1886" t="s">
        <v>6479</v>
      </c>
      <c r="I1886" t="s">
        <v>6480</v>
      </c>
      <c r="J1886" t="s">
        <v>6481</v>
      </c>
      <c r="K1886" t="s">
        <v>55</v>
      </c>
      <c r="L1886" t="s">
        <v>954</v>
      </c>
      <c r="M1886" t="s">
        <v>57</v>
      </c>
      <c r="N1886" t="str">
        <f>"044230"</f>
        <v>044230</v>
      </c>
      <c r="O1886" t="s">
        <v>1083</v>
      </c>
      <c r="P1886" t="s">
        <v>68</v>
      </c>
      <c r="Q1886">
        <v>100</v>
      </c>
      <c r="R1886">
        <v>78.7</v>
      </c>
      <c r="S1886" t="s">
        <v>217</v>
      </c>
    </row>
    <row r="1887" spans="1:19" x14ac:dyDescent="0.35">
      <c r="A1887">
        <v>21188</v>
      </c>
      <c r="B1887" t="str">
        <f>"021188"</f>
        <v>021188</v>
      </c>
      <c r="C1887" t="s">
        <v>6482</v>
      </c>
      <c r="D1887" t="s">
        <v>3398</v>
      </c>
      <c r="E1887" t="s">
        <v>3395</v>
      </c>
      <c r="F1887" t="s">
        <v>3396</v>
      </c>
      <c r="G1887" t="s">
        <v>212</v>
      </c>
      <c r="H1887" t="s">
        <v>6483</v>
      </c>
      <c r="I1887" t="s">
        <v>6484</v>
      </c>
      <c r="J1887" t="s">
        <v>6481</v>
      </c>
      <c r="K1887" t="s">
        <v>55</v>
      </c>
      <c r="L1887" t="s">
        <v>954</v>
      </c>
      <c r="M1887" t="s">
        <v>57</v>
      </c>
      <c r="N1887" t="str">
        <f>"044230"</f>
        <v>044230</v>
      </c>
      <c r="O1887" t="s">
        <v>1083</v>
      </c>
      <c r="P1887" t="s">
        <v>68</v>
      </c>
      <c r="Q1887">
        <v>100</v>
      </c>
      <c r="R1887">
        <v>74</v>
      </c>
      <c r="S1887" t="s">
        <v>217</v>
      </c>
    </row>
    <row r="1888" spans="1:19" x14ac:dyDescent="0.35">
      <c r="A1888">
        <v>21204</v>
      </c>
      <c r="B1888" t="str">
        <f>"021204"</f>
        <v>021204</v>
      </c>
      <c r="C1888" t="s">
        <v>6485</v>
      </c>
      <c r="D1888" t="s">
        <v>3400</v>
      </c>
      <c r="E1888" t="s">
        <v>3395</v>
      </c>
      <c r="F1888" t="s">
        <v>3396</v>
      </c>
      <c r="G1888" t="s">
        <v>250</v>
      </c>
      <c r="H1888" t="s">
        <v>6486</v>
      </c>
      <c r="I1888" t="s">
        <v>6487</v>
      </c>
      <c r="J1888" t="s">
        <v>2203</v>
      </c>
      <c r="K1888" t="s">
        <v>55</v>
      </c>
      <c r="L1888" t="s">
        <v>2204</v>
      </c>
      <c r="M1888" t="s">
        <v>57</v>
      </c>
      <c r="N1888" t="str">
        <f>"045112"</f>
        <v>045112</v>
      </c>
      <c r="O1888" t="s">
        <v>2200</v>
      </c>
      <c r="P1888" t="s">
        <v>68</v>
      </c>
      <c r="Q1888">
        <v>50.4</v>
      </c>
      <c r="R1888">
        <v>19.799999999999997</v>
      </c>
      <c r="S1888" t="s">
        <v>60</v>
      </c>
    </row>
    <row r="1889" spans="1:19" x14ac:dyDescent="0.35">
      <c r="A1889">
        <v>21212</v>
      </c>
      <c r="B1889" t="str">
        <f>"021212"</f>
        <v>021212</v>
      </c>
      <c r="C1889" t="s">
        <v>6488</v>
      </c>
      <c r="D1889" t="s">
        <v>3398</v>
      </c>
      <c r="E1889" t="s">
        <v>3395</v>
      </c>
      <c r="F1889" t="s">
        <v>3396</v>
      </c>
      <c r="G1889" t="s">
        <v>1567</v>
      </c>
      <c r="H1889" t="s">
        <v>6489</v>
      </c>
      <c r="I1889" t="s">
        <v>6490</v>
      </c>
      <c r="J1889" t="s">
        <v>1570</v>
      </c>
      <c r="K1889" t="s">
        <v>55</v>
      </c>
      <c r="L1889" t="s">
        <v>1571</v>
      </c>
      <c r="M1889" t="s">
        <v>57</v>
      </c>
      <c r="N1889" t="str">
        <f>"049080"</f>
        <v>049080</v>
      </c>
      <c r="O1889" t="s">
        <v>1566</v>
      </c>
      <c r="P1889" t="s">
        <v>68</v>
      </c>
      <c r="Q1889">
        <v>33.5</v>
      </c>
      <c r="R1889">
        <v>6.4000000000000057</v>
      </c>
      <c r="S1889" t="s">
        <v>60</v>
      </c>
    </row>
    <row r="1890" spans="1:19" x14ac:dyDescent="0.35">
      <c r="A1890">
        <v>21220</v>
      </c>
      <c r="B1890" t="str">
        <f>"021220"</f>
        <v>021220</v>
      </c>
      <c r="C1890" t="s">
        <v>6491</v>
      </c>
      <c r="D1890" t="s">
        <v>3398</v>
      </c>
      <c r="E1890" t="s">
        <v>3395</v>
      </c>
      <c r="F1890" t="s">
        <v>3396</v>
      </c>
      <c r="G1890" t="s">
        <v>288</v>
      </c>
      <c r="H1890" t="s">
        <v>6492</v>
      </c>
      <c r="I1890" t="s">
        <v>6493</v>
      </c>
      <c r="J1890" t="s">
        <v>769</v>
      </c>
      <c r="K1890" t="s">
        <v>55</v>
      </c>
      <c r="L1890" t="s">
        <v>770</v>
      </c>
      <c r="M1890" t="s">
        <v>57</v>
      </c>
      <c r="N1890" t="str">
        <f>"048074"</f>
        <v>048074</v>
      </c>
      <c r="O1890" t="s">
        <v>1355</v>
      </c>
      <c r="P1890" t="s">
        <v>68</v>
      </c>
      <c r="Q1890">
        <v>17.399999999999999</v>
      </c>
      <c r="R1890">
        <v>6.7999999999999972</v>
      </c>
      <c r="S1890" t="s">
        <v>180</v>
      </c>
    </row>
    <row r="1891" spans="1:19" x14ac:dyDescent="0.35">
      <c r="A1891">
        <v>21246</v>
      </c>
      <c r="B1891" t="str">
        <f>"021246"</f>
        <v>021246</v>
      </c>
      <c r="C1891" t="s">
        <v>6494</v>
      </c>
      <c r="D1891" t="s">
        <v>3398</v>
      </c>
      <c r="E1891" t="s">
        <v>3395</v>
      </c>
      <c r="F1891" t="s">
        <v>3396</v>
      </c>
      <c r="G1891" t="s">
        <v>1543</v>
      </c>
      <c r="H1891" t="s">
        <v>6495</v>
      </c>
      <c r="I1891" t="s">
        <v>6496</v>
      </c>
      <c r="J1891" t="s">
        <v>288</v>
      </c>
      <c r="K1891" t="s">
        <v>55</v>
      </c>
      <c r="L1891" t="s">
        <v>1546</v>
      </c>
      <c r="M1891" t="s">
        <v>57</v>
      </c>
      <c r="N1891" t="str">
        <f>"044248"</f>
        <v>044248</v>
      </c>
      <c r="O1891" t="s">
        <v>1542</v>
      </c>
      <c r="P1891" t="s">
        <v>68</v>
      </c>
      <c r="Q1891">
        <v>100</v>
      </c>
      <c r="R1891">
        <v>4.0999999999999943</v>
      </c>
      <c r="S1891" t="s">
        <v>130</v>
      </c>
    </row>
    <row r="1892" spans="1:19" x14ac:dyDescent="0.35">
      <c r="A1892">
        <v>21253</v>
      </c>
      <c r="B1892" t="str">
        <f>"021253"</f>
        <v>021253</v>
      </c>
      <c r="C1892" t="s">
        <v>6497</v>
      </c>
      <c r="D1892" t="s">
        <v>3394</v>
      </c>
      <c r="E1892" t="s">
        <v>3395</v>
      </c>
      <c r="F1892" t="s">
        <v>3396</v>
      </c>
      <c r="G1892" t="s">
        <v>117</v>
      </c>
      <c r="H1892" t="s">
        <v>6498</v>
      </c>
      <c r="I1892" t="s">
        <v>6499</v>
      </c>
      <c r="J1892" t="s">
        <v>6143</v>
      </c>
      <c r="K1892" t="s">
        <v>55</v>
      </c>
      <c r="L1892" t="s">
        <v>6144</v>
      </c>
      <c r="M1892" t="s">
        <v>57</v>
      </c>
      <c r="N1892" t="str">
        <f>"049924"</f>
        <v>049924</v>
      </c>
      <c r="O1892" t="s">
        <v>1548</v>
      </c>
      <c r="P1892" t="s">
        <v>68</v>
      </c>
      <c r="Q1892">
        <v>26.1</v>
      </c>
      <c r="R1892">
        <v>10.799999999999997</v>
      </c>
      <c r="S1892" t="s">
        <v>77</v>
      </c>
    </row>
    <row r="1893" spans="1:19" x14ac:dyDescent="0.35">
      <c r="A1893">
        <v>21279</v>
      </c>
      <c r="B1893" t="str">
        <f>"021279"</f>
        <v>021279</v>
      </c>
      <c r="C1893" t="s">
        <v>6500</v>
      </c>
      <c r="D1893" t="s">
        <v>3394</v>
      </c>
      <c r="E1893" t="s">
        <v>3395</v>
      </c>
      <c r="F1893" t="s">
        <v>3396</v>
      </c>
      <c r="G1893" t="s">
        <v>63</v>
      </c>
      <c r="H1893" t="s">
        <v>6501</v>
      </c>
      <c r="I1893" t="s">
        <v>6502</v>
      </c>
      <c r="J1893" t="s">
        <v>101</v>
      </c>
      <c r="K1893" t="s">
        <v>55</v>
      </c>
      <c r="L1893" t="s">
        <v>3032</v>
      </c>
      <c r="M1893" t="s">
        <v>57</v>
      </c>
      <c r="N1893" t="str">
        <f>"044750"</f>
        <v>044750</v>
      </c>
      <c r="O1893" t="s">
        <v>98</v>
      </c>
      <c r="P1893" t="s">
        <v>68</v>
      </c>
      <c r="Q1893">
        <v>42.1</v>
      </c>
      <c r="R1893">
        <v>72.599999999999994</v>
      </c>
      <c r="S1893" t="s">
        <v>69</v>
      </c>
    </row>
    <row r="1894" spans="1:19" x14ac:dyDescent="0.35">
      <c r="A1894">
        <v>21287</v>
      </c>
      <c r="B1894" t="str">
        <f>"021287"</f>
        <v>021287</v>
      </c>
      <c r="C1894" t="s">
        <v>6503</v>
      </c>
      <c r="D1894" t="s">
        <v>3398</v>
      </c>
      <c r="E1894" t="s">
        <v>3395</v>
      </c>
      <c r="F1894" t="s">
        <v>3396</v>
      </c>
      <c r="G1894" t="s">
        <v>657</v>
      </c>
      <c r="H1894" t="s">
        <v>6504</v>
      </c>
      <c r="I1894" t="s">
        <v>6505</v>
      </c>
      <c r="J1894" t="s">
        <v>1432</v>
      </c>
      <c r="K1894" t="s">
        <v>55</v>
      </c>
      <c r="L1894" t="s">
        <v>1433</v>
      </c>
      <c r="M1894" t="s">
        <v>57</v>
      </c>
      <c r="N1894" t="str">
        <f>"044255"</f>
        <v>044255</v>
      </c>
      <c r="O1894" t="s">
        <v>1429</v>
      </c>
      <c r="P1894" t="s">
        <v>68</v>
      </c>
      <c r="Q1894">
        <v>35.4</v>
      </c>
      <c r="R1894">
        <v>16</v>
      </c>
      <c r="S1894" t="s">
        <v>60</v>
      </c>
    </row>
    <row r="1895" spans="1:19" x14ac:dyDescent="0.35">
      <c r="A1895">
        <v>21295</v>
      </c>
      <c r="B1895" t="str">
        <f>"021295"</f>
        <v>021295</v>
      </c>
      <c r="C1895" t="s">
        <v>6506</v>
      </c>
      <c r="D1895" t="s">
        <v>3394</v>
      </c>
      <c r="E1895" t="s">
        <v>3395</v>
      </c>
      <c r="F1895" t="s">
        <v>3396</v>
      </c>
      <c r="G1895" t="s">
        <v>318</v>
      </c>
      <c r="H1895" t="s">
        <v>1669</v>
      </c>
      <c r="I1895" t="s">
        <v>1670</v>
      </c>
      <c r="J1895" t="s">
        <v>321</v>
      </c>
      <c r="K1895" t="s">
        <v>55</v>
      </c>
      <c r="L1895" t="s">
        <v>322</v>
      </c>
      <c r="M1895" t="s">
        <v>57</v>
      </c>
      <c r="N1895" t="str">
        <f>"049528"</f>
        <v>049528</v>
      </c>
      <c r="O1895" t="s">
        <v>1217</v>
      </c>
      <c r="P1895" t="s">
        <v>68</v>
      </c>
      <c r="Q1895">
        <v>52.2</v>
      </c>
      <c r="R1895">
        <v>5.7999999999999972</v>
      </c>
      <c r="S1895" t="s">
        <v>130</v>
      </c>
    </row>
    <row r="1896" spans="1:19" x14ac:dyDescent="0.35">
      <c r="A1896">
        <v>21311</v>
      </c>
      <c r="B1896" t="str">
        <f>"021311"</f>
        <v>021311</v>
      </c>
      <c r="C1896" t="s">
        <v>6507</v>
      </c>
      <c r="D1896" t="s">
        <v>3394</v>
      </c>
      <c r="E1896" t="s">
        <v>3395</v>
      </c>
      <c r="F1896" t="s">
        <v>3396</v>
      </c>
      <c r="G1896" t="s">
        <v>295</v>
      </c>
      <c r="H1896" t="s">
        <v>6508</v>
      </c>
      <c r="I1896" t="s">
        <v>6509</v>
      </c>
      <c r="J1896" t="s">
        <v>1012</v>
      </c>
      <c r="K1896" t="s">
        <v>55</v>
      </c>
      <c r="L1896" t="s">
        <v>1013</v>
      </c>
      <c r="M1896" t="s">
        <v>57</v>
      </c>
      <c r="N1896" t="str">
        <f>"044164"</f>
        <v>044164</v>
      </c>
      <c r="O1896" t="s">
        <v>1009</v>
      </c>
      <c r="P1896" t="s">
        <v>68</v>
      </c>
      <c r="Q1896">
        <v>45</v>
      </c>
      <c r="R1896">
        <v>37.299999999999997</v>
      </c>
      <c r="S1896" t="s">
        <v>77</v>
      </c>
    </row>
    <row r="1897" spans="1:19" x14ac:dyDescent="0.35">
      <c r="A1897">
        <v>21337</v>
      </c>
      <c r="B1897" t="str">
        <f>"021337"</f>
        <v>021337</v>
      </c>
      <c r="C1897" t="s">
        <v>6510</v>
      </c>
      <c r="D1897" t="s">
        <v>3394</v>
      </c>
      <c r="E1897" t="s">
        <v>3395</v>
      </c>
      <c r="F1897" t="s">
        <v>3396</v>
      </c>
      <c r="G1897" t="s">
        <v>572</v>
      </c>
      <c r="H1897" t="s">
        <v>6511</v>
      </c>
      <c r="I1897" t="s">
        <v>6512</v>
      </c>
      <c r="J1897" t="s">
        <v>2954</v>
      </c>
      <c r="K1897" t="s">
        <v>55</v>
      </c>
      <c r="L1897" t="s">
        <v>2955</v>
      </c>
      <c r="M1897" t="s">
        <v>57</v>
      </c>
      <c r="N1897" t="str">
        <f>"044784"</f>
        <v>044784</v>
      </c>
      <c r="O1897" t="s">
        <v>2951</v>
      </c>
      <c r="P1897" t="s">
        <v>68</v>
      </c>
      <c r="Q1897">
        <v>71.900000000000006</v>
      </c>
      <c r="R1897">
        <v>28.400000000000006</v>
      </c>
      <c r="S1897" t="s">
        <v>180</v>
      </c>
    </row>
    <row r="1898" spans="1:19" x14ac:dyDescent="0.35">
      <c r="A1898">
        <v>21378</v>
      </c>
      <c r="B1898" t="str">
        <f>"021378"</f>
        <v>021378</v>
      </c>
      <c r="C1898" t="s">
        <v>6513</v>
      </c>
      <c r="D1898" t="s">
        <v>3394</v>
      </c>
      <c r="E1898" t="s">
        <v>3395</v>
      </c>
      <c r="F1898" t="s">
        <v>3396</v>
      </c>
      <c r="G1898" t="s">
        <v>481</v>
      </c>
      <c r="H1898" t="s">
        <v>6514</v>
      </c>
      <c r="I1898" t="s">
        <v>6515</v>
      </c>
      <c r="J1898" t="s">
        <v>774</v>
      </c>
      <c r="K1898" t="s">
        <v>55</v>
      </c>
      <c r="L1898" t="s">
        <v>775</v>
      </c>
      <c r="M1898" t="s">
        <v>57</v>
      </c>
      <c r="N1898" t="str">
        <f>"045104"</f>
        <v>045104</v>
      </c>
      <c r="O1898" t="s">
        <v>771</v>
      </c>
      <c r="P1898" t="s">
        <v>68</v>
      </c>
      <c r="Q1898">
        <v>53.5</v>
      </c>
      <c r="R1898">
        <v>28.400000000000006</v>
      </c>
      <c r="S1898" t="s">
        <v>69</v>
      </c>
    </row>
    <row r="1899" spans="1:19" x14ac:dyDescent="0.35">
      <c r="A1899">
        <v>21386</v>
      </c>
      <c r="B1899" t="str">
        <f>"021386"</f>
        <v>021386</v>
      </c>
      <c r="C1899" t="s">
        <v>6513</v>
      </c>
      <c r="D1899" t="s">
        <v>3394</v>
      </c>
      <c r="E1899" t="s">
        <v>3395</v>
      </c>
      <c r="F1899" t="s">
        <v>3396</v>
      </c>
      <c r="G1899" t="s">
        <v>200</v>
      </c>
      <c r="H1899" t="s">
        <v>6516</v>
      </c>
      <c r="I1899" t="s">
        <v>6517</v>
      </c>
      <c r="J1899" t="s">
        <v>304</v>
      </c>
      <c r="K1899" t="s">
        <v>55</v>
      </c>
      <c r="L1899" t="s">
        <v>4721</v>
      </c>
      <c r="M1899" t="s">
        <v>57</v>
      </c>
      <c r="N1899" t="str">
        <f>"044909"</f>
        <v>044909</v>
      </c>
      <c r="O1899" t="s">
        <v>3318</v>
      </c>
      <c r="P1899" t="s">
        <v>68</v>
      </c>
      <c r="Q1899">
        <v>99.8</v>
      </c>
      <c r="R1899">
        <v>73.3</v>
      </c>
      <c r="S1899" t="s">
        <v>156</v>
      </c>
    </row>
    <row r="1900" spans="1:19" x14ac:dyDescent="0.35">
      <c r="A1900">
        <v>21394</v>
      </c>
      <c r="B1900" t="str">
        <f>"021394"</f>
        <v>021394</v>
      </c>
      <c r="C1900" t="s">
        <v>6518</v>
      </c>
      <c r="D1900" t="s">
        <v>3398</v>
      </c>
      <c r="E1900" t="s">
        <v>3395</v>
      </c>
      <c r="F1900" t="s">
        <v>3396</v>
      </c>
      <c r="G1900" t="s">
        <v>543</v>
      </c>
      <c r="H1900" t="s">
        <v>6519</v>
      </c>
      <c r="I1900" t="s">
        <v>6520</v>
      </c>
      <c r="J1900" t="s">
        <v>687</v>
      </c>
      <c r="K1900" t="s">
        <v>55</v>
      </c>
      <c r="L1900" t="s">
        <v>786</v>
      </c>
      <c r="M1900" t="s">
        <v>57</v>
      </c>
      <c r="N1900" t="str">
        <f>"043844"</f>
        <v>043844</v>
      </c>
      <c r="O1900" t="s">
        <v>985</v>
      </c>
      <c r="P1900" t="s">
        <v>68</v>
      </c>
      <c r="Q1900" t="s">
        <v>68</v>
      </c>
      <c r="R1900" t="s">
        <v>68</v>
      </c>
      <c r="S1900" t="s">
        <v>180</v>
      </c>
    </row>
    <row r="1901" spans="1:19" x14ac:dyDescent="0.35">
      <c r="A1901">
        <v>21469</v>
      </c>
      <c r="B1901" t="str">
        <f>"021469"</f>
        <v>021469</v>
      </c>
      <c r="C1901" t="s">
        <v>6521</v>
      </c>
      <c r="D1901" t="s">
        <v>3394</v>
      </c>
      <c r="E1901" t="s">
        <v>3395</v>
      </c>
      <c r="F1901" t="s">
        <v>3396</v>
      </c>
      <c r="G1901" t="s">
        <v>169</v>
      </c>
      <c r="H1901" t="s">
        <v>6522</v>
      </c>
      <c r="I1901" t="s">
        <v>6523</v>
      </c>
      <c r="J1901" t="s">
        <v>172</v>
      </c>
      <c r="K1901" t="s">
        <v>55</v>
      </c>
      <c r="L1901" t="s">
        <v>695</v>
      </c>
      <c r="M1901" t="s">
        <v>57</v>
      </c>
      <c r="N1901" t="str">
        <f>"050203"</f>
        <v>050203</v>
      </c>
      <c r="O1901" t="s">
        <v>724</v>
      </c>
      <c r="P1901" t="s">
        <v>68</v>
      </c>
      <c r="Q1901">
        <v>79.7</v>
      </c>
      <c r="R1901">
        <v>9.7000000000000028</v>
      </c>
      <c r="S1901" t="s">
        <v>77</v>
      </c>
    </row>
    <row r="1902" spans="1:19" x14ac:dyDescent="0.35">
      <c r="A1902">
        <v>21477</v>
      </c>
      <c r="B1902" t="str">
        <f>"021477"</f>
        <v>021477</v>
      </c>
      <c r="C1902" t="s">
        <v>6524</v>
      </c>
      <c r="D1902" t="s">
        <v>3398</v>
      </c>
      <c r="E1902" t="s">
        <v>3395</v>
      </c>
      <c r="F1902" t="s">
        <v>3396</v>
      </c>
      <c r="G1902" t="s">
        <v>169</v>
      </c>
      <c r="H1902" t="s">
        <v>725</v>
      </c>
      <c r="I1902" t="s">
        <v>726</v>
      </c>
      <c r="J1902" t="s">
        <v>172</v>
      </c>
      <c r="K1902" t="s">
        <v>55</v>
      </c>
      <c r="L1902" t="s">
        <v>695</v>
      </c>
      <c r="M1902" t="s">
        <v>57</v>
      </c>
      <c r="N1902" t="str">
        <f>"050203"</f>
        <v>050203</v>
      </c>
      <c r="O1902" t="s">
        <v>724</v>
      </c>
      <c r="P1902" t="s">
        <v>68</v>
      </c>
      <c r="Q1902">
        <v>68.900000000000006</v>
      </c>
      <c r="R1902">
        <v>9.5</v>
      </c>
      <c r="S1902" t="s">
        <v>77</v>
      </c>
    </row>
    <row r="1903" spans="1:19" x14ac:dyDescent="0.35">
      <c r="A1903">
        <v>21519</v>
      </c>
      <c r="B1903" t="str">
        <f>"021519"</f>
        <v>021519</v>
      </c>
      <c r="C1903" t="s">
        <v>6525</v>
      </c>
      <c r="D1903" t="s">
        <v>3398</v>
      </c>
      <c r="E1903" t="s">
        <v>3395</v>
      </c>
      <c r="F1903" t="s">
        <v>3396</v>
      </c>
      <c r="G1903" t="s">
        <v>855</v>
      </c>
      <c r="H1903" t="s">
        <v>6526</v>
      </c>
      <c r="I1903" t="s">
        <v>6527</v>
      </c>
      <c r="J1903" t="s">
        <v>858</v>
      </c>
      <c r="K1903" t="s">
        <v>55</v>
      </c>
      <c r="L1903" t="s">
        <v>859</v>
      </c>
      <c r="M1903" t="s">
        <v>57</v>
      </c>
      <c r="N1903" t="str">
        <f>"045468"</f>
        <v>045468</v>
      </c>
      <c r="O1903" t="s">
        <v>854</v>
      </c>
      <c r="P1903" t="s">
        <v>68</v>
      </c>
      <c r="Q1903">
        <v>29.7</v>
      </c>
      <c r="R1903">
        <v>3.9000000000000057</v>
      </c>
      <c r="S1903" t="s">
        <v>77</v>
      </c>
    </row>
    <row r="1904" spans="1:19" x14ac:dyDescent="0.35">
      <c r="A1904">
        <v>21527</v>
      </c>
      <c r="B1904" t="str">
        <f>"021527"</f>
        <v>021527</v>
      </c>
      <c r="C1904" t="s">
        <v>6528</v>
      </c>
      <c r="D1904" t="s">
        <v>3394</v>
      </c>
      <c r="E1904" t="s">
        <v>3395</v>
      </c>
      <c r="F1904" t="s">
        <v>3396</v>
      </c>
      <c r="G1904" t="s">
        <v>63</v>
      </c>
      <c r="H1904" t="s">
        <v>6529</v>
      </c>
      <c r="I1904" t="s">
        <v>6530</v>
      </c>
      <c r="J1904" t="s">
        <v>285</v>
      </c>
      <c r="K1904" t="s">
        <v>55</v>
      </c>
      <c r="L1904" t="s">
        <v>5375</v>
      </c>
      <c r="M1904" t="s">
        <v>57</v>
      </c>
      <c r="N1904" t="str">
        <f>"043786"</f>
        <v>043786</v>
      </c>
      <c r="O1904" t="s">
        <v>1340</v>
      </c>
      <c r="P1904" t="s">
        <v>68</v>
      </c>
      <c r="Q1904">
        <v>100</v>
      </c>
      <c r="R1904">
        <v>76.3</v>
      </c>
      <c r="S1904" t="s">
        <v>69</v>
      </c>
    </row>
    <row r="1905" spans="1:19" x14ac:dyDescent="0.35">
      <c r="A1905">
        <v>21543</v>
      </c>
      <c r="B1905" t="str">
        <f>"021543"</f>
        <v>021543</v>
      </c>
      <c r="C1905" t="s">
        <v>6531</v>
      </c>
      <c r="D1905" t="s">
        <v>3394</v>
      </c>
      <c r="E1905" t="s">
        <v>3395</v>
      </c>
      <c r="F1905" t="s">
        <v>3396</v>
      </c>
      <c r="G1905" t="s">
        <v>63</v>
      </c>
      <c r="H1905" t="s">
        <v>6532</v>
      </c>
      <c r="I1905" t="s">
        <v>6533</v>
      </c>
      <c r="J1905" t="s">
        <v>285</v>
      </c>
      <c r="K1905" t="s">
        <v>55</v>
      </c>
      <c r="L1905" t="s">
        <v>5493</v>
      </c>
      <c r="M1905" t="s">
        <v>57</v>
      </c>
      <c r="N1905" t="str">
        <f>"043786"</f>
        <v>043786</v>
      </c>
      <c r="O1905" t="s">
        <v>1340</v>
      </c>
      <c r="P1905" t="s">
        <v>68</v>
      </c>
      <c r="Q1905">
        <v>100</v>
      </c>
      <c r="R1905">
        <v>100</v>
      </c>
      <c r="S1905" t="s">
        <v>69</v>
      </c>
    </row>
    <row r="1906" spans="1:19" x14ac:dyDescent="0.35">
      <c r="A1906">
        <v>21550</v>
      </c>
      <c r="B1906" t="str">
        <f>"021550"</f>
        <v>021550</v>
      </c>
      <c r="C1906" t="s">
        <v>6534</v>
      </c>
      <c r="D1906" t="s">
        <v>3394</v>
      </c>
      <c r="E1906" t="s">
        <v>3395</v>
      </c>
      <c r="F1906" t="s">
        <v>3396</v>
      </c>
      <c r="G1906" t="s">
        <v>63</v>
      </c>
      <c r="H1906" t="s">
        <v>6535</v>
      </c>
      <c r="I1906" t="s">
        <v>6536</v>
      </c>
      <c r="J1906" t="s">
        <v>285</v>
      </c>
      <c r="K1906" t="s">
        <v>55</v>
      </c>
      <c r="L1906" t="s">
        <v>3458</v>
      </c>
      <c r="M1906" t="s">
        <v>57</v>
      </c>
      <c r="N1906" t="str">
        <f>"043786"</f>
        <v>043786</v>
      </c>
      <c r="O1906" t="s">
        <v>1340</v>
      </c>
      <c r="P1906" t="s">
        <v>68</v>
      </c>
      <c r="Q1906">
        <v>100</v>
      </c>
      <c r="R1906">
        <v>73.900000000000006</v>
      </c>
      <c r="S1906" t="s">
        <v>69</v>
      </c>
    </row>
    <row r="1907" spans="1:19" x14ac:dyDescent="0.35">
      <c r="A1907">
        <v>21568</v>
      </c>
      <c r="B1907" t="str">
        <f>"021568"</f>
        <v>021568</v>
      </c>
      <c r="C1907" t="s">
        <v>6537</v>
      </c>
      <c r="D1907" t="s">
        <v>3394</v>
      </c>
      <c r="E1907" t="s">
        <v>3395</v>
      </c>
      <c r="F1907" t="s">
        <v>3396</v>
      </c>
      <c r="G1907" t="s">
        <v>117</v>
      </c>
      <c r="H1907" t="s">
        <v>6538</v>
      </c>
      <c r="I1907" t="s">
        <v>6539</v>
      </c>
      <c r="J1907" t="s">
        <v>3145</v>
      </c>
      <c r="K1907" t="s">
        <v>55</v>
      </c>
      <c r="L1907" t="s">
        <v>3146</v>
      </c>
      <c r="M1907" t="s">
        <v>57</v>
      </c>
      <c r="N1907" t="str">
        <f>"049874"</f>
        <v>049874</v>
      </c>
      <c r="O1907" t="s">
        <v>3142</v>
      </c>
      <c r="P1907" t="s">
        <v>68</v>
      </c>
      <c r="Q1907">
        <v>32.6</v>
      </c>
      <c r="R1907">
        <v>4.5</v>
      </c>
      <c r="S1907" t="s">
        <v>77</v>
      </c>
    </row>
    <row r="1908" spans="1:19" x14ac:dyDescent="0.35">
      <c r="A1908">
        <v>21576</v>
      </c>
      <c r="B1908" t="str">
        <f>"021576"</f>
        <v>021576</v>
      </c>
      <c r="C1908" t="s">
        <v>6540</v>
      </c>
      <c r="D1908" t="s">
        <v>3398</v>
      </c>
      <c r="E1908" t="s">
        <v>3395</v>
      </c>
      <c r="F1908" t="s">
        <v>3396</v>
      </c>
      <c r="G1908" t="s">
        <v>117</v>
      </c>
      <c r="H1908" t="s">
        <v>6541</v>
      </c>
      <c r="I1908" t="s">
        <v>6542</v>
      </c>
      <c r="J1908" t="s">
        <v>3145</v>
      </c>
      <c r="K1908" t="s">
        <v>55</v>
      </c>
      <c r="L1908" t="s">
        <v>3146</v>
      </c>
      <c r="M1908" t="s">
        <v>57</v>
      </c>
      <c r="N1908" t="str">
        <f>"049874"</f>
        <v>049874</v>
      </c>
      <c r="O1908" t="s">
        <v>3142</v>
      </c>
      <c r="P1908" t="s">
        <v>68</v>
      </c>
      <c r="Q1908">
        <v>27.2</v>
      </c>
      <c r="R1908">
        <v>3.2000000000000028</v>
      </c>
      <c r="S1908" t="s">
        <v>77</v>
      </c>
    </row>
    <row r="1909" spans="1:19" x14ac:dyDescent="0.35">
      <c r="A1909">
        <v>21584</v>
      </c>
      <c r="B1909" t="str">
        <f>"021584"</f>
        <v>021584</v>
      </c>
      <c r="C1909" t="s">
        <v>6543</v>
      </c>
      <c r="D1909" t="s">
        <v>3400</v>
      </c>
      <c r="E1909" t="s">
        <v>3395</v>
      </c>
      <c r="F1909" t="s">
        <v>3396</v>
      </c>
      <c r="G1909" t="s">
        <v>117</v>
      </c>
      <c r="H1909" t="s">
        <v>6544</v>
      </c>
      <c r="I1909" t="s">
        <v>6545</v>
      </c>
      <c r="J1909" t="s">
        <v>3145</v>
      </c>
      <c r="K1909" t="s">
        <v>55</v>
      </c>
      <c r="L1909" t="s">
        <v>3146</v>
      </c>
      <c r="M1909" t="s">
        <v>57</v>
      </c>
      <c r="N1909" t="str">
        <f>"049874"</f>
        <v>049874</v>
      </c>
      <c r="O1909" t="s">
        <v>3142</v>
      </c>
      <c r="P1909" t="s">
        <v>68</v>
      </c>
      <c r="Q1909">
        <v>35.200000000000003</v>
      </c>
      <c r="R1909">
        <v>6.0999999999999943</v>
      </c>
      <c r="S1909" t="s">
        <v>77</v>
      </c>
    </row>
    <row r="1910" spans="1:19" x14ac:dyDescent="0.35">
      <c r="A1910">
        <v>21592</v>
      </c>
      <c r="B1910" t="str">
        <f>"021592"</f>
        <v>021592</v>
      </c>
      <c r="C1910" t="s">
        <v>6546</v>
      </c>
      <c r="D1910" t="s">
        <v>3400</v>
      </c>
      <c r="E1910" t="s">
        <v>3395</v>
      </c>
      <c r="F1910" t="s">
        <v>3396</v>
      </c>
      <c r="G1910" t="s">
        <v>212</v>
      </c>
      <c r="H1910" t="s">
        <v>6547</v>
      </c>
      <c r="I1910" t="s">
        <v>6548</v>
      </c>
      <c r="J1910" t="s">
        <v>3371</v>
      </c>
      <c r="K1910" t="s">
        <v>55</v>
      </c>
      <c r="L1910" t="s">
        <v>3372</v>
      </c>
      <c r="M1910" t="s">
        <v>57</v>
      </c>
      <c r="N1910" t="str">
        <f>"044271"</f>
        <v>044271</v>
      </c>
      <c r="O1910" t="s">
        <v>3368</v>
      </c>
      <c r="P1910" t="s">
        <v>68</v>
      </c>
      <c r="Q1910">
        <v>13.5</v>
      </c>
      <c r="R1910">
        <v>14</v>
      </c>
      <c r="S1910" t="s">
        <v>217</v>
      </c>
    </row>
    <row r="1911" spans="1:19" x14ac:dyDescent="0.35">
      <c r="A1911">
        <v>21600</v>
      </c>
      <c r="B1911" t="str">
        <f>"021600"</f>
        <v>021600</v>
      </c>
      <c r="C1911" t="s">
        <v>6549</v>
      </c>
      <c r="D1911" t="s">
        <v>3398</v>
      </c>
      <c r="E1911" t="s">
        <v>3395</v>
      </c>
      <c r="F1911" t="s">
        <v>3396</v>
      </c>
      <c r="G1911" t="s">
        <v>212</v>
      </c>
      <c r="H1911" t="s">
        <v>6550</v>
      </c>
      <c r="I1911" t="s">
        <v>6551</v>
      </c>
      <c r="J1911" t="s">
        <v>3371</v>
      </c>
      <c r="K1911" t="s">
        <v>55</v>
      </c>
      <c r="L1911" t="s">
        <v>3372</v>
      </c>
      <c r="M1911" t="s">
        <v>57</v>
      </c>
      <c r="N1911" t="str">
        <f>"044271"</f>
        <v>044271</v>
      </c>
      <c r="O1911" t="s">
        <v>3368</v>
      </c>
      <c r="P1911" t="s">
        <v>68</v>
      </c>
      <c r="Q1911">
        <v>9.8000000000000007</v>
      </c>
      <c r="R1911">
        <v>10.900000000000006</v>
      </c>
      <c r="S1911" t="s">
        <v>217</v>
      </c>
    </row>
    <row r="1912" spans="1:19" x14ac:dyDescent="0.35">
      <c r="A1912">
        <v>21618</v>
      </c>
      <c r="B1912" t="str">
        <f>"021618"</f>
        <v>021618</v>
      </c>
      <c r="C1912" t="s">
        <v>6552</v>
      </c>
      <c r="D1912" t="s">
        <v>3394</v>
      </c>
      <c r="E1912" t="s">
        <v>3395</v>
      </c>
      <c r="F1912" t="s">
        <v>3396</v>
      </c>
      <c r="G1912" t="s">
        <v>212</v>
      </c>
      <c r="H1912" t="s">
        <v>6553</v>
      </c>
      <c r="I1912" t="s">
        <v>6554</v>
      </c>
      <c r="J1912" t="s">
        <v>3371</v>
      </c>
      <c r="K1912" t="s">
        <v>55</v>
      </c>
      <c r="L1912" t="s">
        <v>3372</v>
      </c>
      <c r="M1912" t="s">
        <v>57</v>
      </c>
      <c r="N1912" t="str">
        <f>"044271"</f>
        <v>044271</v>
      </c>
      <c r="O1912" t="s">
        <v>3368</v>
      </c>
      <c r="P1912" t="s">
        <v>68</v>
      </c>
      <c r="Q1912">
        <v>15.1</v>
      </c>
      <c r="R1912">
        <v>15.099999999999994</v>
      </c>
      <c r="S1912" t="s">
        <v>217</v>
      </c>
    </row>
    <row r="1913" spans="1:19" x14ac:dyDescent="0.35">
      <c r="A1913">
        <v>21659</v>
      </c>
      <c r="B1913" t="str">
        <f>"021659"</f>
        <v>021659</v>
      </c>
      <c r="C1913" t="s">
        <v>6555</v>
      </c>
      <c r="D1913" t="s">
        <v>3394</v>
      </c>
      <c r="E1913" t="s">
        <v>3395</v>
      </c>
      <c r="F1913" t="s">
        <v>3396</v>
      </c>
      <c r="G1913" t="s">
        <v>143</v>
      </c>
      <c r="H1913" t="s">
        <v>6556</v>
      </c>
      <c r="I1913" t="s">
        <v>6557</v>
      </c>
      <c r="J1913" t="s">
        <v>143</v>
      </c>
      <c r="K1913" t="s">
        <v>55</v>
      </c>
      <c r="L1913" t="s">
        <v>5382</v>
      </c>
      <c r="M1913" t="s">
        <v>57</v>
      </c>
      <c r="N1913" t="str">
        <f>"044263"</f>
        <v>044263</v>
      </c>
      <c r="O1913" t="s">
        <v>1364</v>
      </c>
      <c r="P1913" t="s">
        <v>68</v>
      </c>
      <c r="Q1913">
        <v>100</v>
      </c>
      <c r="R1913">
        <v>91.4</v>
      </c>
      <c r="S1913" t="s">
        <v>69</v>
      </c>
    </row>
    <row r="1914" spans="1:19" x14ac:dyDescent="0.35">
      <c r="A1914">
        <v>21675</v>
      </c>
      <c r="B1914" t="str">
        <f>"021675"</f>
        <v>021675</v>
      </c>
      <c r="C1914" t="s">
        <v>6558</v>
      </c>
      <c r="D1914" t="s">
        <v>3394</v>
      </c>
      <c r="E1914" t="s">
        <v>3395</v>
      </c>
      <c r="F1914" t="s">
        <v>3396</v>
      </c>
      <c r="G1914" t="s">
        <v>124</v>
      </c>
      <c r="H1914" t="s">
        <v>6559</v>
      </c>
      <c r="I1914" t="s">
        <v>6560</v>
      </c>
      <c r="J1914" t="s">
        <v>6561</v>
      </c>
      <c r="K1914" t="s">
        <v>55</v>
      </c>
      <c r="L1914" t="s">
        <v>6562</v>
      </c>
      <c r="M1914" t="s">
        <v>57</v>
      </c>
      <c r="N1914" t="str">
        <f>"050484"</f>
        <v>050484</v>
      </c>
      <c r="O1914" t="s">
        <v>2911</v>
      </c>
      <c r="P1914" t="s">
        <v>68</v>
      </c>
      <c r="Q1914">
        <v>64.3</v>
      </c>
      <c r="R1914">
        <v>2</v>
      </c>
      <c r="S1914" t="s">
        <v>130</v>
      </c>
    </row>
    <row r="1915" spans="1:19" x14ac:dyDescent="0.35">
      <c r="A1915">
        <v>21683</v>
      </c>
      <c r="B1915" t="str">
        <f>"021683"</f>
        <v>021683</v>
      </c>
      <c r="C1915" t="s">
        <v>6563</v>
      </c>
      <c r="D1915" t="s">
        <v>3398</v>
      </c>
      <c r="E1915" t="s">
        <v>3395</v>
      </c>
      <c r="F1915" t="s">
        <v>3396</v>
      </c>
      <c r="G1915" t="s">
        <v>383</v>
      </c>
      <c r="H1915" t="s">
        <v>384</v>
      </c>
      <c r="I1915" t="s">
        <v>385</v>
      </c>
      <c r="J1915" t="s">
        <v>386</v>
      </c>
      <c r="K1915" t="s">
        <v>55</v>
      </c>
      <c r="L1915" t="s">
        <v>387</v>
      </c>
      <c r="M1915" t="s">
        <v>57</v>
      </c>
      <c r="N1915" t="str">
        <f>"048330"</f>
        <v>048330</v>
      </c>
      <c r="O1915" t="s">
        <v>382</v>
      </c>
      <c r="P1915" t="s">
        <v>68</v>
      </c>
      <c r="Q1915">
        <v>38.4</v>
      </c>
      <c r="R1915">
        <v>18.5</v>
      </c>
      <c r="S1915" t="s">
        <v>77</v>
      </c>
    </row>
    <row r="1916" spans="1:19" x14ac:dyDescent="0.35">
      <c r="A1916">
        <v>21709</v>
      </c>
      <c r="B1916" t="str">
        <f>"021709"</f>
        <v>021709</v>
      </c>
      <c r="C1916" t="s">
        <v>6564</v>
      </c>
      <c r="D1916" t="s">
        <v>3394</v>
      </c>
      <c r="E1916" t="s">
        <v>3395</v>
      </c>
      <c r="F1916" t="s">
        <v>3396</v>
      </c>
      <c r="G1916" t="s">
        <v>663</v>
      </c>
      <c r="H1916" t="s">
        <v>920</v>
      </c>
      <c r="I1916" t="s">
        <v>921</v>
      </c>
      <c r="J1916" t="s">
        <v>200</v>
      </c>
      <c r="K1916" t="s">
        <v>55</v>
      </c>
      <c r="L1916" t="s">
        <v>922</v>
      </c>
      <c r="M1916" t="s">
        <v>57</v>
      </c>
      <c r="N1916" t="str">
        <f>"049445"</f>
        <v>049445</v>
      </c>
      <c r="O1916" t="s">
        <v>919</v>
      </c>
      <c r="P1916" t="s">
        <v>68</v>
      </c>
      <c r="Q1916">
        <v>25.8</v>
      </c>
      <c r="R1916">
        <v>5.5999999999999943</v>
      </c>
      <c r="S1916" t="s">
        <v>77</v>
      </c>
    </row>
    <row r="1917" spans="1:19" x14ac:dyDescent="0.35">
      <c r="A1917">
        <v>21717</v>
      </c>
      <c r="B1917" t="str">
        <f>"021717"</f>
        <v>021717</v>
      </c>
      <c r="C1917" t="s">
        <v>6565</v>
      </c>
      <c r="D1917" t="s">
        <v>3398</v>
      </c>
      <c r="E1917" t="s">
        <v>3395</v>
      </c>
      <c r="F1917" t="s">
        <v>3396</v>
      </c>
      <c r="G1917" t="s">
        <v>663</v>
      </c>
      <c r="H1917" t="s">
        <v>6566</v>
      </c>
      <c r="I1917" t="s">
        <v>6567</v>
      </c>
      <c r="J1917" t="s">
        <v>200</v>
      </c>
      <c r="K1917" t="s">
        <v>55</v>
      </c>
      <c r="L1917" t="s">
        <v>922</v>
      </c>
      <c r="M1917" t="s">
        <v>57</v>
      </c>
      <c r="N1917" t="str">
        <f>"049445"</f>
        <v>049445</v>
      </c>
      <c r="O1917" t="s">
        <v>919</v>
      </c>
      <c r="P1917" t="s">
        <v>68</v>
      </c>
      <c r="Q1917">
        <v>29.2</v>
      </c>
      <c r="R1917">
        <v>3.0999999999999943</v>
      </c>
      <c r="S1917" t="s">
        <v>77</v>
      </c>
    </row>
    <row r="1918" spans="1:19" x14ac:dyDescent="0.35">
      <c r="A1918">
        <v>21725</v>
      </c>
      <c r="B1918" t="str">
        <f>"021725"</f>
        <v>021725</v>
      </c>
      <c r="C1918" t="s">
        <v>6568</v>
      </c>
      <c r="D1918" t="s">
        <v>3394</v>
      </c>
      <c r="E1918" t="s">
        <v>3395</v>
      </c>
      <c r="F1918" t="s">
        <v>3396</v>
      </c>
      <c r="G1918" t="s">
        <v>226</v>
      </c>
      <c r="H1918" t="s">
        <v>6569</v>
      </c>
      <c r="I1918" t="s">
        <v>6570</v>
      </c>
      <c r="J1918" t="s">
        <v>1257</v>
      </c>
      <c r="K1918" t="s">
        <v>55</v>
      </c>
      <c r="L1918" t="s">
        <v>1258</v>
      </c>
      <c r="M1918" t="s">
        <v>57</v>
      </c>
      <c r="N1918" t="str">
        <f>"050674"</f>
        <v>050674</v>
      </c>
      <c r="O1918" t="s">
        <v>1254</v>
      </c>
      <c r="P1918" t="s">
        <v>68</v>
      </c>
      <c r="Q1918">
        <v>29.5</v>
      </c>
      <c r="R1918">
        <v>12.299999999999997</v>
      </c>
      <c r="S1918" t="s">
        <v>156</v>
      </c>
    </row>
    <row r="1919" spans="1:19" x14ac:dyDescent="0.35">
      <c r="A1919">
        <v>21766</v>
      </c>
      <c r="B1919" t="str">
        <f>"021766"</f>
        <v>021766</v>
      </c>
      <c r="C1919" t="s">
        <v>6571</v>
      </c>
      <c r="D1919" t="s">
        <v>3394</v>
      </c>
      <c r="E1919" t="s">
        <v>3395</v>
      </c>
      <c r="F1919" t="s">
        <v>3396</v>
      </c>
      <c r="G1919" t="s">
        <v>187</v>
      </c>
      <c r="H1919" t="s">
        <v>6572</v>
      </c>
      <c r="I1919" t="s">
        <v>6573</v>
      </c>
      <c r="J1919" t="s">
        <v>309</v>
      </c>
      <c r="K1919" t="s">
        <v>55</v>
      </c>
      <c r="L1919" t="s">
        <v>310</v>
      </c>
      <c r="M1919" t="s">
        <v>57</v>
      </c>
      <c r="N1919" t="str">
        <f>"045120"</f>
        <v>045120</v>
      </c>
      <c r="O1919" t="s">
        <v>306</v>
      </c>
      <c r="P1919" t="s">
        <v>68</v>
      </c>
      <c r="Q1919">
        <v>28.5</v>
      </c>
      <c r="R1919">
        <v>9</v>
      </c>
      <c r="S1919" t="s">
        <v>77</v>
      </c>
    </row>
    <row r="1920" spans="1:19" x14ac:dyDescent="0.35">
      <c r="A1920">
        <v>21774</v>
      </c>
      <c r="B1920" t="str">
        <f>"021774"</f>
        <v>021774</v>
      </c>
      <c r="C1920" t="s">
        <v>6574</v>
      </c>
      <c r="D1920" t="s">
        <v>3394</v>
      </c>
      <c r="E1920" t="s">
        <v>3395</v>
      </c>
      <c r="F1920" t="s">
        <v>3396</v>
      </c>
      <c r="G1920" t="s">
        <v>400</v>
      </c>
      <c r="H1920" t="s">
        <v>6575</v>
      </c>
      <c r="I1920" t="s">
        <v>6576</v>
      </c>
      <c r="J1920" t="s">
        <v>2749</v>
      </c>
      <c r="K1920" t="s">
        <v>55</v>
      </c>
      <c r="L1920" t="s">
        <v>2750</v>
      </c>
      <c r="M1920" t="s">
        <v>57</v>
      </c>
      <c r="N1920" t="str">
        <f>"044016"</f>
        <v>044016</v>
      </c>
      <c r="O1920" t="s">
        <v>3244</v>
      </c>
      <c r="P1920" t="s">
        <v>68</v>
      </c>
      <c r="Q1920">
        <v>100</v>
      </c>
      <c r="R1920">
        <v>42.1</v>
      </c>
      <c r="S1920" t="s">
        <v>156</v>
      </c>
    </row>
    <row r="1921" spans="1:19" x14ac:dyDescent="0.35">
      <c r="A1921">
        <v>21816</v>
      </c>
      <c r="B1921" t="str">
        <f>"021816"</f>
        <v>021816</v>
      </c>
      <c r="C1921" t="s">
        <v>6577</v>
      </c>
      <c r="D1921" t="s">
        <v>3398</v>
      </c>
      <c r="E1921" t="s">
        <v>3395</v>
      </c>
      <c r="F1921" t="s">
        <v>3396</v>
      </c>
      <c r="G1921" t="s">
        <v>719</v>
      </c>
      <c r="H1921" t="s">
        <v>6578</v>
      </c>
      <c r="I1921" t="s">
        <v>6579</v>
      </c>
      <c r="J1921" t="s">
        <v>722</v>
      </c>
      <c r="K1921" t="s">
        <v>55</v>
      </c>
      <c r="L1921" t="s">
        <v>723</v>
      </c>
      <c r="M1921" t="s">
        <v>57</v>
      </c>
      <c r="N1921" t="str">
        <f>"047639"</f>
        <v>047639</v>
      </c>
      <c r="O1921" t="s">
        <v>718</v>
      </c>
      <c r="P1921" t="s">
        <v>68</v>
      </c>
      <c r="Q1921">
        <v>35.9</v>
      </c>
      <c r="R1921">
        <v>4.2999999999999972</v>
      </c>
      <c r="S1921" t="s">
        <v>130</v>
      </c>
    </row>
    <row r="1922" spans="1:19" x14ac:dyDescent="0.35">
      <c r="A1922">
        <v>21857</v>
      </c>
      <c r="B1922" t="str">
        <f>"021857"</f>
        <v>021857</v>
      </c>
      <c r="C1922" t="s">
        <v>6580</v>
      </c>
      <c r="D1922" t="s">
        <v>3394</v>
      </c>
      <c r="E1922" t="s">
        <v>3395</v>
      </c>
      <c r="F1922" t="s">
        <v>3396</v>
      </c>
      <c r="G1922" t="s">
        <v>212</v>
      </c>
      <c r="H1922" t="s">
        <v>6581</v>
      </c>
      <c r="I1922" t="s">
        <v>6582</v>
      </c>
      <c r="J1922" t="s">
        <v>215</v>
      </c>
      <c r="K1922" t="s">
        <v>55</v>
      </c>
      <c r="L1922" t="s">
        <v>1693</v>
      </c>
      <c r="M1922" t="s">
        <v>57</v>
      </c>
      <c r="N1922" t="str">
        <f>"043752"</f>
        <v>043752</v>
      </c>
      <c r="O1922" t="s">
        <v>440</v>
      </c>
      <c r="P1922" t="s">
        <v>68</v>
      </c>
      <c r="Q1922">
        <v>99.7</v>
      </c>
      <c r="R1922">
        <v>92.1</v>
      </c>
      <c r="S1922" t="s">
        <v>217</v>
      </c>
    </row>
    <row r="1923" spans="1:19" x14ac:dyDescent="0.35">
      <c r="A1923">
        <v>21931</v>
      </c>
      <c r="B1923" t="str">
        <f>"021931"</f>
        <v>021931</v>
      </c>
      <c r="C1923" t="s">
        <v>6583</v>
      </c>
      <c r="D1923" t="s">
        <v>3400</v>
      </c>
      <c r="E1923" t="s">
        <v>3395</v>
      </c>
      <c r="F1923" t="s">
        <v>3396</v>
      </c>
      <c r="G1923" t="s">
        <v>543</v>
      </c>
      <c r="H1923" t="s">
        <v>6584</v>
      </c>
      <c r="I1923" t="s">
        <v>6585</v>
      </c>
      <c r="J1923" t="s">
        <v>687</v>
      </c>
      <c r="K1923" t="s">
        <v>55</v>
      </c>
      <c r="L1923" t="s">
        <v>4925</v>
      </c>
      <c r="M1923" t="s">
        <v>57</v>
      </c>
      <c r="N1923" t="str">
        <f>"048702"</f>
        <v>048702</v>
      </c>
      <c r="O1923" t="s">
        <v>866</v>
      </c>
      <c r="P1923" t="s">
        <v>68</v>
      </c>
      <c r="Q1923">
        <v>60.4</v>
      </c>
      <c r="R1923">
        <v>29.900000000000006</v>
      </c>
      <c r="S1923" t="s">
        <v>180</v>
      </c>
    </row>
    <row r="1924" spans="1:19" x14ac:dyDescent="0.35">
      <c r="A1924">
        <v>21949</v>
      </c>
      <c r="B1924" t="str">
        <f>"021949"</f>
        <v>021949</v>
      </c>
      <c r="C1924" t="s">
        <v>6586</v>
      </c>
      <c r="D1924" t="s">
        <v>3394</v>
      </c>
      <c r="E1924" t="s">
        <v>3395</v>
      </c>
      <c r="F1924" t="s">
        <v>3396</v>
      </c>
      <c r="G1924" t="s">
        <v>212</v>
      </c>
      <c r="H1924" t="s">
        <v>6587</v>
      </c>
      <c r="I1924" t="s">
        <v>6588</v>
      </c>
      <c r="J1924" t="s">
        <v>215</v>
      </c>
      <c r="K1924" t="s">
        <v>55</v>
      </c>
      <c r="L1924" t="s">
        <v>6589</v>
      </c>
      <c r="M1924" t="s">
        <v>57</v>
      </c>
      <c r="N1924" t="str">
        <f>"047340"</f>
        <v>047340</v>
      </c>
      <c r="O1924" t="s">
        <v>2511</v>
      </c>
      <c r="P1924" t="s">
        <v>68</v>
      </c>
      <c r="Q1924">
        <v>15.7</v>
      </c>
      <c r="R1924">
        <v>17.799999999999997</v>
      </c>
      <c r="S1924" t="s">
        <v>217</v>
      </c>
    </row>
    <row r="1925" spans="1:19" x14ac:dyDescent="0.35">
      <c r="A1925">
        <v>21956</v>
      </c>
      <c r="B1925" t="str">
        <f>"021956"</f>
        <v>021956</v>
      </c>
      <c r="C1925" t="s">
        <v>6590</v>
      </c>
      <c r="D1925" t="s">
        <v>3398</v>
      </c>
      <c r="E1925" t="s">
        <v>3395</v>
      </c>
      <c r="F1925" t="s">
        <v>3396</v>
      </c>
      <c r="G1925" t="s">
        <v>212</v>
      </c>
      <c r="H1925" t="s">
        <v>2442</v>
      </c>
      <c r="I1925" t="s">
        <v>2443</v>
      </c>
      <c r="J1925" t="s">
        <v>215</v>
      </c>
      <c r="K1925" t="s">
        <v>55</v>
      </c>
      <c r="L1925" t="s">
        <v>216</v>
      </c>
      <c r="M1925" t="s">
        <v>57</v>
      </c>
      <c r="N1925" t="str">
        <f>"044289"</f>
        <v>044289</v>
      </c>
      <c r="O1925" t="s">
        <v>2441</v>
      </c>
      <c r="P1925" t="s">
        <v>68</v>
      </c>
      <c r="Q1925">
        <v>7.4</v>
      </c>
      <c r="R1925">
        <v>12.400000000000006</v>
      </c>
      <c r="S1925" t="s">
        <v>217</v>
      </c>
    </row>
    <row r="1926" spans="1:19" x14ac:dyDescent="0.35">
      <c r="A1926">
        <v>22038</v>
      </c>
      <c r="B1926" t="str">
        <f>"022038"</f>
        <v>022038</v>
      </c>
      <c r="C1926" t="s">
        <v>6591</v>
      </c>
      <c r="D1926" t="s">
        <v>3400</v>
      </c>
      <c r="E1926" t="s">
        <v>3395</v>
      </c>
      <c r="F1926" t="s">
        <v>3396</v>
      </c>
      <c r="G1926" t="s">
        <v>481</v>
      </c>
      <c r="H1926" t="s">
        <v>6592</v>
      </c>
      <c r="I1926" t="s">
        <v>6593</v>
      </c>
      <c r="J1926" t="s">
        <v>657</v>
      </c>
      <c r="K1926" t="s">
        <v>55</v>
      </c>
      <c r="L1926" t="s">
        <v>658</v>
      </c>
      <c r="M1926" t="s">
        <v>57</v>
      </c>
      <c r="N1926" t="str">
        <f>"047886"</f>
        <v>047886</v>
      </c>
      <c r="O1926" t="s">
        <v>654</v>
      </c>
      <c r="P1926" t="s">
        <v>68</v>
      </c>
      <c r="Q1926">
        <v>36.4</v>
      </c>
      <c r="R1926">
        <v>14.599999999999994</v>
      </c>
      <c r="S1926" t="s">
        <v>69</v>
      </c>
    </row>
    <row r="1927" spans="1:19" x14ac:dyDescent="0.35">
      <c r="A1927">
        <v>22046</v>
      </c>
      <c r="B1927" t="str">
        <f>"022046"</f>
        <v>022046</v>
      </c>
      <c r="C1927" t="s">
        <v>6594</v>
      </c>
      <c r="D1927" t="s">
        <v>3394</v>
      </c>
      <c r="E1927" t="s">
        <v>3395</v>
      </c>
      <c r="F1927" t="s">
        <v>3396</v>
      </c>
      <c r="G1927" t="s">
        <v>600</v>
      </c>
      <c r="H1927" t="s">
        <v>6595</v>
      </c>
      <c r="I1927" t="s">
        <v>6596</v>
      </c>
      <c r="J1927" t="s">
        <v>1348</v>
      </c>
      <c r="K1927" t="s">
        <v>55</v>
      </c>
      <c r="L1927" t="s">
        <v>3568</v>
      </c>
      <c r="M1927" t="s">
        <v>57</v>
      </c>
      <c r="N1927" t="str">
        <f>"046979"</f>
        <v>046979</v>
      </c>
      <c r="O1927" t="s">
        <v>1587</v>
      </c>
      <c r="P1927" t="s">
        <v>68</v>
      </c>
      <c r="Q1927">
        <v>78.3</v>
      </c>
      <c r="R1927">
        <v>82.3</v>
      </c>
      <c r="S1927" t="s">
        <v>60</v>
      </c>
    </row>
    <row r="1928" spans="1:19" x14ac:dyDescent="0.35">
      <c r="A1928">
        <v>22053</v>
      </c>
      <c r="B1928" t="str">
        <f>"022053"</f>
        <v>022053</v>
      </c>
      <c r="C1928" t="s">
        <v>6597</v>
      </c>
      <c r="D1928" t="s">
        <v>3394</v>
      </c>
      <c r="E1928" t="s">
        <v>3395</v>
      </c>
      <c r="F1928" t="s">
        <v>3396</v>
      </c>
      <c r="G1928" t="s">
        <v>110</v>
      </c>
      <c r="H1928" t="s">
        <v>6598</v>
      </c>
      <c r="I1928" t="s">
        <v>6599</v>
      </c>
      <c r="J1928" t="s">
        <v>671</v>
      </c>
      <c r="K1928" t="s">
        <v>55</v>
      </c>
      <c r="L1928" t="s">
        <v>672</v>
      </c>
      <c r="M1928" t="s">
        <v>57</v>
      </c>
      <c r="N1928" t="str">
        <f>"048017"</f>
        <v>048017</v>
      </c>
      <c r="O1928" t="s">
        <v>2406</v>
      </c>
      <c r="P1928" t="s">
        <v>68</v>
      </c>
      <c r="Q1928">
        <v>32.799999999999997</v>
      </c>
      <c r="R1928">
        <v>5.7999999999999972</v>
      </c>
      <c r="S1928" t="s">
        <v>60</v>
      </c>
    </row>
    <row r="1929" spans="1:19" x14ac:dyDescent="0.35">
      <c r="A1929">
        <v>22061</v>
      </c>
      <c r="B1929" t="str">
        <f>"022061"</f>
        <v>022061</v>
      </c>
      <c r="C1929" t="s">
        <v>6600</v>
      </c>
      <c r="D1929" t="s">
        <v>3400</v>
      </c>
      <c r="E1929" t="s">
        <v>3395</v>
      </c>
      <c r="F1929" t="s">
        <v>3396</v>
      </c>
      <c r="G1929" t="s">
        <v>244</v>
      </c>
      <c r="H1929" t="s">
        <v>6601</v>
      </c>
      <c r="I1929" t="s">
        <v>6602</v>
      </c>
      <c r="J1929" t="s">
        <v>1179</v>
      </c>
      <c r="K1929" t="s">
        <v>55</v>
      </c>
      <c r="L1929" t="s">
        <v>1180</v>
      </c>
      <c r="M1929" t="s">
        <v>57</v>
      </c>
      <c r="N1929" t="str">
        <f>"046128"</f>
        <v>046128</v>
      </c>
      <c r="O1929" t="s">
        <v>1934</v>
      </c>
      <c r="P1929" t="s">
        <v>68</v>
      </c>
      <c r="Q1929">
        <v>38.4</v>
      </c>
      <c r="R1929">
        <v>6.2000000000000028</v>
      </c>
      <c r="S1929" t="s">
        <v>217</v>
      </c>
    </row>
    <row r="1930" spans="1:19" x14ac:dyDescent="0.35">
      <c r="A1930">
        <v>22087</v>
      </c>
      <c r="B1930" t="str">
        <f>"022087"</f>
        <v>022087</v>
      </c>
      <c r="C1930" t="s">
        <v>6603</v>
      </c>
      <c r="D1930" t="s">
        <v>3398</v>
      </c>
      <c r="E1930" t="s">
        <v>3395</v>
      </c>
      <c r="F1930" t="s">
        <v>3396</v>
      </c>
      <c r="G1930" t="s">
        <v>244</v>
      </c>
      <c r="H1930" t="s">
        <v>6601</v>
      </c>
      <c r="I1930" t="s">
        <v>6602</v>
      </c>
      <c r="J1930" t="s">
        <v>1179</v>
      </c>
      <c r="K1930" t="s">
        <v>55</v>
      </c>
      <c r="L1930" t="s">
        <v>1180</v>
      </c>
      <c r="M1930" t="s">
        <v>57</v>
      </c>
      <c r="N1930" t="str">
        <f>"046128"</f>
        <v>046128</v>
      </c>
      <c r="O1930" t="s">
        <v>1934</v>
      </c>
      <c r="P1930" t="s">
        <v>68</v>
      </c>
      <c r="Q1930">
        <v>27.2</v>
      </c>
      <c r="R1930">
        <v>5</v>
      </c>
      <c r="S1930" t="s">
        <v>217</v>
      </c>
    </row>
    <row r="1931" spans="1:19" x14ac:dyDescent="0.35">
      <c r="A1931">
        <v>22095</v>
      </c>
      <c r="B1931" t="str">
        <f>"022095"</f>
        <v>022095</v>
      </c>
      <c r="C1931" t="s">
        <v>6604</v>
      </c>
      <c r="D1931" t="s">
        <v>3394</v>
      </c>
      <c r="E1931" t="s">
        <v>3395</v>
      </c>
      <c r="F1931" t="s">
        <v>3396</v>
      </c>
      <c r="G1931" t="s">
        <v>1679</v>
      </c>
      <c r="H1931" t="s">
        <v>6605</v>
      </c>
      <c r="I1931" t="s">
        <v>6606</v>
      </c>
      <c r="J1931" t="s">
        <v>2968</v>
      </c>
      <c r="K1931" t="s">
        <v>55</v>
      </c>
      <c r="L1931" t="s">
        <v>2969</v>
      </c>
      <c r="M1931" t="s">
        <v>57</v>
      </c>
      <c r="N1931" t="str">
        <f>"069682"</f>
        <v>069682</v>
      </c>
      <c r="O1931" t="s">
        <v>2965</v>
      </c>
      <c r="P1931" t="s">
        <v>68</v>
      </c>
      <c r="Q1931">
        <v>53.7</v>
      </c>
      <c r="R1931">
        <v>3.4000000000000057</v>
      </c>
      <c r="S1931" t="s">
        <v>130</v>
      </c>
    </row>
    <row r="1932" spans="1:19" x14ac:dyDescent="0.35">
      <c r="A1932">
        <v>22103</v>
      </c>
      <c r="B1932" t="str">
        <f>"022103"</f>
        <v>022103</v>
      </c>
      <c r="C1932" t="s">
        <v>6591</v>
      </c>
      <c r="D1932" t="s">
        <v>3400</v>
      </c>
      <c r="E1932" t="s">
        <v>3395</v>
      </c>
      <c r="F1932" t="s">
        <v>3396</v>
      </c>
      <c r="G1932" t="s">
        <v>663</v>
      </c>
      <c r="H1932" t="s">
        <v>6607</v>
      </c>
      <c r="I1932" t="s">
        <v>6608</v>
      </c>
      <c r="J1932" t="s">
        <v>666</v>
      </c>
      <c r="K1932" t="s">
        <v>55</v>
      </c>
      <c r="L1932" t="s">
        <v>1994</v>
      </c>
      <c r="M1932" t="s">
        <v>57</v>
      </c>
      <c r="N1932" t="str">
        <f>"049452"</f>
        <v>049452</v>
      </c>
      <c r="O1932" t="s">
        <v>1934</v>
      </c>
      <c r="P1932" t="s">
        <v>68</v>
      </c>
      <c r="Q1932">
        <v>58.5</v>
      </c>
      <c r="R1932">
        <v>17.5</v>
      </c>
      <c r="S1932" t="s">
        <v>77</v>
      </c>
    </row>
    <row r="1933" spans="1:19" x14ac:dyDescent="0.35">
      <c r="A1933">
        <v>22111</v>
      </c>
      <c r="B1933" t="str">
        <f>"022111"</f>
        <v>022111</v>
      </c>
      <c r="C1933" t="s">
        <v>6603</v>
      </c>
      <c r="D1933" t="s">
        <v>3398</v>
      </c>
      <c r="E1933" t="s">
        <v>3395</v>
      </c>
      <c r="F1933" t="s">
        <v>3396</v>
      </c>
      <c r="G1933" t="s">
        <v>481</v>
      </c>
      <c r="H1933" t="s">
        <v>6609</v>
      </c>
      <c r="I1933" t="s">
        <v>6610</v>
      </c>
      <c r="J1933" t="s">
        <v>657</v>
      </c>
      <c r="K1933" t="s">
        <v>55</v>
      </c>
      <c r="L1933" t="s">
        <v>658</v>
      </c>
      <c r="M1933" t="s">
        <v>57</v>
      </c>
      <c r="N1933" t="str">
        <f>"047886"</f>
        <v>047886</v>
      </c>
      <c r="O1933" t="s">
        <v>654</v>
      </c>
      <c r="P1933" t="s">
        <v>68</v>
      </c>
      <c r="Q1933">
        <v>32.4</v>
      </c>
      <c r="R1933">
        <v>12.299999999999997</v>
      </c>
      <c r="S1933" t="s">
        <v>69</v>
      </c>
    </row>
    <row r="1934" spans="1:19" x14ac:dyDescent="0.35">
      <c r="A1934">
        <v>22152</v>
      </c>
      <c r="B1934" t="str">
        <f>"022152"</f>
        <v>022152</v>
      </c>
      <c r="C1934" t="s">
        <v>6611</v>
      </c>
      <c r="D1934" t="s">
        <v>3394</v>
      </c>
      <c r="E1934" t="s">
        <v>3395</v>
      </c>
      <c r="F1934" t="s">
        <v>3396</v>
      </c>
      <c r="G1934" t="s">
        <v>663</v>
      </c>
      <c r="H1934" t="s">
        <v>6612</v>
      </c>
      <c r="I1934" t="s">
        <v>6613</v>
      </c>
      <c r="J1934" t="s">
        <v>666</v>
      </c>
      <c r="K1934" t="s">
        <v>55</v>
      </c>
      <c r="L1934" t="s">
        <v>667</v>
      </c>
      <c r="M1934" t="s">
        <v>57</v>
      </c>
      <c r="N1934" t="str">
        <f>"049452"</f>
        <v>049452</v>
      </c>
      <c r="O1934" t="s">
        <v>1934</v>
      </c>
      <c r="P1934" t="s">
        <v>68</v>
      </c>
      <c r="Q1934">
        <v>72.599999999999994</v>
      </c>
      <c r="R1934">
        <v>20.5</v>
      </c>
      <c r="S1934" t="s">
        <v>77</v>
      </c>
    </row>
    <row r="1935" spans="1:19" x14ac:dyDescent="0.35">
      <c r="A1935">
        <v>22160</v>
      </c>
      <c r="B1935" t="str">
        <f>"022160"</f>
        <v>022160</v>
      </c>
      <c r="C1935" t="s">
        <v>6614</v>
      </c>
      <c r="D1935" t="s">
        <v>3398</v>
      </c>
      <c r="E1935" t="s">
        <v>3395</v>
      </c>
      <c r="F1935" t="s">
        <v>3396</v>
      </c>
      <c r="G1935" t="s">
        <v>657</v>
      </c>
      <c r="H1935" t="s">
        <v>6615</v>
      </c>
      <c r="I1935" t="s">
        <v>6616</v>
      </c>
      <c r="J1935" t="s">
        <v>1432</v>
      </c>
      <c r="K1935" t="s">
        <v>55</v>
      </c>
      <c r="L1935" t="s">
        <v>1433</v>
      </c>
      <c r="M1935" t="s">
        <v>57</v>
      </c>
      <c r="N1935" t="str">
        <f>"048272"</f>
        <v>048272</v>
      </c>
      <c r="O1935" t="s">
        <v>1727</v>
      </c>
      <c r="P1935" t="s">
        <v>68</v>
      </c>
      <c r="Q1935">
        <v>30.4</v>
      </c>
      <c r="R1935">
        <v>7.7000000000000028</v>
      </c>
      <c r="S1935" t="s">
        <v>60</v>
      </c>
    </row>
    <row r="1936" spans="1:19" x14ac:dyDescent="0.35">
      <c r="A1936">
        <v>22178</v>
      </c>
      <c r="B1936" t="str">
        <f>"022178"</f>
        <v>022178</v>
      </c>
      <c r="C1936" t="s">
        <v>6603</v>
      </c>
      <c r="D1936" t="s">
        <v>3398</v>
      </c>
      <c r="E1936" t="s">
        <v>3395</v>
      </c>
      <c r="F1936" t="s">
        <v>3396</v>
      </c>
      <c r="G1936" t="s">
        <v>663</v>
      </c>
      <c r="H1936" t="s">
        <v>6617</v>
      </c>
      <c r="I1936" t="s">
        <v>6618</v>
      </c>
      <c r="J1936" t="s">
        <v>666</v>
      </c>
      <c r="K1936" t="s">
        <v>55</v>
      </c>
      <c r="L1936" t="s">
        <v>1994</v>
      </c>
      <c r="M1936" t="s">
        <v>57</v>
      </c>
      <c r="N1936" t="str">
        <f>"049452"</f>
        <v>049452</v>
      </c>
      <c r="O1936" t="s">
        <v>1934</v>
      </c>
      <c r="P1936" t="s">
        <v>68</v>
      </c>
      <c r="Q1936">
        <v>47</v>
      </c>
      <c r="R1936">
        <v>15.200000000000003</v>
      </c>
      <c r="S1936" t="s">
        <v>77</v>
      </c>
    </row>
    <row r="1937" spans="1:19" x14ac:dyDescent="0.35">
      <c r="A1937">
        <v>22186</v>
      </c>
      <c r="B1937" t="str">
        <f>"022186"</f>
        <v>022186</v>
      </c>
      <c r="C1937" t="s">
        <v>6619</v>
      </c>
      <c r="D1937" t="s">
        <v>3398</v>
      </c>
      <c r="E1937" t="s">
        <v>3395</v>
      </c>
      <c r="F1937" t="s">
        <v>3396</v>
      </c>
      <c r="G1937" t="s">
        <v>543</v>
      </c>
      <c r="H1937" t="s">
        <v>6620</v>
      </c>
      <c r="I1937" t="s">
        <v>6621</v>
      </c>
      <c r="J1937" t="s">
        <v>546</v>
      </c>
      <c r="K1937" t="s">
        <v>55</v>
      </c>
      <c r="L1937" t="s">
        <v>547</v>
      </c>
      <c r="M1937" t="s">
        <v>57</v>
      </c>
      <c r="N1937" t="str">
        <f>"048694"</f>
        <v>048694</v>
      </c>
      <c r="O1937" t="s">
        <v>542</v>
      </c>
      <c r="P1937" t="s">
        <v>68</v>
      </c>
      <c r="Q1937">
        <v>85.2</v>
      </c>
      <c r="R1937">
        <v>93.4</v>
      </c>
      <c r="S1937" t="s">
        <v>180</v>
      </c>
    </row>
    <row r="1938" spans="1:19" x14ac:dyDescent="0.35">
      <c r="A1938">
        <v>22244</v>
      </c>
      <c r="B1938" t="str">
        <f>"022244"</f>
        <v>022244</v>
      </c>
      <c r="C1938" t="s">
        <v>6622</v>
      </c>
      <c r="D1938" t="s">
        <v>3400</v>
      </c>
      <c r="E1938" t="s">
        <v>3395</v>
      </c>
      <c r="F1938" t="s">
        <v>3396</v>
      </c>
      <c r="G1938" t="s">
        <v>143</v>
      </c>
      <c r="H1938" t="s">
        <v>6623</v>
      </c>
      <c r="I1938" t="s">
        <v>6624</v>
      </c>
      <c r="J1938" t="s">
        <v>1969</v>
      </c>
      <c r="K1938" t="s">
        <v>55</v>
      </c>
      <c r="L1938" t="s">
        <v>1970</v>
      </c>
      <c r="M1938" t="s">
        <v>57</v>
      </c>
      <c r="N1938" t="str">
        <f>"045658"</f>
        <v>045658</v>
      </c>
      <c r="O1938" t="s">
        <v>1966</v>
      </c>
      <c r="P1938" t="s">
        <v>68</v>
      </c>
      <c r="Q1938">
        <v>38.700000000000003</v>
      </c>
      <c r="R1938">
        <v>11.400000000000006</v>
      </c>
      <c r="S1938" t="s">
        <v>69</v>
      </c>
    </row>
    <row r="1939" spans="1:19" x14ac:dyDescent="0.35">
      <c r="A1939">
        <v>22251</v>
      </c>
      <c r="B1939" t="str">
        <f>"022251"</f>
        <v>022251</v>
      </c>
      <c r="C1939" t="s">
        <v>6625</v>
      </c>
      <c r="D1939" t="s">
        <v>3394</v>
      </c>
      <c r="E1939" t="s">
        <v>3395</v>
      </c>
      <c r="F1939" t="s">
        <v>3396</v>
      </c>
      <c r="G1939" t="s">
        <v>642</v>
      </c>
      <c r="H1939" t="s">
        <v>6626</v>
      </c>
      <c r="I1939" t="s">
        <v>6627</v>
      </c>
      <c r="J1939" t="s">
        <v>2447</v>
      </c>
      <c r="K1939" t="s">
        <v>55</v>
      </c>
      <c r="L1939" t="s">
        <v>3742</v>
      </c>
      <c r="M1939" t="s">
        <v>57</v>
      </c>
      <c r="N1939" t="str">
        <f>"047241"</f>
        <v>047241</v>
      </c>
      <c r="O1939" t="s">
        <v>2444</v>
      </c>
      <c r="P1939" t="s">
        <v>68</v>
      </c>
      <c r="Q1939">
        <v>16.3</v>
      </c>
      <c r="R1939">
        <v>19.200000000000003</v>
      </c>
      <c r="S1939" t="s">
        <v>180</v>
      </c>
    </row>
    <row r="1940" spans="1:19" x14ac:dyDescent="0.35">
      <c r="A1940">
        <v>22293</v>
      </c>
      <c r="B1940" t="str">
        <f>"022293"</f>
        <v>022293</v>
      </c>
      <c r="C1940" t="s">
        <v>6628</v>
      </c>
      <c r="D1940" t="s">
        <v>3394</v>
      </c>
      <c r="E1940" t="s">
        <v>3395</v>
      </c>
      <c r="F1940" t="s">
        <v>3396</v>
      </c>
      <c r="G1940" t="s">
        <v>600</v>
      </c>
      <c r="H1940" t="s">
        <v>6629</v>
      </c>
      <c r="I1940" t="s">
        <v>6630</v>
      </c>
      <c r="J1940" t="s">
        <v>1348</v>
      </c>
      <c r="K1940" t="s">
        <v>55</v>
      </c>
      <c r="L1940" t="s">
        <v>3736</v>
      </c>
      <c r="M1940" t="s">
        <v>57</v>
      </c>
      <c r="N1940" t="str">
        <f>"043802"</f>
        <v>043802</v>
      </c>
      <c r="O1940" t="s">
        <v>3171</v>
      </c>
      <c r="P1940" t="s">
        <v>68</v>
      </c>
      <c r="Q1940">
        <v>100</v>
      </c>
      <c r="R1940">
        <v>79</v>
      </c>
      <c r="S1940" t="s">
        <v>60</v>
      </c>
    </row>
    <row r="1941" spans="1:19" x14ac:dyDescent="0.35">
      <c r="A1941">
        <v>22301</v>
      </c>
      <c r="B1941" t="str">
        <f>"022301"</f>
        <v>022301</v>
      </c>
      <c r="C1941" t="s">
        <v>6631</v>
      </c>
      <c r="D1941" t="s">
        <v>3400</v>
      </c>
      <c r="E1941" t="s">
        <v>3395</v>
      </c>
      <c r="F1941" t="s">
        <v>3396</v>
      </c>
      <c r="G1941" t="s">
        <v>663</v>
      </c>
      <c r="H1941" t="s">
        <v>3366</v>
      </c>
      <c r="I1941" t="s">
        <v>3367</v>
      </c>
      <c r="J1941" t="s">
        <v>666</v>
      </c>
      <c r="K1941" t="s">
        <v>55</v>
      </c>
      <c r="L1941" t="s">
        <v>1605</v>
      </c>
      <c r="M1941" t="s">
        <v>57</v>
      </c>
      <c r="N1941" t="str">
        <f>"044297"</f>
        <v>044297</v>
      </c>
      <c r="O1941" t="s">
        <v>662</v>
      </c>
      <c r="P1941" t="s">
        <v>68</v>
      </c>
      <c r="Q1941">
        <v>100</v>
      </c>
      <c r="R1941">
        <v>50.6</v>
      </c>
      <c r="S1941" t="s">
        <v>77</v>
      </c>
    </row>
    <row r="1942" spans="1:19" x14ac:dyDescent="0.35">
      <c r="A1942">
        <v>22319</v>
      </c>
      <c r="B1942" t="str">
        <f>"022319"</f>
        <v>022319</v>
      </c>
      <c r="C1942" t="s">
        <v>6632</v>
      </c>
      <c r="D1942" t="s">
        <v>3394</v>
      </c>
      <c r="E1942" t="s">
        <v>3395</v>
      </c>
      <c r="F1942" t="s">
        <v>3396</v>
      </c>
      <c r="G1942" t="s">
        <v>271</v>
      </c>
      <c r="H1942" t="s">
        <v>6633</v>
      </c>
      <c r="I1942" t="s">
        <v>6634</v>
      </c>
      <c r="J1942" t="s">
        <v>1715</v>
      </c>
      <c r="K1942" t="s">
        <v>55</v>
      </c>
      <c r="L1942" t="s">
        <v>1716</v>
      </c>
      <c r="M1942" t="s">
        <v>57</v>
      </c>
      <c r="N1942" t="str">
        <f>"047597"</f>
        <v>047597</v>
      </c>
      <c r="O1942" t="s">
        <v>1712</v>
      </c>
      <c r="P1942" t="s">
        <v>68</v>
      </c>
      <c r="Q1942">
        <v>32.4</v>
      </c>
      <c r="R1942">
        <v>14.200000000000003</v>
      </c>
      <c r="S1942" t="s">
        <v>156</v>
      </c>
    </row>
    <row r="1943" spans="1:19" x14ac:dyDescent="0.35">
      <c r="A1943">
        <v>22350</v>
      </c>
      <c r="B1943" t="str">
        <f>"022350"</f>
        <v>022350</v>
      </c>
      <c r="C1943" t="s">
        <v>6635</v>
      </c>
      <c r="D1943" t="s">
        <v>3394</v>
      </c>
      <c r="E1943" t="s">
        <v>3395</v>
      </c>
      <c r="F1943" t="s">
        <v>3396</v>
      </c>
      <c r="G1943" t="s">
        <v>104</v>
      </c>
      <c r="H1943" t="s">
        <v>2693</v>
      </c>
      <c r="I1943" t="s">
        <v>2694</v>
      </c>
      <c r="J1943" t="s">
        <v>1673</v>
      </c>
      <c r="K1943" t="s">
        <v>55</v>
      </c>
      <c r="L1943" t="s">
        <v>1674</v>
      </c>
      <c r="M1943" t="s">
        <v>57</v>
      </c>
      <c r="N1943" t="str">
        <f>"046177"</f>
        <v>046177</v>
      </c>
      <c r="O1943" t="s">
        <v>2692</v>
      </c>
      <c r="P1943" t="s">
        <v>68</v>
      </c>
      <c r="Q1943">
        <v>51.5</v>
      </c>
      <c r="R1943">
        <v>8</v>
      </c>
      <c r="S1943" t="s">
        <v>77</v>
      </c>
    </row>
    <row r="1944" spans="1:19" x14ac:dyDescent="0.35">
      <c r="A1944">
        <v>22368</v>
      </c>
      <c r="B1944" t="str">
        <f>"022368"</f>
        <v>022368</v>
      </c>
      <c r="C1944" t="s">
        <v>6636</v>
      </c>
      <c r="D1944" t="s">
        <v>3398</v>
      </c>
      <c r="E1944" t="s">
        <v>3395</v>
      </c>
      <c r="F1944" t="s">
        <v>3396</v>
      </c>
      <c r="G1944" t="s">
        <v>104</v>
      </c>
      <c r="H1944" t="s">
        <v>2693</v>
      </c>
      <c r="I1944" t="s">
        <v>2694</v>
      </c>
      <c r="J1944" t="s">
        <v>1673</v>
      </c>
      <c r="K1944" t="s">
        <v>55</v>
      </c>
      <c r="L1944" t="s">
        <v>1674</v>
      </c>
      <c r="M1944" t="s">
        <v>57</v>
      </c>
      <c r="N1944" t="str">
        <f>"046177"</f>
        <v>046177</v>
      </c>
      <c r="O1944" t="s">
        <v>2692</v>
      </c>
      <c r="P1944" t="s">
        <v>68</v>
      </c>
      <c r="Q1944">
        <v>38.799999999999997</v>
      </c>
      <c r="R1944">
        <v>7.2999999999999972</v>
      </c>
      <c r="S1944" t="s">
        <v>77</v>
      </c>
    </row>
    <row r="1945" spans="1:19" x14ac:dyDescent="0.35">
      <c r="A1945">
        <v>22400</v>
      </c>
      <c r="B1945" t="str">
        <f>"022400"</f>
        <v>022400</v>
      </c>
      <c r="C1945" t="s">
        <v>6637</v>
      </c>
      <c r="D1945" t="s">
        <v>3400</v>
      </c>
      <c r="E1945" t="s">
        <v>3395</v>
      </c>
      <c r="F1945" t="s">
        <v>3396</v>
      </c>
      <c r="G1945" t="s">
        <v>264</v>
      </c>
      <c r="H1945" t="s">
        <v>6638</v>
      </c>
      <c r="I1945" t="s">
        <v>6639</v>
      </c>
      <c r="J1945" t="s">
        <v>267</v>
      </c>
      <c r="K1945" t="s">
        <v>55</v>
      </c>
      <c r="L1945" t="s">
        <v>1318</v>
      </c>
      <c r="M1945" t="s">
        <v>57</v>
      </c>
      <c r="N1945" t="str">
        <f>"050005"</f>
        <v>050005</v>
      </c>
      <c r="O1945" t="s">
        <v>1687</v>
      </c>
      <c r="P1945" t="s">
        <v>68</v>
      </c>
      <c r="Q1945">
        <v>28.1</v>
      </c>
      <c r="R1945">
        <v>5</v>
      </c>
      <c r="S1945" t="s">
        <v>77</v>
      </c>
    </row>
    <row r="1946" spans="1:19" x14ac:dyDescent="0.35">
      <c r="A1946">
        <v>22418</v>
      </c>
      <c r="B1946" t="str">
        <f>"022418"</f>
        <v>022418</v>
      </c>
      <c r="C1946" t="s">
        <v>6640</v>
      </c>
      <c r="D1946" t="s">
        <v>3398</v>
      </c>
      <c r="E1946" t="s">
        <v>3395</v>
      </c>
      <c r="F1946" t="s">
        <v>3396</v>
      </c>
      <c r="G1946" t="s">
        <v>264</v>
      </c>
      <c r="H1946" t="s">
        <v>6641</v>
      </c>
      <c r="I1946" t="s">
        <v>6642</v>
      </c>
      <c r="J1946" t="s">
        <v>267</v>
      </c>
      <c r="K1946" t="s">
        <v>55</v>
      </c>
      <c r="L1946" t="s">
        <v>1318</v>
      </c>
      <c r="M1946" t="s">
        <v>57</v>
      </c>
      <c r="N1946" t="str">
        <f>"050005"</f>
        <v>050005</v>
      </c>
      <c r="O1946" t="s">
        <v>1687</v>
      </c>
      <c r="P1946" t="s">
        <v>68</v>
      </c>
      <c r="Q1946">
        <v>21.9</v>
      </c>
      <c r="R1946">
        <v>5.4000000000000057</v>
      </c>
      <c r="S1946" t="s">
        <v>77</v>
      </c>
    </row>
    <row r="1947" spans="1:19" x14ac:dyDescent="0.35">
      <c r="A1947">
        <v>22459</v>
      </c>
      <c r="B1947" t="str">
        <f>"022459"</f>
        <v>022459</v>
      </c>
      <c r="C1947" t="s">
        <v>6643</v>
      </c>
      <c r="D1947" t="s">
        <v>3394</v>
      </c>
      <c r="E1947" t="s">
        <v>3395</v>
      </c>
      <c r="F1947" t="s">
        <v>3396</v>
      </c>
      <c r="G1947" t="s">
        <v>777</v>
      </c>
      <c r="H1947" t="s">
        <v>6644</v>
      </c>
      <c r="I1947" t="s">
        <v>6645</v>
      </c>
      <c r="J1947" t="s">
        <v>780</v>
      </c>
      <c r="K1947" t="s">
        <v>55</v>
      </c>
      <c r="L1947" t="s">
        <v>894</v>
      </c>
      <c r="M1947" t="s">
        <v>57</v>
      </c>
      <c r="N1947" t="str">
        <f>"044818"</f>
        <v>044818</v>
      </c>
      <c r="O1947" t="s">
        <v>2812</v>
      </c>
      <c r="P1947" t="s">
        <v>68</v>
      </c>
      <c r="Q1947">
        <v>100</v>
      </c>
      <c r="R1947">
        <v>47.2</v>
      </c>
      <c r="S1947" t="s">
        <v>180</v>
      </c>
    </row>
    <row r="1948" spans="1:19" x14ac:dyDescent="0.35">
      <c r="A1948">
        <v>22483</v>
      </c>
      <c r="B1948" t="str">
        <f>"022483"</f>
        <v>022483</v>
      </c>
      <c r="C1948" t="s">
        <v>6646</v>
      </c>
      <c r="D1948" t="s">
        <v>3398</v>
      </c>
      <c r="E1948" t="s">
        <v>3395</v>
      </c>
      <c r="F1948" t="s">
        <v>3396</v>
      </c>
      <c r="G1948" t="s">
        <v>663</v>
      </c>
      <c r="H1948" t="s">
        <v>3366</v>
      </c>
      <c r="I1948" t="s">
        <v>3367</v>
      </c>
      <c r="J1948" t="s">
        <v>666</v>
      </c>
      <c r="K1948" t="s">
        <v>55</v>
      </c>
      <c r="L1948" t="s">
        <v>1605</v>
      </c>
      <c r="M1948" t="s">
        <v>57</v>
      </c>
      <c r="N1948" t="str">
        <f>"044297"</f>
        <v>044297</v>
      </c>
      <c r="O1948" t="s">
        <v>662</v>
      </c>
      <c r="P1948" t="s">
        <v>68</v>
      </c>
      <c r="Q1948">
        <v>100</v>
      </c>
      <c r="R1948">
        <v>55.1</v>
      </c>
      <c r="S1948" t="s">
        <v>77</v>
      </c>
    </row>
    <row r="1949" spans="1:19" x14ac:dyDescent="0.35">
      <c r="A1949">
        <v>22525</v>
      </c>
      <c r="B1949" t="str">
        <f>"022525"</f>
        <v>022525</v>
      </c>
      <c r="C1949" t="s">
        <v>6647</v>
      </c>
      <c r="D1949" t="s">
        <v>3394</v>
      </c>
      <c r="E1949" t="s">
        <v>3395</v>
      </c>
      <c r="F1949" t="s">
        <v>3396</v>
      </c>
      <c r="G1949" t="s">
        <v>212</v>
      </c>
      <c r="H1949" t="s">
        <v>6648</v>
      </c>
      <c r="I1949" t="s">
        <v>6649</v>
      </c>
      <c r="J1949" t="s">
        <v>215</v>
      </c>
      <c r="K1949" t="s">
        <v>55</v>
      </c>
      <c r="L1949" t="s">
        <v>2419</v>
      </c>
      <c r="M1949" t="s">
        <v>57</v>
      </c>
      <c r="N1949" t="str">
        <f>"044867"</f>
        <v>044867</v>
      </c>
      <c r="O1949" t="s">
        <v>2415</v>
      </c>
      <c r="P1949" t="s">
        <v>68</v>
      </c>
      <c r="Q1949">
        <v>11.3</v>
      </c>
      <c r="R1949">
        <v>26.599999999999994</v>
      </c>
      <c r="S1949" t="s">
        <v>217</v>
      </c>
    </row>
    <row r="1950" spans="1:19" x14ac:dyDescent="0.35">
      <c r="A1950">
        <v>22533</v>
      </c>
      <c r="B1950" t="str">
        <f>"022533"</f>
        <v>022533</v>
      </c>
      <c r="C1950" t="s">
        <v>6333</v>
      </c>
      <c r="D1950" t="s">
        <v>3394</v>
      </c>
      <c r="E1950" t="s">
        <v>3395</v>
      </c>
      <c r="F1950" t="s">
        <v>3396</v>
      </c>
      <c r="G1950" t="s">
        <v>63</v>
      </c>
      <c r="H1950" t="s">
        <v>6650</v>
      </c>
      <c r="I1950" t="s">
        <v>6651</v>
      </c>
      <c r="J1950" t="s">
        <v>2775</v>
      </c>
      <c r="K1950" t="s">
        <v>55</v>
      </c>
      <c r="L1950" t="s">
        <v>2776</v>
      </c>
      <c r="M1950" t="s">
        <v>57</v>
      </c>
      <c r="N1950" t="str">
        <f>"044529"</f>
        <v>044529</v>
      </c>
      <c r="O1950" t="s">
        <v>2772</v>
      </c>
      <c r="P1950" t="s">
        <v>68</v>
      </c>
      <c r="Q1950">
        <v>45.9</v>
      </c>
      <c r="R1950">
        <v>27</v>
      </c>
      <c r="S1950" t="s">
        <v>69</v>
      </c>
    </row>
    <row r="1951" spans="1:19" x14ac:dyDescent="0.35">
      <c r="A1951">
        <v>22558</v>
      </c>
      <c r="B1951" t="str">
        <f>"022558"</f>
        <v>022558</v>
      </c>
      <c r="C1951" t="s">
        <v>6652</v>
      </c>
      <c r="D1951" t="s">
        <v>3394</v>
      </c>
      <c r="E1951" t="s">
        <v>3395</v>
      </c>
      <c r="F1951" t="s">
        <v>3396</v>
      </c>
      <c r="G1951" t="s">
        <v>295</v>
      </c>
      <c r="H1951" t="s">
        <v>6653</v>
      </c>
      <c r="I1951" t="s">
        <v>6654</v>
      </c>
      <c r="J1951" t="s">
        <v>3007</v>
      </c>
      <c r="K1951" t="s">
        <v>55</v>
      </c>
      <c r="L1951" t="s">
        <v>3008</v>
      </c>
      <c r="M1951" t="s">
        <v>57</v>
      </c>
      <c r="N1951" t="str">
        <f>"045666"</f>
        <v>045666</v>
      </c>
      <c r="O1951" t="s">
        <v>3004</v>
      </c>
      <c r="P1951" t="s">
        <v>68</v>
      </c>
      <c r="Q1951">
        <v>100</v>
      </c>
      <c r="R1951">
        <v>28</v>
      </c>
      <c r="S1951" t="s">
        <v>77</v>
      </c>
    </row>
    <row r="1952" spans="1:19" x14ac:dyDescent="0.35">
      <c r="A1952">
        <v>22566</v>
      </c>
      <c r="B1952" t="str">
        <f>"022566"</f>
        <v>022566</v>
      </c>
      <c r="C1952" t="s">
        <v>6655</v>
      </c>
      <c r="D1952" t="s">
        <v>3398</v>
      </c>
      <c r="E1952" t="s">
        <v>3395</v>
      </c>
      <c r="F1952" t="s">
        <v>3396</v>
      </c>
      <c r="G1952" t="s">
        <v>63</v>
      </c>
      <c r="H1952" t="s">
        <v>6656</v>
      </c>
      <c r="I1952" t="s">
        <v>6657</v>
      </c>
      <c r="J1952" t="s">
        <v>842</v>
      </c>
      <c r="K1952" t="s">
        <v>55</v>
      </c>
      <c r="L1952" t="s">
        <v>843</v>
      </c>
      <c r="M1952" t="s">
        <v>57</v>
      </c>
      <c r="N1952" t="str">
        <f>"044305"</f>
        <v>044305</v>
      </c>
      <c r="O1952" t="s">
        <v>839</v>
      </c>
      <c r="P1952" t="s">
        <v>68</v>
      </c>
      <c r="Q1952">
        <v>99.8</v>
      </c>
      <c r="R1952">
        <v>98.3</v>
      </c>
      <c r="S1952" t="s">
        <v>69</v>
      </c>
    </row>
    <row r="1953" spans="1:19" x14ac:dyDescent="0.35">
      <c r="A1953">
        <v>22574</v>
      </c>
      <c r="B1953" t="str">
        <f>"022574"</f>
        <v>022574</v>
      </c>
      <c r="C1953" t="s">
        <v>6658</v>
      </c>
      <c r="D1953" t="s">
        <v>3394</v>
      </c>
      <c r="E1953" t="s">
        <v>3395</v>
      </c>
      <c r="F1953" t="s">
        <v>3396</v>
      </c>
      <c r="G1953" t="s">
        <v>63</v>
      </c>
      <c r="H1953" t="s">
        <v>6659</v>
      </c>
      <c r="I1953" t="s">
        <v>6660</v>
      </c>
      <c r="J1953" t="s">
        <v>2834</v>
      </c>
      <c r="K1953" t="s">
        <v>55</v>
      </c>
      <c r="L1953" t="s">
        <v>508</v>
      </c>
      <c r="M1953" t="s">
        <v>57</v>
      </c>
      <c r="N1953" t="str">
        <f>"044040"</f>
        <v>044040</v>
      </c>
      <c r="O1953" t="s">
        <v>2831</v>
      </c>
      <c r="P1953" t="s">
        <v>68</v>
      </c>
      <c r="Q1953">
        <v>100</v>
      </c>
      <c r="R1953">
        <v>91.7</v>
      </c>
      <c r="S1953" t="s">
        <v>69</v>
      </c>
    </row>
    <row r="1954" spans="1:19" x14ac:dyDescent="0.35">
      <c r="A1954">
        <v>22632</v>
      </c>
      <c r="B1954" t="str">
        <f>"022632"</f>
        <v>022632</v>
      </c>
      <c r="C1954" t="s">
        <v>6661</v>
      </c>
      <c r="D1954" t="s">
        <v>3394</v>
      </c>
      <c r="E1954" t="s">
        <v>3395</v>
      </c>
      <c r="F1954" t="s">
        <v>3396</v>
      </c>
      <c r="G1954" t="s">
        <v>79</v>
      </c>
      <c r="H1954" t="s">
        <v>6662</v>
      </c>
      <c r="I1954" t="s">
        <v>6663</v>
      </c>
      <c r="J1954" t="s">
        <v>1802</v>
      </c>
      <c r="K1954" t="s">
        <v>55</v>
      </c>
      <c r="L1954" t="s">
        <v>1803</v>
      </c>
      <c r="M1954" t="s">
        <v>57</v>
      </c>
      <c r="N1954" t="str">
        <f>"044560"</f>
        <v>044560</v>
      </c>
      <c r="O1954" t="s">
        <v>1799</v>
      </c>
      <c r="P1954" t="s">
        <v>68</v>
      </c>
      <c r="Q1954">
        <v>50.9</v>
      </c>
      <c r="R1954">
        <v>18.900000000000006</v>
      </c>
      <c r="S1954" t="s">
        <v>69</v>
      </c>
    </row>
    <row r="1955" spans="1:19" x14ac:dyDescent="0.35">
      <c r="A1955">
        <v>22640</v>
      </c>
      <c r="B1955" t="str">
        <f>"022640"</f>
        <v>022640</v>
      </c>
      <c r="C1955" t="s">
        <v>6664</v>
      </c>
      <c r="D1955" t="s">
        <v>3398</v>
      </c>
      <c r="E1955" t="s">
        <v>3395</v>
      </c>
      <c r="F1955" t="s">
        <v>3396</v>
      </c>
      <c r="G1955" t="s">
        <v>855</v>
      </c>
      <c r="H1955" t="s">
        <v>6665</v>
      </c>
      <c r="I1955" t="s">
        <v>6666</v>
      </c>
      <c r="J1955" t="s">
        <v>855</v>
      </c>
      <c r="K1955" t="s">
        <v>55</v>
      </c>
      <c r="L1955" t="s">
        <v>1457</v>
      </c>
      <c r="M1955" t="s">
        <v>57</v>
      </c>
      <c r="N1955" t="str">
        <f>"045831"</f>
        <v>045831</v>
      </c>
      <c r="O1955" t="s">
        <v>1642</v>
      </c>
      <c r="P1955" t="s">
        <v>68</v>
      </c>
      <c r="Q1955">
        <v>29.7</v>
      </c>
      <c r="R1955">
        <v>1.2000000000000028</v>
      </c>
      <c r="S1955" t="s">
        <v>77</v>
      </c>
    </row>
    <row r="1956" spans="1:19" x14ac:dyDescent="0.35">
      <c r="A1956">
        <v>22665</v>
      </c>
      <c r="B1956" t="str">
        <f>"022665"</f>
        <v>022665</v>
      </c>
      <c r="C1956" t="s">
        <v>6667</v>
      </c>
      <c r="D1956" t="s">
        <v>3394</v>
      </c>
      <c r="E1956" t="s">
        <v>3395</v>
      </c>
      <c r="F1956" t="s">
        <v>3396</v>
      </c>
      <c r="G1956" t="s">
        <v>200</v>
      </c>
      <c r="H1956" t="s">
        <v>6668</v>
      </c>
      <c r="I1956" t="s">
        <v>6669</v>
      </c>
      <c r="J1956" t="s">
        <v>203</v>
      </c>
      <c r="K1956" t="s">
        <v>55</v>
      </c>
      <c r="L1956" t="s">
        <v>204</v>
      </c>
      <c r="M1956" t="s">
        <v>57</v>
      </c>
      <c r="N1956" t="str">
        <f>"044875"</f>
        <v>044875</v>
      </c>
      <c r="O1956" t="s">
        <v>521</v>
      </c>
      <c r="P1956" t="s">
        <v>68</v>
      </c>
      <c r="Q1956">
        <v>30.6</v>
      </c>
      <c r="R1956">
        <v>19.5</v>
      </c>
      <c r="S1956" t="s">
        <v>156</v>
      </c>
    </row>
    <row r="1957" spans="1:19" x14ac:dyDescent="0.35">
      <c r="A1957">
        <v>22681</v>
      </c>
      <c r="B1957" t="str">
        <f>"022681"</f>
        <v>022681</v>
      </c>
      <c r="C1957" t="s">
        <v>6670</v>
      </c>
      <c r="D1957" t="s">
        <v>3398</v>
      </c>
      <c r="E1957" t="s">
        <v>3395</v>
      </c>
      <c r="F1957" t="s">
        <v>3396</v>
      </c>
      <c r="G1957" t="s">
        <v>169</v>
      </c>
      <c r="H1957" t="s">
        <v>728</v>
      </c>
      <c r="I1957" t="s">
        <v>729</v>
      </c>
      <c r="J1957" t="s">
        <v>730</v>
      </c>
      <c r="K1957" t="s">
        <v>55</v>
      </c>
      <c r="L1957" t="s">
        <v>731</v>
      </c>
      <c r="M1957" t="s">
        <v>57</v>
      </c>
      <c r="N1957" t="str">
        <f>"050211"</f>
        <v>050211</v>
      </c>
      <c r="O1957" t="s">
        <v>727</v>
      </c>
      <c r="P1957" t="s">
        <v>68</v>
      </c>
      <c r="Q1957">
        <v>33.1</v>
      </c>
      <c r="R1957">
        <v>2.5999999999999943</v>
      </c>
      <c r="S1957" t="s">
        <v>77</v>
      </c>
    </row>
    <row r="1958" spans="1:19" x14ac:dyDescent="0.35">
      <c r="A1958">
        <v>22699</v>
      </c>
      <c r="B1958" t="str">
        <f>"022699"</f>
        <v>022699</v>
      </c>
      <c r="C1958" t="s">
        <v>6667</v>
      </c>
      <c r="D1958" t="s">
        <v>3394</v>
      </c>
      <c r="E1958" t="s">
        <v>3395</v>
      </c>
      <c r="F1958" t="s">
        <v>3396</v>
      </c>
      <c r="G1958" t="s">
        <v>169</v>
      </c>
      <c r="H1958" t="s">
        <v>6671</v>
      </c>
      <c r="I1958" t="s">
        <v>6672</v>
      </c>
      <c r="J1958" t="s">
        <v>730</v>
      </c>
      <c r="K1958" t="s">
        <v>55</v>
      </c>
      <c r="L1958" t="s">
        <v>731</v>
      </c>
      <c r="M1958" t="s">
        <v>57</v>
      </c>
      <c r="N1958" t="str">
        <f>"050211"</f>
        <v>050211</v>
      </c>
      <c r="O1958" t="s">
        <v>727</v>
      </c>
      <c r="P1958" t="s">
        <v>68</v>
      </c>
      <c r="Q1958">
        <v>35.799999999999997</v>
      </c>
      <c r="R1958">
        <v>3.2999999999999972</v>
      </c>
      <c r="S1958" t="s">
        <v>77</v>
      </c>
    </row>
    <row r="1959" spans="1:19" x14ac:dyDescent="0.35">
      <c r="A1959">
        <v>22764</v>
      </c>
      <c r="B1959" t="str">
        <f>"022764"</f>
        <v>022764</v>
      </c>
      <c r="C1959" t="s">
        <v>6673</v>
      </c>
      <c r="D1959" t="s">
        <v>3398</v>
      </c>
      <c r="E1959" t="s">
        <v>3395</v>
      </c>
      <c r="F1959" t="s">
        <v>3396</v>
      </c>
      <c r="G1959" t="s">
        <v>759</v>
      </c>
      <c r="H1959" t="s">
        <v>6674</v>
      </c>
      <c r="I1959" t="s">
        <v>6675</v>
      </c>
      <c r="J1959" t="s">
        <v>3363</v>
      </c>
      <c r="K1959" t="s">
        <v>55</v>
      </c>
      <c r="L1959" t="s">
        <v>3364</v>
      </c>
      <c r="M1959" t="s">
        <v>57</v>
      </c>
      <c r="N1959" t="str">
        <f>"046805"</f>
        <v>046805</v>
      </c>
      <c r="O1959" t="s">
        <v>3360</v>
      </c>
      <c r="P1959" t="s">
        <v>68</v>
      </c>
      <c r="Q1959">
        <v>31</v>
      </c>
      <c r="R1959">
        <v>8.9000000000000057</v>
      </c>
      <c r="S1959" t="s">
        <v>69</v>
      </c>
    </row>
    <row r="1960" spans="1:19" x14ac:dyDescent="0.35">
      <c r="A1960">
        <v>22772</v>
      </c>
      <c r="B1960" t="str">
        <f>"022772"</f>
        <v>022772</v>
      </c>
      <c r="C1960" t="s">
        <v>6676</v>
      </c>
      <c r="D1960" t="s">
        <v>3398</v>
      </c>
      <c r="E1960" t="s">
        <v>3395</v>
      </c>
      <c r="F1960" t="s">
        <v>3396</v>
      </c>
      <c r="G1960" t="s">
        <v>212</v>
      </c>
      <c r="H1960" t="s">
        <v>6677</v>
      </c>
      <c r="I1960" t="s">
        <v>6678</v>
      </c>
      <c r="J1960" t="s">
        <v>215</v>
      </c>
      <c r="K1960" t="s">
        <v>55</v>
      </c>
      <c r="L1960" t="s">
        <v>1693</v>
      </c>
      <c r="M1960" t="s">
        <v>57</v>
      </c>
      <c r="N1960" t="str">
        <f>"044313"</f>
        <v>044313</v>
      </c>
      <c r="O1960" t="s">
        <v>1690</v>
      </c>
      <c r="P1960" t="s">
        <v>68</v>
      </c>
      <c r="Q1960">
        <v>5.9</v>
      </c>
      <c r="R1960">
        <v>10.700000000000003</v>
      </c>
      <c r="S1960" t="s">
        <v>217</v>
      </c>
    </row>
    <row r="1961" spans="1:19" x14ac:dyDescent="0.35">
      <c r="A1961">
        <v>22798</v>
      </c>
      <c r="B1961" t="str">
        <f>"022798"</f>
        <v>022798</v>
      </c>
      <c r="C1961" t="s">
        <v>6679</v>
      </c>
      <c r="D1961" t="s">
        <v>3398</v>
      </c>
      <c r="E1961" t="s">
        <v>3395</v>
      </c>
      <c r="F1961" t="s">
        <v>3396</v>
      </c>
      <c r="G1961" t="s">
        <v>124</v>
      </c>
      <c r="H1961" t="s">
        <v>6680</v>
      </c>
      <c r="I1961" t="s">
        <v>6681</v>
      </c>
      <c r="J1961" t="s">
        <v>586</v>
      </c>
      <c r="K1961" t="s">
        <v>55</v>
      </c>
      <c r="L1961" t="s">
        <v>587</v>
      </c>
      <c r="M1961" t="s">
        <v>57</v>
      </c>
      <c r="N1961" t="str">
        <f>"044321"</f>
        <v>044321</v>
      </c>
      <c r="O1961" t="s">
        <v>583</v>
      </c>
      <c r="P1961" t="s">
        <v>68</v>
      </c>
      <c r="Q1961">
        <v>47.7</v>
      </c>
      <c r="R1961">
        <v>9.5999999999999943</v>
      </c>
      <c r="S1961" t="s">
        <v>130</v>
      </c>
    </row>
    <row r="1962" spans="1:19" x14ac:dyDescent="0.35">
      <c r="A1962">
        <v>22822</v>
      </c>
      <c r="B1962" t="str">
        <f>"022822"</f>
        <v>022822</v>
      </c>
      <c r="C1962" t="s">
        <v>6682</v>
      </c>
      <c r="D1962" t="s">
        <v>3394</v>
      </c>
      <c r="E1962" t="s">
        <v>3395</v>
      </c>
      <c r="F1962" t="s">
        <v>3396</v>
      </c>
      <c r="G1962" t="s">
        <v>423</v>
      </c>
      <c r="H1962" t="s">
        <v>1655</v>
      </c>
      <c r="I1962" t="s">
        <v>1656</v>
      </c>
      <c r="J1962" t="s">
        <v>1657</v>
      </c>
      <c r="K1962" t="s">
        <v>55</v>
      </c>
      <c r="L1962" t="s">
        <v>1658</v>
      </c>
      <c r="M1962" t="s">
        <v>57</v>
      </c>
      <c r="N1962" t="str">
        <f>"048553"</f>
        <v>048553</v>
      </c>
      <c r="O1962" t="s">
        <v>1654</v>
      </c>
      <c r="P1962" t="s">
        <v>68</v>
      </c>
      <c r="Q1962">
        <v>3.2</v>
      </c>
      <c r="R1962">
        <v>2.4000000000000057</v>
      </c>
      <c r="S1962" t="s">
        <v>156</v>
      </c>
    </row>
    <row r="1963" spans="1:19" x14ac:dyDescent="0.35">
      <c r="A1963">
        <v>22855</v>
      </c>
      <c r="B1963" t="str">
        <f>"022855"</f>
        <v>022855</v>
      </c>
      <c r="C1963" t="s">
        <v>6683</v>
      </c>
      <c r="D1963" t="s">
        <v>3398</v>
      </c>
      <c r="E1963" t="s">
        <v>3395</v>
      </c>
      <c r="F1963" t="s">
        <v>3396</v>
      </c>
      <c r="G1963" t="s">
        <v>600</v>
      </c>
      <c r="H1963" t="s">
        <v>6684</v>
      </c>
      <c r="I1963" t="s">
        <v>6685</v>
      </c>
      <c r="J1963" t="s">
        <v>1348</v>
      </c>
      <c r="K1963" t="s">
        <v>55</v>
      </c>
      <c r="L1963" t="s">
        <v>2733</v>
      </c>
      <c r="M1963" t="s">
        <v>57</v>
      </c>
      <c r="N1963" t="str">
        <f>"043802"</f>
        <v>043802</v>
      </c>
      <c r="O1963" t="s">
        <v>3171</v>
      </c>
      <c r="P1963" t="s">
        <v>68</v>
      </c>
      <c r="Q1963">
        <v>100</v>
      </c>
      <c r="R1963">
        <v>72.900000000000006</v>
      </c>
      <c r="S1963" t="s">
        <v>60</v>
      </c>
    </row>
    <row r="1964" spans="1:19" x14ac:dyDescent="0.35">
      <c r="A1964">
        <v>22863</v>
      </c>
      <c r="B1964" t="str">
        <f>"022863"</f>
        <v>022863</v>
      </c>
      <c r="C1964" t="s">
        <v>6686</v>
      </c>
      <c r="D1964" t="s">
        <v>3398</v>
      </c>
      <c r="E1964" t="s">
        <v>3395</v>
      </c>
      <c r="F1964" t="s">
        <v>3396</v>
      </c>
      <c r="G1964" t="s">
        <v>423</v>
      </c>
      <c r="H1964" t="s">
        <v>6687</v>
      </c>
      <c r="I1964" t="s">
        <v>6688</v>
      </c>
      <c r="J1964" t="s">
        <v>1657</v>
      </c>
      <c r="K1964" t="s">
        <v>55</v>
      </c>
      <c r="L1964" t="s">
        <v>1658</v>
      </c>
      <c r="M1964" t="s">
        <v>57</v>
      </c>
      <c r="N1964" t="str">
        <f>"048553"</f>
        <v>048553</v>
      </c>
      <c r="O1964" t="s">
        <v>1654</v>
      </c>
      <c r="P1964" t="s">
        <v>68</v>
      </c>
      <c r="Q1964">
        <v>0</v>
      </c>
      <c r="R1964">
        <v>2</v>
      </c>
      <c r="S1964" t="s">
        <v>156</v>
      </c>
    </row>
    <row r="1965" spans="1:19" x14ac:dyDescent="0.35">
      <c r="A1965">
        <v>22871</v>
      </c>
      <c r="B1965" t="str">
        <f>"022871"</f>
        <v>022871</v>
      </c>
      <c r="C1965" t="s">
        <v>6689</v>
      </c>
      <c r="D1965" t="s">
        <v>3398</v>
      </c>
      <c r="E1965" t="s">
        <v>3395</v>
      </c>
      <c r="F1965" t="s">
        <v>3396</v>
      </c>
      <c r="G1965" t="s">
        <v>143</v>
      </c>
      <c r="H1965" t="s">
        <v>6690</v>
      </c>
      <c r="I1965" t="s">
        <v>6691</v>
      </c>
      <c r="J1965" t="s">
        <v>1004</v>
      </c>
      <c r="K1965" t="s">
        <v>55</v>
      </c>
      <c r="L1965" t="s">
        <v>1005</v>
      </c>
      <c r="M1965" t="s">
        <v>57</v>
      </c>
      <c r="N1965" t="str">
        <f>"045195"</f>
        <v>045195</v>
      </c>
      <c r="O1965" t="s">
        <v>1001</v>
      </c>
      <c r="P1965" t="s">
        <v>68</v>
      </c>
      <c r="Q1965">
        <v>19.3</v>
      </c>
      <c r="R1965">
        <v>22.900000000000006</v>
      </c>
      <c r="S1965" t="s">
        <v>69</v>
      </c>
    </row>
    <row r="1966" spans="1:19" x14ac:dyDescent="0.35">
      <c r="A1966">
        <v>22905</v>
      </c>
      <c r="B1966" t="str">
        <f>"022905"</f>
        <v>022905</v>
      </c>
      <c r="C1966" t="s">
        <v>6692</v>
      </c>
      <c r="D1966" t="s">
        <v>3394</v>
      </c>
      <c r="E1966" t="s">
        <v>3395</v>
      </c>
      <c r="F1966" t="s">
        <v>3396</v>
      </c>
      <c r="G1966" t="s">
        <v>543</v>
      </c>
      <c r="H1966" t="s">
        <v>6693</v>
      </c>
      <c r="I1966" t="s">
        <v>6694</v>
      </c>
      <c r="J1966" t="s">
        <v>790</v>
      </c>
      <c r="K1966" t="s">
        <v>55</v>
      </c>
      <c r="L1966" t="s">
        <v>791</v>
      </c>
      <c r="M1966" t="s">
        <v>57</v>
      </c>
      <c r="N1966" t="str">
        <f>"044396"</f>
        <v>044396</v>
      </c>
      <c r="O1966" t="s">
        <v>787</v>
      </c>
      <c r="P1966" t="s">
        <v>68</v>
      </c>
      <c r="Q1966">
        <v>41.2</v>
      </c>
      <c r="R1966">
        <v>18.299999999999997</v>
      </c>
      <c r="S1966" t="s">
        <v>180</v>
      </c>
    </row>
    <row r="1967" spans="1:19" x14ac:dyDescent="0.35">
      <c r="A1967">
        <v>22947</v>
      </c>
      <c r="B1967" t="str">
        <f>"022947"</f>
        <v>022947</v>
      </c>
      <c r="C1967" t="s">
        <v>6695</v>
      </c>
      <c r="D1967" t="s">
        <v>3398</v>
      </c>
      <c r="E1967" t="s">
        <v>3395</v>
      </c>
      <c r="F1967" t="s">
        <v>3396</v>
      </c>
      <c r="G1967" t="s">
        <v>117</v>
      </c>
      <c r="H1967" t="s">
        <v>6696</v>
      </c>
      <c r="I1967" t="s">
        <v>6697</v>
      </c>
      <c r="J1967" t="s">
        <v>120</v>
      </c>
      <c r="K1967" t="s">
        <v>55</v>
      </c>
      <c r="L1967" t="s">
        <v>121</v>
      </c>
      <c r="M1967" t="s">
        <v>57</v>
      </c>
      <c r="N1967" t="str">
        <f>"049882"</f>
        <v>049882</v>
      </c>
      <c r="O1967" t="s">
        <v>116</v>
      </c>
      <c r="P1967" t="s">
        <v>68</v>
      </c>
      <c r="Q1967">
        <v>31.4</v>
      </c>
      <c r="R1967">
        <v>7.7000000000000028</v>
      </c>
      <c r="S1967" t="s">
        <v>77</v>
      </c>
    </row>
    <row r="1968" spans="1:19" x14ac:dyDescent="0.35">
      <c r="A1968">
        <v>22954</v>
      </c>
      <c r="B1968" t="str">
        <f>"022954"</f>
        <v>022954</v>
      </c>
      <c r="C1968" t="s">
        <v>6698</v>
      </c>
      <c r="D1968" t="s">
        <v>3394</v>
      </c>
      <c r="E1968" t="s">
        <v>3395</v>
      </c>
      <c r="F1968" t="s">
        <v>3396</v>
      </c>
      <c r="G1968" t="s">
        <v>1702</v>
      </c>
      <c r="H1968" t="s">
        <v>6699</v>
      </c>
      <c r="I1968" t="s">
        <v>6700</v>
      </c>
      <c r="J1968" t="s">
        <v>2651</v>
      </c>
      <c r="K1968" t="s">
        <v>55</v>
      </c>
      <c r="L1968" t="s">
        <v>2652</v>
      </c>
      <c r="M1968" t="s">
        <v>57</v>
      </c>
      <c r="N1968" t="str">
        <f>"045625"</f>
        <v>045625</v>
      </c>
      <c r="O1968" t="s">
        <v>2648</v>
      </c>
      <c r="P1968" t="s">
        <v>68</v>
      </c>
      <c r="Q1968">
        <v>43.9</v>
      </c>
      <c r="R1968">
        <v>9.0999999999999943</v>
      </c>
      <c r="S1968" t="s">
        <v>156</v>
      </c>
    </row>
    <row r="1969" spans="1:19" x14ac:dyDescent="0.35">
      <c r="A1969">
        <v>22970</v>
      </c>
      <c r="B1969" t="str">
        <f>"022970"</f>
        <v>022970</v>
      </c>
      <c r="C1969" t="s">
        <v>6701</v>
      </c>
      <c r="D1969" t="s">
        <v>3394</v>
      </c>
      <c r="E1969" t="s">
        <v>3395</v>
      </c>
      <c r="F1969" t="s">
        <v>3396</v>
      </c>
      <c r="G1969" t="s">
        <v>200</v>
      </c>
      <c r="H1969" t="s">
        <v>6702</v>
      </c>
      <c r="I1969" t="s">
        <v>6703</v>
      </c>
      <c r="J1969" t="s">
        <v>304</v>
      </c>
      <c r="K1969" t="s">
        <v>55</v>
      </c>
      <c r="L1969" t="s">
        <v>3552</v>
      </c>
      <c r="M1969" t="s">
        <v>57</v>
      </c>
      <c r="N1969" t="str">
        <f>"044909"</f>
        <v>044909</v>
      </c>
      <c r="O1969" t="s">
        <v>3318</v>
      </c>
      <c r="P1969" t="s">
        <v>68</v>
      </c>
      <c r="Q1969">
        <v>96</v>
      </c>
      <c r="R1969">
        <v>79.099999999999994</v>
      </c>
      <c r="S1969" t="s">
        <v>156</v>
      </c>
    </row>
    <row r="1970" spans="1:19" x14ac:dyDescent="0.35">
      <c r="A1970">
        <v>22996</v>
      </c>
      <c r="B1970" t="str">
        <f>"022996"</f>
        <v>022996</v>
      </c>
      <c r="C1970" t="s">
        <v>6704</v>
      </c>
      <c r="D1970" t="s">
        <v>3394</v>
      </c>
      <c r="E1970" t="s">
        <v>3395</v>
      </c>
      <c r="F1970" t="s">
        <v>3396</v>
      </c>
      <c r="G1970" t="s">
        <v>187</v>
      </c>
      <c r="H1970" t="s">
        <v>5589</v>
      </c>
      <c r="I1970" t="s">
        <v>5590</v>
      </c>
      <c r="J1970" t="s">
        <v>397</v>
      </c>
      <c r="K1970" t="s">
        <v>55</v>
      </c>
      <c r="L1970" t="s">
        <v>398</v>
      </c>
      <c r="M1970" t="s">
        <v>57</v>
      </c>
      <c r="N1970" t="str">
        <f>"050559"</f>
        <v>050559</v>
      </c>
      <c r="O1970" t="s">
        <v>2579</v>
      </c>
      <c r="P1970" t="s">
        <v>68</v>
      </c>
      <c r="Q1970">
        <v>27.2</v>
      </c>
      <c r="R1970">
        <v>13.900000000000006</v>
      </c>
      <c r="S1970" t="s">
        <v>77</v>
      </c>
    </row>
    <row r="1971" spans="1:19" x14ac:dyDescent="0.35">
      <c r="A1971">
        <v>23036</v>
      </c>
      <c r="B1971" t="str">
        <f>"023036"</f>
        <v>023036</v>
      </c>
      <c r="C1971" t="s">
        <v>6705</v>
      </c>
      <c r="D1971" t="s">
        <v>3398</v>
      </c>
      <c r="E1971" t="s">
        <v>3395</v>
      </c>
      <c r="F1971" t="s">
        <v>3396</v>
      </c>
      <c r="G1971" t="s">
        <v>233</v>
      </c>
      <c r="H1971" t="s">
        <v>6706</v>
      </c>
      <c r="I1971" t="s">
        <v>6707</v>
      </c>
      <c r="J1971" t="s">
        <v>3272</v>
      </c>
      <c r="K1971" t="s">
        <v>55</v>
      </c>
      <c r="L1971" t="s">
        <v>3273</v>
      </c>
      <c r="M1971" t="s">
        <v>57</v>
      </c>
      <c r="N1971" t="str">
        <f>"044347"</f>
        <v>044347</v>
      </c>
      <c r="O1971" t="s">
        <v>3269</v>
      </c>
      <c r="P1971" t="s">
        <v>68</v>
      </c>
      <c r="Q1971">
        <v>52.2</v>
      </c>
      <c r="R1971">
        <v>12.799999999999997</v>
      </c>
      <c r="S1971" t="s">
        <v>130</v>
      </c>
    </row>
    <row r="1972" spans="1:19" x14ac:dyDescent="0.35">
      <c r="A1972">
        <v>23069</v>
      </c>
      <c r="B1972" t="str">
        <f>"023069"</f>
        <v>023069</v>
      </c>
      <c r="C1972" t="s">
        <v>6708</v>
      </c>
      <c r="D1972" t="s">
        <v>3394</v>
      </c>
      <c r="E1972" t="s">
        <v>3395</v>
      </c>
      <c r="F1972" t="s">
        <v>3396</v>
      </c>
      <c r="G1972" t="s">
        <v>63</v>
      </c>
      <c r="H1972" t="s">
        <v>6709</v>
      </c>
      <c r="I1972" t="s">
        <v>6710</v>
      </c>
      <c r="J1972" t="s">
        <v>285</v>
      </c>
      <c r="K1972" t="s">
        <v>55</v>
      </c>
      <c r="L1972" t="s">
        <v>5437</v>
      </c>
      <c r="M1972" t="s">
        <v>57</v>
      </c>
      <c r="N1972" t="str">
        <f>"043786"</f>
        <v>043786</v>
      </c>
      <c r="O1972" t="s">
        <v>1340</v>
      </c>
      <c r="P1972" t="s">
        <v>68</v>
      </c>
      <c r="Q1972">
        <v>100</v>
      </c>
      <c r="R1972">
        <v>100</v>
      </c>
      <c r="S1972" t="s">
        <v>69</v>
      </c>
    </row>
    <row r="1973" spans="1:19" x14ac:dyDescent="0.35">
      <c r="A1973">
        <v>23077</v>
      </c>
      <c r="B1973" t="str">
        <f>"023077"</f>
        <v>023077</v>
      </c>
      <c r="C1973" t="s">
        <v>6711</v>
      </c>
      <c r="D1973" t="s">
        <v>3394</v>
      </c>
      <c r="E1973" t="s">
        <v>3395</v>
      </c>
      <c r="F1973" t="s">
        <v>3396</v>
      </c>
      <c r="G1973" t="s">
        <v>117</v>
      </c>
      <c r="H1973" t="s">
        <v>6712</v>
      </c>
      <c r="I1973" t="s">
        <v>6713</v>
      </c>
      <c r="J1973" t="s">
        <v>3230</v>
      </c>
      <c r="K1973" t="s">
        <v>55</v>
      </c>
      <c r="L1973" t="s">
        <v>3231</v>
      </c>
      <c r="M1973" t="s">
        <v>57</v>
      </c>
      <c r="N1973" t="str">
        <f>"049890"</f>
        <v>049890</v>
      </c>
      <c r="O1973" t="s">
        <v>3227</v>
      </c>
      <c r="P1973" t="s">
        <v>68</v>
      </c>
      <c r="Q1973">
        <v>46.2</v>
      </c>
      <c r="R1973">
        <v>5.5999999999999943</v>
      </c>
      <c r="S1973" t="s">
        <v>77</v>
      </c>
    </row>
    <row r="1974" spans="1:19" x14ac:dyDescent="0.35">
      <c r="A1974">
        <v>23085</v>
      </c>
      <c r="B1974" t="str">
        <f>"023085"</f>
        <v>023085</v>
      </c>
      <c r="C1974" t="s">
        <v>6714</v>
      </c>
      <c r="D1974" t="s">
        <v>3394</v>
      </c>
      <c r="E1974" t="s">
        <v>3395</v>
      </c>
      <c r="F1974" t="s">
        <v>3396</v>
      </c>
      <c r="G1974" t="s">
        <v>63</v>
      </c>
      <c r="H1974" t="s">
        <v>6715</v>
      </c>
      <c r="I1974" t="s">
        <v>6716</v>
      </c>
      <c r="J1974" t="s">
        <v>285</v>
      </c>
      <c r="K1974" t="s">
        <v>55</v>
      </c>
      <c r="L1974" t="s">
        <v>3915</v>
      </c>
      <c r="M1974" t="s">
        <v>57</v>
      </c>
      <c r="N1974" t="str">
        <f>"043786"</f>
        <v>043786</v>
      </c>
      <c r="O1974" t="s">
        <v>1340</v>
      </c>
      <c r="P1974" t="s">
        <v>68</v>
      </c>
      <c r="Q1974">
        <v>100</v>
      </c>
      <c r="R1974">
        <v>96</v>
      </c>
      <c r="S1974" t="s">
        <v>69</v>
      </c>
    </row>
    <row r="1975" spans="1:19" x14ac:dyDescent="0.35">
      <c r="A1975">
        <v>23093</v>
      </c>
      <c r="B1975" t="str">
        <f>"023093"</f>
        <v>023093</v>
      </c>
      <c r="C1975" t="s">
        <v>6717</v>
      </c>
      <c r="D1975" t="s">
        <v>3394</v>
      </c>
      <c r="E1975" t="s">
        <v>3395</v>
      </c>
      <c r="F1975" t="s">
        <v>3396</v>
      </c>
      <c r="G1975" t="s">
        <v>600</v>
      </c>
      <c r="H1975" t="s">
        <v>6718</v>
      </c>
      <c r="I1975" t="s">
        <v>6719</v>
      </c>
      <c r="J1975" t="s">
        <v>3160</v>
      </c>
      <c r="K1975" t="s">
        <v>55</v>
      </c>
      <c r="L1975" t="s">
        <v>3161</v>
      </c>
      <c r="M1975" t="s">
        <v>57</v>
      </c>
      <c r="N1975" t="str">
        <f>"043620"</f>
        <v>043620</v>
      </c>
      <c r="O1975" t="s">
        <v>3157</v>
      </c>
      <c r="P1975" t="s">
        <v>68</v>
      </c>
      <c r="Q1975">
        <v>11.9</v>
      </c>
      <c r="R1975">
        <v>24.099999999999994</v>
      </c>
      <c r="S1975" t="s">
        <v>60</v>
      </c>
    </row>
    <row r="1976" spans="1:19" x14ac:dyDescent="0.35">
      <c r="A1976">
        <v>23119</v>
      </c>
      <c r="B1976" t="str">
        <f>"023119"</f>
        <v>023119</v>
      </c>
      <c r="C1976" t="s">
        <v>6720</v>
      </c>
      <c r="D1976" t="s">
        <v>3398</v>
      </c>
      <c r="E1976" t="s">
        <v>3395</v>
      </c>
      <c r="F1976" t="s">
        <v>3396</v>
      </c>
      <c r="G1976" t="s">
        <v>1948</v>
      </c>
      <c r="H1976" t="s">
        <v>6721</v>
      </c>
      <c r="I1976" t="s">
        <v>6722</v>
      </c>
      <c r="J1976" t="s">
        <v>1951</v>
      </c>
      <c r="K1976" t="s">
        <v>55</v>
      </c>
      <c r="L1976" t="s">
        <v>1952</v>
      </c>
      <c r="M1976" t="s">
        <v>57</v>
      </c>
      <c r="N1976" t="str">
        <f>"045476"</f>
        <v>045476</v>
      </c>
      <c r="O1976" t="s">
        <v>1947</v>
      </c>
      <c r="P1976" t="s">
        <v>68</v>
      </c>
      <c r="Q1976">
        <v>20.9</v>
      </c>
      <c r="R1976">
        <v>16.099999999999994</v>
      </c>
      <c r="S1976" t="s">
        <v>60</v>
      </c>
    </row>
    <row r="1977" spans="1:19" x14ac:dyDescent="0.35">
      <c r="A1977">
        <v>23127</v>
      </c>
      <c r="B1977" t="str">
        <f>"023127"</f>
        <v>023127</v>
      </c>
      <c r="C1977" t="s">
        <v>6723</v>
      </c>
      <c r="D1977" t="s">
        <v>3400</v>
      </c>
      <c r="E1977" t="s">
        <v>3395</v>
      </c>
      <c r="F1977" t="s">
        <v>3396</v>
      </c>
      <c r="G1977" t="s">
        <v>1948</v>
      </c>
      <c r="H1977" t="s">
        <v>6724</v>
      </c>
      <c r="I1977" t="s">
        <v>6725</v>
      </c>
      <c r="J1977" t="s">
        <v>1951</v>
      </c>
      <c r="K1977" t="s">
        <v>55</v>
      </c>
      <c r="L1977" t="s">
        <v>1952</v>
      </c>
      <c r="M1977" t="s">
        <v>57</v>
      </c>
      <c r="N1977" t="str">
        <f>"045476"</f>
        <v>045476</v>
      </c>
      <c r="O1977" t="s">
        <v>1947</v>
      </c>
      <c r="P1977" t="s">
        <v>68</v>
      </c>
      <c r="Q1977">
        <v>17.7</v>
      </c>
      <c r="R1977">
        <v>17.299999999999997</v>
      </c>
      <c r="S1977" t="s">
        <v>60</v>
      </c>
    </row>
    <row r="1978" spans="1:19" x14ac:dyDescent="0.35">
      <c r="A1978">
        <v>23135</v>
      </c>
      <c r="B1978" t="str">
        <f>"023135"</f>
        <v>023135</v>
      </c>
      <c r="C1978" t="s">
        <v>6726</v>
      </c>
      <c r="D1978" t="s">
        <v>3394</v>
      </c>
      <c r="E1978" t="s">
        <v>3395</v>
      </c>
      <c r="F1978" t="s">
        <v>3396</v>
      </c>
      <c r="G1978" t="s">
        <v>264</v>
      </c>
      <c r="H1978" t="s">
        <v>6727</v>
      </c>
      <c r="I1978" t="s">
        <v>6728</v>
      </c>
      <c r="J1978" t="s">
        <v>267</v>
      </c>
      <c r="K1978" t="s">
        <v>55</v>
      </c>
      <c r="L1978" t="s">
        <v>5503</v>
      </c>
      <c r="M1978" t="s">
        <v>57</v>
      </c>
      <c r="N1978" t="str">
        <f>"043489"</f>
        <v>043489</v>
      </c>
      <c r="O1978" t="s">
        <v>3176</v>
      </c>
      <c r="P1978" t="s">
        <v>68</v>
      </c>
      <c r="Q1978">
        <v>100</v>
      </c>
      <c r="R1978">
        <v>81.8</v>
      </c>
      <c r="S1978" t="s">
        <v>77</v>
      </c>
    </row>
    <row r="1979" spans="1:19" x14ac:dyDescent="0.35">
      <c r="A1979">
        <v>23143</v>
      </c>
      <c r="B1979" t="str">
        <f>"023143"</f>
        <v>023143</v>
      </c>
      <c r="C1979" t="s">
        <v>6729</v>
      </c>
      <c r="D1979" t="s">
        <v>3394</v>
      </c>
      <c r="E1979" t="s">
        <v>3395</v>
      </c>
      <c r="F1979" t="s">
        <v>3396</v>
      </c>
      <c r="G1979" t="s">
        <v>1335</v>
      </c>
      <c r="H1979" t="s">
        <v>6730</v>
      </c>
      <c r="I1979" t="s">
        <v>6731</v>
      </c>
      <c r="J1979" t="s">
        <v>1916</v>
      </c>
      <c r="K1979" t="s">
        <v>55</v>
      </c>
      <c r="L1979" t="s">
        <v>1917</v>
      </c>
      <c r="M1979" t="s">
        <v>57</v>
      </c>
      <c r="N1979" t="str">
        <f>"047969"</f>
        <v>047969</v>
      </c>
      <c r="O1979" t="s">
        <v>1913</v>
      </c>
      <c r="P1979" t="s">
        <v>68</v>
      </c>
      <c r="Q1979">
        <v>89.9</v>
      </c>
      <c r="R1979">
        <v>3.0999999999999943</v>
      </c>
      <c r="S1979" t="s">
        <v>130</v>
      </c>
    </row>
    <row r="1980" spans="1:19" x14ac:dyDescent="0.35">
      <c r="A1980">
        <v>23192</v>
      </c>
      <c r="B1980" t="str">
        <f>"023192"</f>
        <v>023192</v>
      </c>
      <c r="C1980" t="s">
        <v>6732</v>
      </c>
      <c r="D1980" t="s">
        <v>3394</v>
      </c>
      <c r="E1980" t="s">
        <v>3395</v>
      </c>
      <c r="F1980" t="s">
        <v>3396</v>
      </c>
      <c r="G1980" t="s">
        <v>124</v>
      </c>
      <c r="H1980" t="s">
        <v>6733</v>
      </c>
      <c r="I1980" t="s">
        <v>6734</v>
      </c>
      <c r="J1980" t="s">
        <v>127</v>
      </c>
      <c r="K1980" t="s">
        <v>55</v>
      </c>
      <c r="L1980" t="s">
        <v>128</v>
      </c>
      <c r="M1980" t="s">
        <v>57</v>
      </c>
      <c r="N1980" t="str">
        <f>"050492"</f>
        <v>050492</v>
      </c>
      <c r="O1980" t="s">
        <v>123</v>
      </c>
      <c r="P1980" t="s">
        <v>68</v>
      </c>
      <c r="Q1980">
        <v>53.4</v>
      </c>
      <c r="R1980">
        <v>1</v>
      </c>
      <c r="S1980" t="s">
        <v>130</v>
      </c>
    </row>
    <row r="1981" spans="1:19" x14ac:dyDescent="0.35">
      <c r="A1981">
        <v>23218</v>
      </c>
      <c r="B1981" t="str">
        <f>"023218"</f>
        <v>023218</v>
      </c>
      <c r="C1981" t="s">
        <v>6735</v>
      </c>
      <c r="D1981" t="s">
        <v>3398</v>
      </c>
      <c r="E1981" t="s">
        <v>3395</v>
      </c>
      <c r="F1981" t="s">
        <v>3396</v>
      </c>
      <c r="G1981" t="s">
        <v>169</v>
      </c>
      <c r="H1981" t="s">
        <v>6736</v>
      </c>
      <c r="I1981" t="s">
        <v>6737</v>
      </c>
      <c r="J1981" t="s">
        <v>3653</v>
      </c>
      <c r="K1981" t="s">
        <v>55</v>
      </c>
      <c r="L1981" t="s">
        <v>3654</v>
      </c>
      <c r="M1981" t="s">
        <v>57</v>
      </c>
      <c r="N1981" t="str">
        <f>"050153"</f>
        <v>050153</v>
      </c>
      <c r="O1981" t="s">
        <v>1091</v>
      </c>
      <c r="P1981" t="s">
        <v>68</v>
      </c>
      <c r="Q1981">
        <v>36.9</v>
      </c>
      <c r="R1981">
        <v>6.7000000000000028</v>
      </c>
      <c r="S1981" t="s">
        <v>77</v>
      </c>
    </row>
    <row r="1982" spans="1:19" x14ac:dyDescent="0.35">
      <c r="A1982">
        <v>23226</v>
      </c>
      <c r="B1982" t="str">
        <f>"023226"</f>
        <v>023226</v>
      </c>
      <c r="C1982" t="s">
        <v>6738</v>
      </c>
      <c r="D1982" t="s">
        <v>3394</v>
      </c>
      <c r="E1982" t="s">
        <v>3395</v>
      </c>
      <c r="F1982" t="s">
        <v>3396</v>
      </c>
      <c r="G1982" t="s">
        <v>244</v>
      </c>
      <c r="H1982" t="s">
        <v>6739</v>
      </c>
      <c r="I1982" t="s">
        <v>6740</v>
      </c>
      <c r="J1982" t="s">
        <v>1748</v>
      </c>
      <c r="K1982" t="s">
        <v>55</v>
      </c>
      <c r="L1982" t="s">
        <v>1749</v>
      </c>
      <c r="M1982" t="s">
        <v>57</v>
      </c>
      <c r="N1982" t="str">
        <f>"046151"</f>
        <v>046151</v>
      </c>
      <c r="O1982" t="s">
        <v>1745</v>
      </c>
      <c r="P1982" t="s">
        <v>68</v>
      </c>
      <c r="Q1982">
        <v>35.299999999999997</v>
      </c>
      <c r="R1982">
        <v>4.7999999999999972</v>
      </c>
      <c r="S1982" t="s">
        <v>217</v>
      </c>
    </row>
    <row r="1983" spans="1:19" x14ac:dyDescent="0.35">
      <c r="A1983">
        <v>23234</v>
      </c>
      <c r="B1983" t="str">
        <f>"023234"</f>
        <v>023234</v>
      </c>
      <c r="C1983" t="s">
        <v>6741</v>
      </c>
      <c r="D1983" t="s">
        <v>3400</v>
      </c>
      <c r="E1983" t="s">
        <v>3395</v>
      </c>
      <c r="F1983" t="s">
        <v>3396</v>
      </c>
      <c r="G1983" t="s">
        <v>200</v>
      </c>
      <c r="H1983" t="s">
        <v>6742</v>
      </c>
      <c r="I1983" t="s">
        <v>6743</v>
      </c>
      <c r="J1983" t="s">
        <v>3036</v>
      </c>
      <c r="K1983" t="s">
        <v>55</v>
      </c>
      <c r="L1983" t="s">
        <v>3037</v>
      </c>
      <c r="M1983" t="s">
        <v>57</v>
      </c>
      <c r="N1983" t="str">
        <f>"044362"</f>
        <v>044362</v>
      </c>
      <c r="O1983" t="s">
        <v>3033</v>
      </c>
      <c r="P1983" t="s">
        <v>68</v>
      </c>
      <c r="Q1983">
        <v>34.200000000000003</v>
      </c>
      <c r="R1983">
        <v>27.299999999999997</v>
      </c>
      <c r="S1983" t="s">
        <v>156</v>
      </c>
    </row>
    <row r="1984" spans="1:19" x14ac:dyDescent="0.35">
      <c r="A1984">
        <v>23242</v>
      </c>
      <c r="B1984" t="str">
        <f>"023242"</f>
        <v>023242</v>
      </c>
      <c r="C1984" t="s">
        <v>6744</v>
      </c>
      <c r="D1984" t="s">
        <v>3398</v>
      </c>
      <c r="E1984" t="s">
        <v>3395</v>
      </c>
      <c r="F1984" t="s">
        <v>3396</v>
      </c>
      <c r="G1984" t="s">
        <v>200</v>
      </c>
      <c r="H1984" t="s">
        <v>6745</v>
      </c>
      <c r="I1984" t="s">
        <v>6746</v>
      </c>
      <c r="J1984" t="s">
        <v>3036</v>
      </c>
      <c r="K1984" t="s">
        <v>55</v>
      </c>
      <c r="L1984" t="s">
        <v>3037</v>
      </c>
      <c r="M1984" t="s">
        <v>57</v>
      </c>
      <c r="N1984" t="str">
        <f>"044362"</f>
        <v>044362</v>
      </c>
      <c r="O1984" t="s">
        <v>3033</v>
      </c>
      <c r="P1984" t="s">
        <v>68</v>
      </c>
      <c r="Q1984">
        <v>26.4</v>
      </c>
      <c r="R1984">
        <v>27.900000000000006</v>
      </c>
      <c r="S1984" t="s">
        <v>156</v>
      </c>
    </row>
    <row r="1985" spans="1:19" x14ac:dyDescent="0.35">
      <c r="A1985">
        <v>23259</v>
      </c>
      <c r="B1985" t="str">
        <f>"023259"</f>
        <v>023259</v>
      </c>
      <c r="C1985" t="s">
        <v>6747</v>
      </c>
      <c r="D1985" t="s">
        <v>3398</v>
      </c>
      <c r="E1985" t="s">
        <v>3395</v>
      </c>
      <c r="F1985" t="s">
        <v>3396</v>
      </c>
      <c r="G1985" t="s">
        <v>63</v>
      </c>
      <c r="H1985" t="s">
        <v>6748</v>
      </c>
      <c r="I1985" t="s">
        <v>6749</v>
      </c>
      <c r="J1985" t="s">
        <v>285</v>
      </c>
      <c r="K1985" t="s">
        <v>55</v>
      </c>
      <c r="L1985" t="s">
        <v>3458</v>
      </c>
      <c r="M1985" t="s">
        <v>57</v>
      </c>
      <c r="N1985" t="str">
        <f>"043786"</f>
        <v>043786</v>
      </c>
      <c r="O1985" t="s">
        <v>1340</v>
      </c>
      <c r="P1985" t="s">
        <v>68</v>
      </c>
      <c r="Q1985">
        <v>100</v>
      </c>
      <c r="R1985">
        <v>75.8</v>
      </c>
      <c r="S1985" t="s">
        <v>69</v>
      </c>
    </row>
    <row r="1986" spans="1:19" x14ac:dyDescent="0.35">
      <c r="A1986">
        <v>23283</v>
      </c>
      <c r="B1986" t="str">
        <f>"023283"</f>
        <v>023283</v>
      </c>
      <c r="C1986" t="s">
        <v>6750</v>
      </c>
      <c r="D1986" t="s">
        <v>3394</v>
      </c>
      <c r="E1986" t="s">
        <v>3395</v>
      </c>
      <c r="F1986" t="s">
        <v>3396</v>
      </c>
      <c r="G1986" t="s">
        <v>244</v>
      </c>
      <c r="H1986" t="s">
        <v>6751</v>
      </c>
      <c r="I1986" t="s">
        <v>6752</v>
      </c>
      <c r="J1986" t="s">
        <v>1179</v>
      </c>
      <c r="K1986" t="s">
        <v>55</v>
      </c>
      <c r="L1986" t="s">
        <v>3475</v>
      </c>
      <c r="M1986" t="s">
        <v>57</v>
      </c>
      <c r="N1986" t="str">
        <f>"044404"</f>
        <v>044404</v>
      </c>
      <c r="O1986" t="s">
        <v>1176</v>
      </c>
      <c r="P1986" t="s">
        <v>68</v>
      </c>
      <c r="Q1986">
        <v>100</v>
      </c>
      <c r="R1986">
        <v>46.4</v>
      </c>
      <c r="S1986" t="s">
        <v>217</v>
      </c>
    </row>
    <row r="1987" spans="1:19" x14ac:dyDescent="0.35">
      <c r="A1987">
        <v>23291</v>
      </c>
      <c r="B1987" t="str">
        <f>"023291"</f>
        <v>023291</v>
      </c>
      <c r="C1987" t="s">
        <v>6753</v>
      </c>
      <c r="D1987" t="s">
        <v>3543</v>
      </c>
      <c r="E1987" t="s">
        <v>3395</v>
      </c>
      <c r="F1987" t="s">
        <v>3396</v>
      </c>
      <c r="G1987" t="s">
        <v>200</v>
      </c>
      <c r="H1987" t="s">
        <v>6754</v>
      </c>
      <c r="I1987" t="s">
        <v>6755</v>
      </c>
      <c r="J1987" t="s">
        <v>304</v>
      </c>
      <c r="K1987" t="s">
        <v>55</v>
      </c>
      <c r="L1987" t="s">
        <v>3170</v>
      </c>
      <c r="M1987" t="s">
        <v>57</v>
      </c>
      <c r="N1987" t="str">
        <f>"044909"</f>
        <v>044909</v>
      </c>
      <c r="O1987" t="s">
        <v>3318</v>
      </c>
      <c r="P1987" t="s">
        <v>68</v>
      </c>
      <c r="Q1987">
        <v>100</v>
      </c>
      <c r="R1987">
        <v>78.7</v>
      </c>
      <c r="S1987" t="s">
        <v>156</v>
      </c>
    </row>
    <row r="1988" spans="1:19" x14ac:dyDescent="0.35">
      <c r="A1988">
        <v>23317</v>
      </c>
      <c r="B1988" t="str">
        <f>"023317"</f>
        <v>023317</v>
      </c>
      <c r="C1988" t="s">
        <v>6756</v>
      </c>
      <c r="D1988" t="s">
        <v>3394</v>
      </c>
      <c r="E1988" t="s">
        <v>3395</v>
      </c>
      <c r="F1988" t="s">
        <v>3396</v>
      </c>
      <c r="G1988" t="s">
        <v>63</v>
      </c>
      <c r="H1988" t="s">
        <v>6757</v>
      </c>
      <c r="I1988" t="s">
        <v>6758</v>
      </c>
      <c r="J1988" t="s">
        <v>6759</v>
      </c>
      <c r="K1988" t="s">
        <v>55</v>
      </c>
      <c r="L1988" t="s">
        <v>2291</v>
      </c>
      <c r="M1988" t="s">
        <v>57</v>
      </c>
      <c r="N1988" t="str">
        <f>"044370"</f>
        <v>044370</v>
      </c>
      <c r="O1988" t="s">
        <v>2456</v>
      </c>
      <c r="P1988" t="s">
        <v>68</v>
      </c>
      <c r="Q1988">
        <v>20.9</v>
      </c>
      <c r="R1988">
        <v>42.1</v>
      </c>
      <c r="S1988" t="s">
        <v>69</v>
      </c>
    </row>
    <row r="1989" spans="1:19" x14ac:dyDescent="0.35">
      <c r="A1989">
        <v>23325</v>
      </c>
      <c r="B1989" t="str">
        <f>"023325"</f>
        <v>023325</v>
      </c>
      <c r="C1989" t="s">
        <v>6760</v>
      </c>
      <c r="D1989" t="s">
        <v>3398</v>
      </c>
      <c r="E1989" t="s">
        <v>3395</v>
      </c>
      <c r="F1989" t="s">
        <v>3396</v>
      </c>
      <c r="G1989" t="s">
        <v>63</v>
      </c>
      <c r="H1989" t="s">
        <v>6761</v>
      </c>
      <c r="I1989" t="s">
        <v>6762</v>
      </c>
      <c r="J1989" t="s">
        <v>285</v>
      </c>
      <c r="K1989" t="s">
        <v>55</v>
      </c>
      <c r="L1989" t="s">
        <v>2291</v>
      </c>
      <c r="M1989" t="s">
        <v>57</v>
      </c>
      <c r="N1989" t="str">
        <f>"044370"</f>
        <v>044370</v>
      </c>
      <c r="O1989" t="s">
        <v>2456</v>
      </c>
      <c r="P1989" t="s">
        <v>68</v>
      </c>
      <c r="Q1989">
        <v>24.7</v>
      </c>
      <c r="R1989">
        <v>37</v>
      </c>
      <c r="S1989" t="s">
        <v>69</v>
      </c>
    </row>
    <row r="1990" spans="1:19" x14ac:dyDescent="0.35">
      <c r="A1990">
        <v>23358</v>
      </c>
      <c r="B1990" t="str">
        <f>"023358"</f>
        <v>023358</v>
      </c>
      <c r="C1990" t="s">
        <v>6763</v>
      </c>
      <c r="D1990" t="s">
        <v>3398</v>
      </c>
      <c r="E1990" t="s">
        <v>3395</v>
      </c>
      <c r="F1990" t="s">
        <v>3396</v>
      </c>
      <c r="G1990" t="s">
        <v>674</v>
      </c>
      <c r="H1990" t="s">
        <v>6764</v>
      </c>
      <c r="I1990" t="s">
        <v>6765</v>
      </c>
      <c r="J1990" t="s">
        <v>927</v>
      </c>
      <c r="K1990" t="s">
        <v>55</v>
      </c>
      <c r="L1990" t="s">
        <v>928</v>
      </c>
      <c r="M1990" t="s">
        <v>57</v>
      </c>
      <c r="N1990" t="str">
        <f>"048850"</f>
        <v>048850</v>
      </c>
      <c r="O1990" t="s">
        <v>924</v>
      </c>
      <c r="P1990" t="s">
        <v>68</v>
      </c>
      <c r="Q1990">
        <v>97.8</v>
      </c>
      <c r="R1990">
        <v>8</v>
      </c>
      <c r="S1990" t="s">
        <v>130</v>
      </c>
    </row>
    <row r="1991" spans="1:19" x14ac:dyDescent="0.35">
      <c r="A1991">
        <v>23374</v>
      </c>
      <c r="B1991" t="str">
        <f>"023374"</f>
        <v>023374</v>
      </c>
      <c r="C1991" t="s">
        <v>6766</v>
      </c>
      <c r="D1991" t="s">
        <v>3394</v>
      </c>
      <c r="E1991" t="s">
        <v>3395</v>
      </c>
      <c r="F1991" t="s">
        <v>3396</v>
      </c>
      <c r="G1991" t="s">
        <v>2992</v>
      </c>
      <c r="H1991" t="s">
        <v>6767</v>
      </c>
      <c r="I1991" t="s">
        <v>6768</v>
      </c>
      <c r="J1991" t="s">
        <v>2995</v>
      </c>
      <c r="K1991" t="s">
        <v>55</v>
      </c>
      <c r="L1991" t="s">
        <v>2996</v>
      </c>
      <c r="M1991" t="s">
        <v>57</v>
      </c>
      <c r="N1991" t="str">
        <f>"050393"</f>
        <v>050393</v>
      </c>
      <c r="O1991" t="s">
        <v>2991</v>
      </c>
      <c r="P1991" t="s">
        <v>68</v>
      </c>
      <c r="Q1991">
        <v>100</v>
      </c>
      <c r="R1991">
        <v>2.5</v>
      </c>
      <c r="S1991" t="s">
        <v>130</v>
      </c>
    </row>
    <row r="1992" spans="1:19" x14ac:dyDescent="0.35">
      <c r="A1992">
        <v>23382</v>
      </c>
      <c r="B1992" t="str">
        <f>"023382"</f>
        <v>023382</v>
      </c>
      <c r="C1992" t="s">
        <v>6769</v>
      </c>
      <c r="D1992" t="s">
        <v>3394</v>
      </c>
      <c r="E1992" t="s">
        <v>3395</v>
      </c>
      <c r="F1992" t="s">
        <v>3396</v>
      </c>
      <c r="G1992" t="s">
        <v>264</v>
      </c>
      <c r="H1992" t="s">
        <v>6770</v>
      </c>
      <c r="I1992" t="s">
        <v>6771</v>
      </c>
      <c r="J1992" t="s">
        <v>267</v>
      </c>
      <c r="K1992" t="s">
        <v>55</v>
      </c>
      <c r="L1992" t="s">
        <v>5223</v>
      </c>
      <c r="M1992" t="s">
        <v>57</v>
      </c>
      <c r="N1992" t="str">
        <f>"043489"</f>
        <v>043489</v>
      </c>
      <c r="O1992" t="s">
        <v>3176</v>
      </c>
      <c r="P1992" t="s">
        <v>68</v>
      </c>
      <c r="Q1992">
        <v>100</v>
      </c>
      <c r="R1992">
        <v>81.400000000000006</v>
      </c>
      <c r="S1992" t="s">
        <v>77</v>
      </c>
    </row>
    <row r="1993" spans="1:19" x14ac:dyDescent="0.35">
      <c r="A1993">
        <v>23390</v>
      </c>
      <c r="B1993" t="str">
        <f>"023390"</f>
        <v>023390</v>
      </c>
      <c r="C1993" t="s">
        <v>6772</v>
      </c>
      <c r="D1993" t="s">
        <v>3400</v>
      </c>
      <c r="E1993" t="s">
        <v>3395</v>
      </c>
      <c r="F1993" t="s">
        <v>3396</v>
      </c>
      <c r="G1993" t="s">
        <v>554</v>
      </c>
      <c r="H1993" t="s">
        <v>6773</v>
      </c>
      <c r="I1993" t="s">
        <v>6774</v>
      </c>
      <c r="J1993" t="s">
        <v>2223</v>
      </c>
      <c r="K1993" t="s">
        <v>55</v>
      </c>
      <c r="L1993" t="s">
        <v>2224</v>
      </c>
      <c r="M1993" t="s">
        <v>57</v>
      </c>
      <c r="N1993" t="str">
        <f>"044727"</f>
        <v>044727</v>
      </c>
      <c r="O1993" t="s">
        <v>2220</v>
      </c>
      <c r="P1993" t="s">
        <v>68</v>
      </c>
      <c r="Q1993">
        <v>40.4</v>
      </c>
      <c r="R1993">
        <v>8</v>
      </c>
      <c r="S1993" t="s">
        <v>156</v>
      </c>
    </row>
    <row r="1994" spans="1:19" x14ac:dyDescent="0.35">
      <c r="A1994">
        <v>23424</v>
      </c>
      <c r="B1994" t="str">
        <f>"023424"</f>
        <v>023424</v>
      </c>
      <c r="C1994" t="s">
        <v>6775</v>
      </c>
      <c r="D1994" t="s">
        <v>3398</v>
      </c>
      <c r="E1994" t="s">
        <v>3395</v>
      </c>
      <c r="F1994" t="s">
        <v>3396</v>
      </c>
      <c r="G1994" t="s">
        <v>719</v>
      </c>
      <c r="H1994" t="s">
        <v>2561</v>
      </c>
      <c r="I1994" t="s">
        <v>2562</v>
      </c>
      <c r="J1994" t="s">
        <v>2563</v>
      </c>
      <c r="K1994" t="s">
        <v>55</v>
      </c>
      <c r="L1994" t="s">
        <v>2564</v>
      </c>
      <c r="M1994" t="s">
        <v>57</v>
      </c>
      <c r="N1994" t="str">
        <f>"045401"</f>
        <v>045401</v>
      </c>
      <c r="O1994" t="s">
        <v>2560</v>
      </c>
      <c r="P1994" t="s">
        <v>68</v>
      </c>
      <c r="Q1994">
        <v>45.2</v>
      </c>
      <c r="R1994">
        <v>7.5999999999999943</v>
      </c>
      <c r="S1994" t="s">
        <v>130</v>
      </c>
    </row>
    <row r="1995" spans="1:19" x14ac:dyDescent="0.35">
      <c r="A1995">
        <v>23440</v>
      </c>
      <c r="B1995" t="str">
        <f>"023440"</f>
        <v>023440</v>
      </c>
      <c r="C1995" t="s">
        <v>6776</v>
      </c>
      <c r="D1995" t="s">
        <v>3394</v>
      </c>
      <c r="E1995" t="s">
        <v>3395</v>
      </c>
      <c r="F1995" t="s">
        <v>3396</v>
      </c>
      <c r="G1995" t="s">
        <v>821</v>
      </c>
      <c r="H1995" t="s">
        <v>822</v>
      </c>
      <c r="I1995" t="s">
        <v>823</v>
      </c>
      <c r="J1995" t="s">
        <v>824</v>
      </c>
      <c r="K1995" t="s">
        <v>55</v>
      </c>
      <c r="L1995" t="s">
        <v>825</v>
      </c>
      <c r="M1995" t="s">
        <v>57</v>
      </c>
      <c r="N1995" t="str">
        <f>"047456"</f>
        <v>047456</v>
      </c>
      <c r="O1995" t="s">
        <v>820</v>
      </c>
      <c r="P1995" t="s">
        <v>68</v>
      </c>
      <c r="Q1995">
        <v>36.1</v>
      </c>
      <c r="R1995">
        <v>13.799999999999997</v>
      </c>
      <c r="S1995" t="s">
        <v>156</v>
      </c>
    </row>
    <row r="1996" spans="1:19" x14ac:dyDescent="0.35">
      <c r="A1996">
        <v>23473</v>
      </c>
      <c r="B1996" t="str">
        <f>"023473"</f>
        <v>023473</v>
      </c>
      <c r="C1996" t="s">
        <v>6777</v>
      </c>
      <c r="D1996" t="s">
        <v>3506</v>
      </c>
      <c r="E1996" t="s">
        <v>3395</v>
      </c>
      <c r="F1996" t="s">
        <v>3396</v>
      </c>
      <c r="G1996" t="s">
        <v>759</v>
      </c>
      <c r="H1996" t="s">
        <v>6778</v>
      </c>
      <c r="I1996" t="s">
        <v>6779</v>
      </c>
      <c r="J1996" t="s">
        <v>79</v>
      </c>
      <c r="K1996" t="s">
        <v>55</v>
      </c>
      <c r="L1996" t="s">
        <v>2191</v>
      </c>
      <c r="M1996" t="s">
        <v>57</v>
      </c>
      <c r="N1996" t="str">
        <f>"044131"</f>
        <v>044131</v>
      </c>
      <c r="O1996" t="s">
        <v>2187</v>
      </c>
      <c r="P1996" t="s">
        <v>68</v>
      </c>
      <c r="Q1996">
        <v>30.9</v>
      </c>
      <c r="R1996">
        <v>9.9000000000000057</v>
      </c>
      <c r="S1996" t="s">
        <v>69</v>
      </c>
    </row>
    <row r="1997" spans="1:19" x14ac:dyDescent="0.35">
      <c r="A1997">
        <v>23515</v>
      </c>
      <c r="B1997" t="str">
        <f>"023515"</f>
        <v>023515</v>
      </c>
      <c r="C1997" t="s">
        <v>6780</v>
      </c>
      <c r="D1997" t="s">
        <v>3398</v>
      </c>
      <c r="E1997" t="s">
        <v>3395</v>
      </c>
      <c r="F1997" t="s">
        <v>3396</v>
      </c>
      <c r="G1997" t="s">
        <v>169</v>
      </c>
      <c r="H1997" t="s">
        <v>2630</v>
      </c>
      <c r="I1997" t="s">
        <v>2631</v>
      </c>
      <c r="J1997" t="s">
        <v>2632</v>
      </c>
      <c r="K1997" t="s">
        <v>55</v>
      </c>
      <c r="L1997" t="s">
        <v>2633</v>
      </c>
      <c r="M1997" t="s">
        <v>57</v>
      </c>
      <c r="N1997" t="str">
        <f>"050229"</f>
        <v>050229</v>
      </c>
      <c r="O1997" t="s">
        <v>2629</v>
      </c>
      <c r="P1997" t="s">
        <v>68</v>
      </c>
      <c r="Q1997">
        <v>31.7</v>
      </c>
      <c r="R1997">
        <v>10.700000000000003</v>
      </c>
      <c r="S1997" t="s">
        <v>77</v>
      </c>
    </row>
    <row r="1998" spans="1:19" x14ac:dyDescent="0.35">
      <c r="A1998">
        <v>23531</v>
      </c>
      <c r="B1998" t="str">
        <f>"023531"</f>
        <v>023531</v>
      </c>
      <c r="C1998" t="s">
        <v>6781</v>
      </c>
      <c r="D1998" t="s">
        <v>3394</v>
      </c>
      <c r="E1998" t="s">
        <v>3395</v>
      </c>
      <c r="F1998" t="s">
        <v>3396</v>
      </c>
      <c r="G1998" t="s">
        <v>117</v>
      </c>
      <c r="H1998" t="s">
        <v>6782</v>
      </c>
      <c r="I1998" t="s">
        <v>6783</v>
      </c>
      <c r="J1998" t="s">
        <v>1409</v>
      </c>
      <c r="K1998" t="s">
        <v>55</v>
      </c>
      <c r="L1998" t="s">
        <v>6784</v>
      </c>
      <c r="M1998" t="s">
        <v>57</v>
      </c>
      <c r="N1998" t="str">
        <f>"043711"</f>
        <v>043711</v>
      </c>
      <c r="O1998" t="s">
        <v>3000</v>
      </c>
      <c r="P1998" t="s">
        <v>68</v>
      </c>
      <c r="Q1998">
        <v>100</v>
      </c>
      <c r="R1998">
        <v>54.6</v>
      </c>
      <c r="S1998" t="s">
        <v>77</v>
      </c>
    </row>
    <row r="1999" spans="1:19" x14ac:dyDescent="0.35">
      <c r="A1999">
        <v>23549</v>
      </c>
      <c r="B1999" t="str">
        <f>"023549"</f>
        <v>023549</v>
      </c>
      <c r="C1999" t="s">
        <v>6785</v>
      </c>
      <c r="D1999" t="s">
        <v>3394</v>
      </c>
      <c r="E1999" t="s">
        <v>3395</v>
      </c>
      <c r="F1999" t="s">
        <v>3396</v>
      </c>
      <c r="G1999" t="s">
        <v>200</v>
      </c>
      <c r="H1999" t="s">
        <v>6786</v>
      </c>
      <c r="I1999" t="s">
        <v>6787</v>
      </c>
      <c r="J1999" t="s">
        <v>304</v>
      </c>
      <c r="K1999" t="s">
        <v>55</v>
      </c>
      <c r="L1999" t="s">
        <v>6788</v>
      </c>
      <c r="M1999" t="s">
        <v>57</v>
      </c>
      <c r="N1999" t="str">
        <f>"048231"</f>
        <v>048231</v>
      </c>
      <c r="O1999" t="s">
        <v>1553</v>
      </c>
      <c r="P1999" t="s">
        <v>68</v>
      </c>
      <c r="Q1999">
        <v>61.7</v>
      </c>
      <c r="R1999">
        <v>40</v>
      </c>
      <c r="S1999" t="s">
        <v>156</v>
      </c>
    </row>
    <row r="2000" spans="1:19" x14ac:dyDescent="0.35">
      <c r="A2000">
        <v>23572</v>
      </c>
      <c r="B2000" t="str">
        <f>"023572"</f>
        <v>023572</v>
      </c>
      <c r="C2000" t="s">
        <v>6789</v>
      </c>
      <c r="D2000" t="s">
        <v>3394</v>
      </c>
      <c r="E2000" t="s">
        <v>3395</v>
      </c>
      <c r="F2000" t="s">
        <v>3396</v>
      </c>
      <c r="G2000" t="s">
        <v>110</v>
      </c>
      <c r="H2000" t="s">
        <v>6790</v>
      </c>
      <c r="I2000" t="s">
        <v>6791</v>
      </c>
      <c r="J2000" t="s">
        <v>671</v>
      </c>
      <c r="K2000" t="s">
        <v>55</v>
      </c>
      <c r="L2000" t="s">
        <v>672</v>
      </c>
      <c r="M2000" t="s">
        <v>57</v>
      </c>
      <c r="N2000" t="str">
        <f>"044453"</f>
        <v>044453</v>
      </c>
      <c r="O2000" t="s">
        <v>668</v>
      </c>
      <c r="P2000" t="s">
        <v>68</v>
      </c>
      <c r="Q2000">
        <v>80.5</v>
      </c>
      <c r="R2000">
        <v>14.5</v>
      </c>
      <c r="S2000" t="s">
        <v>60</v>
      </c>
    </row>
    <row r="2001" spans="1:19" x14ac:dyDescent="0.35">
      <c r="A2001">
        <v>23606</v>
      </c>
      <c r="B2001" t="str">
        <f>"023606"</f>
        <v>023606</v>
      </c>
      <c r="C2001" t="s">
        <v>6792</v>
      </c>
      <c r="D2001" t="s">
        <v>3398</v>
      </c>
      <c r="E2001" t="s">
        <v>3395</v>
      </c>
      <c r="F2001" t="s">
        <v>3396</v>
      </c>
      <c r="G2001" t="s">
        <v>600</v>
      </c>
      <c r="H2001" t="s">
        <v>6793</v>
      </c>
      <c r="I2001" t="s">
        <v>6794</v>
      </c>
      <c r="J2001" t="s">
        <v>1348</v>
      </c>
      <c r="K2001" t="s">
        <v>55</v>
      </c>
      <c r="L2001" t="s">
        <v>4840</v>
      </c>
      <c r="M2001" t="s">
        <v>57</v>
      </c>
      <c r="N2001" t="str">
        <f>"043802"</f>
        <v>043802</v>
      </c>
      <c r="O2001" t="s">
        <v>3171</v>
      </c>
      <c r="P2001" t="s">
        <v>68</v>
      </c>
      <c r="Q2001">
        <v>100</v>
      </c>
      <c r="R2001">
        <v>72.099999999999994</v>
      </c>
      <c r="S2001" t="s">
        <v>60</v>
      </c>
    </row>
    <row r="2002" spans="1:19" x14ac:dyDescent="0.35">
      <c r="A2002">
        <v>23648</v>
      </c>
      <c r="B2002" t="str">
        <f>"023648"</f>
        <v>023648</v>
      </c>
      <c r="C2002" t="s">
        <v>6795</v>
      </c>
      <c r="D2002" t="s">
        <v>3394</v>
      </c>
      <c r="E2002" t="s">
        <v>3395</v>
      </c>
      <c r="F2002" t="s">
        <v>3396</v>
      </c>
      <c r="G2002" t="s">
        <v>200</v>
      </c>
      <c r="H2002" t="s">
        <v>6796</v>
      </c>
      <c r="I2002" t="s">
        <v>6797</v>
      </c>
      <c r="J2002" t="s">
        <v>304</v>
      </c>
      <c r="K2002" t="s">
        <v>55</v>
      </c>
      <c r="L2002" t="s">
        <v>4721</v>
      </c>
      <c r="M2002" t="s">
        <v>57</v>
      </c>
      <c r="N2002" t="str">
        <f>"044909"</f>
        <v>044909</v>
      </c>
      <c r="O2002" t="s">
        <v>3318</v>
      </c>
      <c r="P2002" t="s">
        <v>68</v>
      </c>
      <c r="Q2002">
        <v>100</v>
      </c>
      <c r="R2002">
        <v>82.1</v>
      </c>
      <c r="S2002" t="s">
        <v>156</v>
      </c>
    </row>
    <row r="2003" spans="1:19" x14ac:dyDescent="0.35">
      <c r="A2003">
        <v>23671</v>
      </c>
      <c r="B2003" t="str">
        <f>"023671"</f>
        <v>023671</v>
      </c>
      <c r="C2003" t="s">
        <v>6798</v>
      </c>
      <c r="D2003" t="s">
        <v>3394</v>
      </c>
      <c r="E2003" t="s">
        <v>3395</v>
      </c>
      <c r="F2003" t="s">
        <v>3396</v>
      </c>
      <c r="G2003" t="s">
        <v>642</v>
      </c>
      <c r="H2003" t="s">
        <v>6799</v>
      </c>
      <c r="I2003" t="s">
        <v>6800</v>
      </c>
      <c r="J2003" t="s">
        <v>1469</v>
      </c>
      <c r="K2003" t="s">
        <v>55</v>
      </c>
      <c r="L2003" t="s">
        <v>1470</v>
      </c>
      <c r="M2003" t="s">
        <v>57</v>
      </c>
      <c r="N2003" t="str">
        <f>"045153"</f>
        <v>045153</v>
      </c>
      <c r="O2003" t="s">
        <v>2754</v>
      </c>
      <c r="P2003" t="s">
        <v>68</v>
      </c>
      <c r="Q2003">
        <v>100</v>
      </c>
      <c r="R2003">
        <v>29.5</v>
      </c>
      <c r="S2003" t="s">
        <v>180</v>
      </c>
    </row>
    <row r="2004" spans="1:19" x14ac:dyDescent="0.35">
      <c r="A2004">
        <v>23705</v>
      </c>
      <c r="B2004" t="str">
        <f>"023705"</f>
        <v>023705</v>
      </c>
      <c r="C2004" t="s">
        <v>5923</v>
      </c>
      <c r="D2004" t="s">
        <v>3394</v>
      </c>
      <c r="E2004" t="s">
        <v>3395</v>
      </c>
      <c r="F2004" t="s">
        <v>3396</v>
      </c>
      <c r="G2004" t="s">
        <v>63</v>
      </c>
      <c r="H2004" t="s">
        <v>6801</v>
      </c>
      <c r="I2004" t="s">
        <v>6802</v>
      </c>
      <c r="J2004" t="s">
        <v>1271</v>
      </c>
      <c r="K2004" t="s">
        <v>55</v>
      </c>
      <c r="L2004" t="s">
        <v>1272</v>
      </c>
      <c r="M2004" t="s">
        <v>57</v>
      </c>
      <c r="N2004" t="str">
        <f>"044198"</f>
        <v>044198</v>
      </c>
      <c r="O2004" t="s">
        <v>1268</v>
      </c>
      <c r="P2004" t="s">
        <v>68</v>
      </c>
      <c r="Q2004">
        <v>36.6</v>
      </c>
      <c r="R2004">
        <v>22.799999999999997</v>
      </c>
      <c r="S2004" t="s">
        <v>69</v>
      </c>
    </row>
    <row r="2005" spans="1:19" x14ac:dyDescent="0.35">
      <c r="A2005">
        <v>23804</v>
      </c>
      <c r="B2005" t="str">
        <f>"023804"</f>
        <v>023804</v>
      </c>
      <c r="C2005" t="s">
        <v>6803</v>
      </c>
      <c r="D2005" t="s">
        <v>3394</v>
      </c>
      <c r="E2005" t="s">
        <v>3395</v>
      </c>
      <c r="F2005" t="s">
        <v>3396</v>
      </c>
      <c r="G2005" t="s">
        <v>481</v>
      </c>
      <c r="H2005" t="s">
        <v>6804</v>
      </c>
      <c r="I2005" t="s">
        <v>6805</v>
      </c>
      <c r="J2005" t="s">
        <v>818</v>
      </c>
      <c r="K2005" t="s">
        <v>55</v>
      </c>
      <c r="L2005" t="s">
        <v>819</v>
      </c>
      <c r="M2005" t="s">
        <v>57</v>
      </c>
      <c r="N2005" t="str">
        <f>"045369"</f>
        <v>045369</v>
      </c>
      <c r="O2005" t="s">
        <v>815</v>
      </c>
      <c r="P2005" t="s">
        <v>68</v>
      </c>
      <c r="Q2005">
        <v>54.3</v>
      </c>
      <c r="R2005">
        <v>26.400000000000006</v>
      </c>
      <c r="S2005" t="s">
        <v>69</v>
      </c>
    </row>
    <row r="2006" spans="1:19" x14ac:dyDescent="0.35">
      <c r="A2006">
        <v>23820</v>
      </c>
      <c r="B2006" t="str">
        <f>"023820"</f>
        <v>023820</v>
      </c>
      <c r="C2006" t="s">
        <v>6798</v>
      </c>
      <c r="D2006" t="s">
        <v>3394</v>
      </c>
      <c r="E2006" t="s">
        <v>3395</v>
      </c>
      <c r="F2006" t="s">
        <v>3396</v>
      </c>
      <c r="G2006" t="s">
        <v>536</v>
      </c>
      <c r="H2006" t="s">
        <v>6806</v>
      </c>
      <c r="I2006" t="s">
        <v>6807</v>
      </c>
      <c r="J2006" t="s">
        <v>1075</v>
      </c>
      <c r="K2006" t="s">
        <v>55</v>
      </c>
      <c r="L2006" t="s">
        <v>1076</v>
      </c>
      <c r="M2006" t="s">
        <v>57</v>
      </c>
      <c r="N2006" t="str">
        <f>"045450"</f>
        <v>045450</v>
      </c>
      <c r="O2006" t="s">
        <v>3247</v>
      </c>
      <c r="P2006" t="s">
        <v>68</v>
      </c>
      <c r="Q2006">
        <v>97.5</v>
      </c>
      <c r="R2006">
        <v>4</v>
      </c>
      <c r="S2006" t="s">
        <v>77</v>
      </c>
    </row>
    <row r="2007" spans="1:19" x14ac:dyDescent="0.35">
      <c r="A2007">
        <v>23838</v>
      </c>
      <c r="B2007" t="str">
        <f>"023838"</f>
        <v>023838</v>
      </c>
      <c r="C2007" t="s">
        <v>6808</v>
      </c>
      <c r="D2007" t="s">
        <v>3398</v>
      </c>
      <c r="E2007" t="s">
        <v>3395</v>
      </c>
      <c r="F2007" t="s">
        <v>3396</v>
      </c>
      <c r="G2007" t="s">
        <v>169</v>
      </c>
      <c r="H2007" t="s">
        <v>6809</v>
      </c>
      <c r="I2007" t="s">
        <v>6810</v>
      </c>
      <c r="J2007" t="s">
        <v>2973</v>
      </c>
      <c r="K2007" t="s">
        <v>55</v>
      </c>
      <c r="L2007" t="s">
        <v>2974</v>
      </c>
      <c r="M2007" t="s">
        <v>57</v>
      </c>
      <c r="N2007" t="str">
        <f>"044495"</f>
        <v>044495</v>
      </c>
      <c r="O2007" t="s">
        <v>2970</v>
      </c>
      <c r="P2007" t="s">
        <v>68</v>
      </c>
      <c r="Q2007">
        <v>56.3</v>
      </c>
      <c r="R2007">
        <v>20.099999999999994</v>
      </c>
      <c r="S2007" t="s">
        <v>77</v>
      </c>
    </row>
    <row r="2008" spans="1:19" x14ac:dyDescent="0.35">
      <c r="A2008">
        <v>23846</v>
      </c>
      <c r="B2008" t="str">
        <f>"023846"</f>
        <v>023846</v>
      </c>
      <c r="C2008" t="s">
        <v>6808</v>
      </c>
      <c r="D2008" t="s">
        <v>3398</v>
      </c>
      <c r="E2008" t="s">
        <v>3395</v>
      </c>
      <c r="F2008" t="s">
        <v>3396</v>
      </c>
      <c r="G2008" t="s">
        <v>117</v>
      </c>
      <c r="H2008" t="s">
        <v>6811</v>
      </c>
      <c r="I2008" t="s">
        <v>6812</v>
      </c>
      <c r="J2008" t="s">
        <v>1409</v>
      </c>
      <c r="K2008" t="s">
        <v>55</v>
      </c>
      <c r="L2008" t="s">
        <v>3640</v>
      </c>
      <c r="M2008" t="s">
        <v>57</v>
      </c>
      <c r="N2008" t="str">
        <f>"043711"</f>
        <v>043711</v>
      </c>
      <c r="O2008" t="s">
        <v>3000</v>
      </c>
      <c r="P2008" t="s">
        <v>68</v>
      </c>
      <c r="Q2008">
        <v>100</v>
      </c>
      <c r="R2008">
        <v>66.400000000000006</v>
      </c>
      <c r="S2008" t="s">
        <v>77</v>
      </c>
    </row>
    <row r="2009" spans="1:19" x14ac:dyDescent="0.35">
      <c r="A2009">
        <v>23879</v>
      </c>
      <c r="B2009" t="str">
        <f>"023879"</f>
        <v>023879</v>
      </c>
      <c r="C2009" t="s">
        <v>6813</v>
      </c>
      <c r="D2009" t="s">
        <v>3398</v>
      </c>
      <c r="E2009" t="s">
        <v>3395</v>
      </c>
      <c r="F2009" t="s">
        <v>3396</v>
      </c>
      <c r="G2009" t="s">
        <v>383</v>
      </c>
      <c r="H2009" t="s">
        <v>6814</v>
      </c>
      <c r="I2009" t="s">
        <v>6815</v>
      </c>
      <c r="J2009" t="s">
        <v>3258</v>
      </c>
      <c r="K2009" t="s">
        <v>55</v>
      </c>
      <c r="L2009" t="s">
        <v>3259</v>
      </c>
      <c r="M2009" t="s">
        <v>57</v>
      </c>
      <c r="N2009" t="str">
        <f>"048355"</f>
        <v>048355</v>
      </c>
      <c r="O2009" t="s">
        <v>3255</v>
      </c>
      <c r="P2009" t="s">
        <v>68</v>
      </c>
      <c r="Q2009">
        <v>98.9</v>
      </c>
      <c r="R2009">
        <v>8.5999999999999943</v>
      </c>
      <c r="S2009" t="s">
        <v>77</v>
      </c>
    </row>
    <row r="2010" spans="1:19" x14ac:dyDescent="0.35">
      <c r="A2010">
        <v>23903</v>
      </c>
      <c r="B2010" t="str">
        <f>"023903"</f>
        <v>023903</v>
      </c>
      <c r="C2010" t="s">
        <v>6816</v>
      </c>
      <c r="D2010" t="s">
        <v>3394</v>
      </c>
      <c r="E2010" t="s">
        <v>3395</v>
      </c>
      <c r="F2010" t="s">
        <v>3396</v>
      </c>
      <c r="G2010" t="s">
        <v>855</v>
      </c>
      <c r="H2010" t="s">
        <v>6817</v>
      </c>
      <c r="I2010" t="s">
        <v>6818</v>
      </c>
      <c r="J2010" t="s">
        <v>858</v>
      </c>
      <c r="K2010" t="s">
        <v>55</v>
      </c>
      <c r="L2010" t="s">
        <v>859</v>
      </c>
      <c r="M2010" t="s">
        <v>57</v>
      </c>
      <c r="N2010" t="str">
        <f>"045468"</f>
        <v>045468</v>
      </c>
      <c r="O2010" t="s">
        <v>854</v>
      </c>
      <c r="P2010" t="s">
        <v>68</v>
      </c>
      <c r="Q2010">
        <v>33.1</v>
      </c>
      <c r="R2010">
        <v>4.0999999999999943</v>
      </c>
      <c r="S2010" t="s">
        <v>77</v>
      </c>
    </row>
    <row r="2011" spans="1:19" x14ac:dyDescent="0.35">
      <c r="A2011">
        <v>23929</v>
      </c>
      <c r="B2011" t="str">
        <f>"023929"</f>
        <v>023929</v>
      </c>
      <c r="C2011" t="s">
        <v>6819</v>
      </c>
      <c r="D2011" t="s">
        <v>3394</v>
      </c>
      <c r="E2011" t="s">
        <v>3395</v>
      </c>
      <c r="F2011" t="s">
        <v>3396</v>
      </c>
      <c r="G2011" t="s">
        <v>200</v>
      </c>
      <c r="H2011" t="s">
        <v>6820</v>
      </c>
      <c r="I2011" t="s">
        <v>6821</v>
      </c>
      <c r="J2011" t="s">
        <v>304</v>
      </c>
      <c r="K2011" t="s">
        <v>55</v>
      </c>
      <c r="L2011" t="s">
        <v>5763</v>
      </c>
      <c r="M2011" t="s">
        <v>57</v>
      </c>
      <c r="N2011" t="str">
        <f>"044909"</f>
        <v>044909</v>
      </c>
      <c r="O2011" t="s">
        <v>3318</v>
      </c>
      <c r="P2011" t="s">
        <v>68</v>
      </c>
      <c r="Q2011">
        <v>91.9</v>
      </c>
      <c r="R2011">
        <v>72.5</v>
      </c>
      <c r="S2011" t="s">
        <v>156</v>
      </c>
    </row>
    <row r="2012" spans="1:19" x14ac:dyDescent="0.35">
      <c r="A2012">
        <v>23960</v>
      </c>
      <c r="B2012" t="str">
        <f>"023960"</f>
        <v>023960</v>
      </c>
      <c r="C2012" t="s">
        <v>6822</v>
      </c>
      <c r="D2012" t="s">
        <v>3398</v>
      </c>
      <c r="E2012" t="s">
        <v>3395</v>
      </c>
      <c r="F2012" t="s">
        <v>3396</v>
      </c>
      <c r="G2012" t="s">
        <v>1679</v>
      </c>
      <c r="H2012" t="s">
        <v>6823</v>
      </c>
      <c r="I2012" t="s">
        <v>6824</v>
      </c>
      <c r="J2012" t="s">
        <v>4076</v>
      </c>
      <c r="K2012" t="s">
        <v>55</v>
      </c>
      <c r="L2012" t="s">
        <v>4077</v>
      </c>
      <c r="M2012" t="s">
        <v>57</v>
      </c>
      <c r="N2012" t="str">
        <f>"047308"</f>
        <v>047308</v>
      </c>
      <c r="O2012" t="s">
        <v>1678</v>
      </c>
      <c r="P2012" t="s">
        <v>68</v>
      </c>
      <c r="Q2012">
        <v>45.5</v>
      </c>
      <c r="R2012">
        <v>4</v>
      </c>
      <c r="S2012" t="s">
        <v>130</v>
      </c>
    </row>
    <row r="2013" spans="1:19" x14ac:dyDescent="0.35">
      <c r="A2013">
        <v>23978</v>
      </c>
      <c r="B2013" t="str">
        <f>"023978"</f>
        <v>023978</v>
      </c>
      <c r="C2013" t="s">
        <v>6825</v>
      </c>
      <c r="D2013" t="s">
        <v>3394</v>
      </c>
      <c r="E2013" t="s">
        <v>3395</v>
      </c>
      <c r="F2013" t="s">
        <v>3396</v>
      </c>
      <c r="G2013" t="s">
        <v>543</v>
      </c>
      <c r="H2013" t="s">
        <v>6826</v>
      </c>
      <c r="I2013" t="s">
        <v>6827</v>
      </c>
      <c r="J2013" t="s">
        <v>687</v>
      </c>
      <c r="K2013" t="s">
        <v>55</v>
      </c>
      <c r="L2013" t="s">
        <v>3771</v>
      </c>
      <c r="M2013" t="s">
        <v>57</v>
      </c>
      <c r="N2013" t="str">
        <f>"043844"</f>
        <v>043844</v>
      </c>
      <c r="O2013" t="s">
        <v>985</v>
      </c>
      <c r="P2013" t="s">
        <v>68</v>
      </c>
      <c r="Q2013">
        <v>97.3</v>
      </c>
      <c r="R2013">
        <v>93.2</v>
      </c>
      <c r="S2013" t="s">
        <v>180</v>
      </c>
    </row>
    <row r="2014" spans="1:19" x14ac:dyDescent="0.35">
      <c r="A2014">
        <v>23986</v>
      </c>
      <c r="B2014" t="str">
        <f>"023986"</f>
        <v>023986</v>
      </c>
      <c r="C2014" t="s">
        <v>6828</v>
      </c>
      <c r="D2014" t="s">
        <v>3398</v>
      </c>
      <c r="E2014" t="s">
        <v>3395</v>
      </c>
      <c r="F2014" t="s">
        <v>3396</v>
      </c>
      <c r="G2014" t="s">
        <v>543</v>
      </c>
      <c r="H2014" t="s">
        <v>6829</v>
      </c>
      <c r="I2014" t="s">
        <v>6830</v>
      </c>
      <c r="J2014" t="s">
        <v>687</v>
      </c>
      <c r="K2014" t="s">
        <v>55</v>
      </c>
      <c r="L2014" t="s">
        <v>3771</v>
      </c>
      <c r="M2014" t="s">
        <v>57</v>
      </c>
      <c r="N2014" t="str">
        <f>"043844"</f>
        <v>043844</v>
      </c>
      <c r="O2014" t="s">
        <v>985</v>
      </c>
      <c r="P2014" t="s">
        <v>68</v>
      </c>
      <c r="Q2014">
        <v>96.2</v>
      </c>
      <c r="R2014">
        <v>90.8</v>
      </c>
      <c r="S2014" t="s">
        <v>180</v>
      </c>
    </row>
    <row r="2015" spans="1:19" x14ac:dyDescent="0.35">
      <c r="A2015">
        <v>23994</v>
      </c>
      <c r="B2015" t="str">
        <f>"023994"</f>
        <v>023994</v>
      </c>
      <c r="C2015" t="s">
        <v>6831</v>
      </c>
      <c r="D2015" t="s">
        <v>3394</v>
      </c>
      <c r="E2015" t="s">
        <v>3395</v>
      </c>
      <c r="F2015" t="s">
        <v>3396</v>
      </c>
      <c r="G2015" t="s">
        <v>759</v>
      </c>
      <c r="H2015" t="s">
        <v>6832</v>
      </c>
      <c r="I2015" t="s">
        <v>6833</v>
      </c>
      <c r="J2015" t="s">
        <v>400</v>
      </c>
      <c r="K2015" t="s">
        <v>55</v>
      </c>
      <c r="L2015" t="s">
        <v>762</v>
      </c>
      <c r="M2015" t="s">
        <v>57</v>
      </c>
      <c r="N2015" t="str">
        <f>"046813"</f>
        <v>046813</v>
      </c>
      <c r="O2015" t="s">
        <v>758</v>
      </c>
      <c r="P2015" t="s">
        <v>68</v>
      </c>
      <c r="Q2015">
        <v>27.3</v>
      </c>
      <c r="R2015">
        <v>23</v>
      </c>
      <c r="S2015" t="s">
        <v>69</v>
      </c>
    </row>
    <row r="2016" spans="1:19" x14ac:dyDescent="0.35">
      <c r="A2016">
        <v>24000</v>
      </c>
      <c r="B2016" t="str">
        <f>"024000"</f>
        <v>024000</v>
      </c>
      <c r="C2016" t="s">
        <v>6834</v>
      </c>
      <c r="D2016" t="s">
        <v>3394</v>
      </c>
      <c r="E2016" t="s">
        <v>3395</v>
      </c>
      <c r="F2016" t="s">
        <v>3396</v>
      </c>
      <c r="G2016" t="s">
        <v>200</v>
      </c>
      <c r="H2016" t="s">
        <v>6835</v>
      </c>
      <c r="I2016" t="s">
        <v>6836</v>
      </c>
      <c r="J2016" t="s">
        <v>304</v>
      </c>
      <c r="K2016" t="s">
        <v>55</v>
      </c>
      <c r="L2016" t="s">
        <v>4721</v>
      </c>
      <c r="M2016" t="s">
        <v>57</v>
      </c>
      <c r="N2016" t="str">
        <f>"048231"</f>
        <v>048231</v>
      </c>
      <c r="O2016" t="s">
        <v>1553</v>
      </c>
      <c r="P2016" t="s">
        <v>68</v>
      </c>
      <c r="Q2016">
        <v>55.8</v>
      </c>
      <c r="R2016">
        <v>41.1</v>
      </c>
      <c r="S2016" t="s">
        <v>156</v>
      </c>
    </row>
    <row r="2017" spans="1:19" x14ac:dyDescent="0.35">
      <c r="A2017">
        <v>24018</v>
      </c>
      <c r="B2017" t="str">
        <f>"024018"</f>
        <v>024018</v>
      </c>
      <c r="C2017" t="s">
        <v>6837</v>
      </c>
      <c r="D2017" t="s">
        <v>3394</v>
      </c>
      <c r="E2017" t="s">
        <v>3395</v>
      </c>
      <c r="F2017" t="s">
        <v>3396</v>
      </c>
      <c r="G2017" t="s">
        <v>206</v>
      </c>
      <c r="H2017" t="s">
        <v>531</v>
      </c>
      <c r="I2017" t="s">
        <v>532</v>
      </c>
      <c r="J2017" t="s">
        <v>533</v>
      </c>
      <c r="K2017" t="s">
        <v>55</v>
      </c>
      <c r="L2017" t="s">
        <v>534</v>
      </c>
      <c r="M2017" t="s">
        <v>57</v>
      </c>
      <c r="N2017" t="str">
        <f>"045484"</f>
        <v>045484</v>
      </c>
      <c r="O2017" t="s">
        <v>530</v>
      </c>
      <c r="P2017" t="s">
        <v>68</v>
      </c>
      <c r="Q2017">
        <v>33.6</v>
      </c>
      <c r="R2017">
        <v>8.7999999999999972</v>
      </c>
      <c r="S2017" t="s">
        <v>180</v>
      </c>
    </row>
    <row r="2018" spans="1:19" x14ac:dyDescent="0.35">
      <c r="A2018">
        <v>24026</v>
      </c>
      <c r="B2018" t="str">
        <f>"024026"</f>
        <v>024026</v>
      </c>
      <c r="C2018" t="s">
        <v>6838</v>
      </c>
      <c r="D2018" t="s">
        <v>3398</v>
      </c>
      <c r="E2018" t="s">
        <v>3395</v>
      </c>
      <c r="F2018" t="s">
        <v>3396</v>
      </c>
      <c r="G2018" t="s">
        <v>206</v>
      </c>
      <c r="H2018" t="s">
        <v>531</v>
      </c>
      <c r="I2018" t="s">
        <v>532</v>
      </c>
      <c r="J2018" t="s">
        <v>533</v>
      </c>
      <c r="K2018" t="s">
        <v>55</v>
      </c>
      <c r="L2018" t="s">
        <v>534</v>
      </c>
      <c r="M2018" t="s">
        <v>57</v>
      </c>
      <c r="N2018" t="str">
        <f>"045484"</f>
        <v>045484</v>
      </c>
      <c r="O2018" t="s">
        <v>530</v>
      </c>
      <c r="P2018" t="s">
        <v>68</v>
      </c>
      <c r="Q2018">
        <v>22.9</v>
      </c>
      <c r="R2018">
        <v>5.4000000000000057</v>
      </c>
      <c r="S2018" t="s">
        <v>180</v>
      </c>
    </row>
    <row r="2019" spans="1:19" x14ac:dyDescent="0.35">
      <c r="A2019">
        <v>24042</v>
      </c>
      <c r="B2019" t="str">
        <f>"024042"</f>
        <v>024042</v>
      </c>
      <c r="C2019" t="s">
        <v>6839</v>
      </c>
      <c r="D2019" t="s">
        <v>3394</v>
      </c>
      <c r="E2019" t="s">
        <v>3395</v>
      </c>
      <c r="F2019" t="s">
        <v>3396</v>
      </c>
      <c r="G2019" t="s">
        <v>92</v>
      </c>
      <c r="H2019" t="s">
        <v>6840</v>
      </c>
      <c r="I2019" t="s">
        <v>6841</v>
      </c>
      <c r="J2019" t="s">
        <v>1940</v>
      </c>
      <c r="K2019" t="s">
        <v>55</v>
      </c>
      <c r="L2019" t="s">
        <v>1941</v>
      </c>
      <c r="M2019" t="s">
        <v>57</v>
      </c>
      <c r="N2019" t="str">
        <f>"044206"</f>
        <v>044206</v>
      </c>
      <c r="O2019" t="s">
        <v>2980</v>
      </c>
      <c r="P2019" t="s">
        <v>68</v>
      </c>
      <c r="Q2019">
        <v>50.2</v>
      </c>
      <c r="R2019">
        <v>12.599999999999994</v>
      </c>
      <c r="S2019" t="s">
        <v>60</v>
      </c>
    </row>
    <row r="2020" spans="1:19" x14ac:dyDescent="0.35">
      <c r="A2020">
        <v>24059</v>
      </c>
      <c r="B2020" t="str">
        <f>"024059"</f>
        <v>024059</v>
      </c>
      <c r="C2020" t="s">
        <v>6842</v>
      </c>
      <c r="D2020" t="s">
        <v>3400</v>
      </c>
      <c r="E2020" t="s">
        <v>3395</v>
      </c>
      <c r="F2020" t="s">
        <v>3396</v>
      </c>
      <c r="G2020" t="s">
        <v>406</v>
      </c>
      <c r="H2020" t="s">
        <v>6843</v>
      </c>
      <c r="I2020" t="s">
        <v>6844</v>
      </c>
      <c r="J2020" t="s">
        <v>406</v>
      </c>
      <c r="K2020" t="s">
        <v>55</v>
      </c>
      <c r="L2020" t="s">
        <v>409</v>
      </c>
      <c r="M2020" t="s">
        <v>57</v>
      </c>
      <c r="N2020" t="str">
        <f>"044388"</f>
        <v>044388</v>
      </c>
      <c r="O2020" t="s">
        <v>3325</v>
      </c>
      <c r="P2020" t="s">
        <v>68</v>
      </c>
      <c r="Q2020">
        <v>23.6</v>
      </c>
      <c r="R2020">
        <v>18.700000000000003</v>
      </c>
      <c r="S2020" t="s">
        <v>77</v>
      </c>
    </row>
    <row r="2021" spans="1:19" x14ac:dyDescent="0.35">
      <c r="A2021">
        <v>24067</v>
      </c>
      <c r="B2021" t="str">
        <f>"024067"</f>
        <v>024067</v>
      </c>
      <c r="C2021" t="s">
        <v>6845</v>
      </c>
      <c r="D2021" t="s">
        <v>3400</v>
      </c>
      <c r="E2021" t="s">
        <v>3395</v>
      </c>
      <c r="F2021" t="s">
        <v>3396</v>
      </c>
      <c r="G2021" t="s">
        <v>600</v>
      </c>
      <c r="H2021" t="s">
        <v>6846</v>
      </c>
      <c r="I2021" t="s">
        <v>6847</v>
      </c>
      <c r="J2021" t="s">
        <v>1348</v>
      </c>
      <c r="K2021" t="s">
        <v>55</v>
      </c>
      <c r="L2021" t="s">
        <v>3736</v>
      </c>
      <c r="M2021" t="s">
        <v>57</v>
      </c>
      <c r="N2021" t="str">
        <f>"043802"</f>
        <v>043802</v>
      </c>
      <c r="O2021" t="s">
        <v>3171</v>
      </c>
      <c r="P2021" t="s">
        <v>68</v>
      </c>
      <c r="Q2021">
        <v>100</v>
      </c>
      <c r="R2021">
        <v>83.4</v>
      </c>
      <c r="S2021" t="s">
        <v>60</v>
      </c>
    </row>
    <row r="2022" spans="1:19" x14ac:dyDescent="0.35">
      <c r="A2022">
        <v>24075</v>
      </c>
      <c r="B2022" t="str">
        <f>"024075"</f>
        <v>024075</v>
      </c>
      <c r="C2022" t="s">
        <v>6848</v>
      </c>
      <c r="D2022" t="s">
        <v>3398</v>
      </c>
      <c r="E2022" t="s">
        <v>3395</v>
      </c>
      <c r="F2022" t="s">
        <v>3396</v>
      </c>
      <c r="G2022" t="s">
        <v>406</v>
      </c>
      <c r="H2022" t="s">
        <v>6849</v>
      </c>
      <c r="I2022" t="s">
        <v>6850</v>
      </c>
      <c r="J2022" t="s">
        <v>406</v>
      </c>
      <c r="K2022" t="s">
        <v>55</v>
      </c>
      <c r="L2022" t="s">
        <v>409</v>
      </c>
      <c r="M2022" t="s">
        <v>57</v>
      </c>
      <c r="N2022" t="str">
        <f>"044388"</f>
        <v>044388</v>
      </c>
      <c r="O2022" t="s">
        <v>3325</v>
      </c>
      <c r="P2022" t="s">
        <v>68</v>
      </c>
      <c r="Q2022">
        <v>13.3</v>
      </c>
      <c r="R2022">
        <v>11.599999999999994</v>
      </c>
      <c r="S2022" t="s">
        <v>77</v>
      </c>
    </row>
    <row r="2023" spans="1:19" x14ac:dyDescent="0.35">
      <c r="A2023">
        <v>24117</v>
      </c>
      <c r="B2023" t="str">
        <f>"024117"</f>
        <v>024117</v>
      </c>
      <c r="C2023" t="s">
        <v>6851</v>
      </c>
      <c r="D2023" t="s">
        <v>3398</v>
      </c>
      <c r="E2023" t="s">
        <v>3395</v>
      </c>
      <c r="F2023" t="s">
        <v>3396</v>
      </c>
      <c r="G2023" t="s">
        <v>966</v>
      </c>
      <c r="H2023" t="s">
        <v>6852</v>
      </c>
      <c r="I2023" t="s">
        <v>6853</v>
      </c>
      <c r="J2023" t="s">
        <v>969</v>
      </c>
      <c r="K2023" t="s">
        <v>55</v>
      </c>
      <c r="L2023" t="s">
        <v>970</v>
      </c>
      <c r="M2023" t="s">
        <v>57</v>
      </c>
      <c r="N2023" t="str">
        <f>"048520"</f>
        <v>048520</v>
      </c>
      <c r="O2023" t="s">
        <v>1264</v>
      </c>
      <c r="P2023" t="s">
        <v>68</v>
      </c>
      <c r="Q2023">
        <v>99.8</v>
      </c>
      <c r="R2023">
        <v>5.2999999999999972</v>
      </c>
      <c r="S2023" t="s">
        <v>130</v>
      </c>
    </row>
    <row r="2024" spans="1:19" x14ac:dyDescent="0.35">
      <c r="A2024">
        <v>24141</v>
      </c>
      <c r="B2024" t="str">
        <f>"024141"</f>
        <v>024141</v>
      </c>
      <c r="C2024" t="s">
        <v>6854</v>
      </c>
      <c r="D2024" t="s">
        <v>3394</v>
      </c>
      <c r="E2024" t="s">
        <v>3395</v>
      </c>
      <c r="F2024" t="s">
        <v>3396</v>
      </c>
      <c r="G2024" t="s">
        <v>481</v>
      </c>
      <c r="H2024" t="s">
        <v>6855</v>
      </c>
      <c r="I2024" t="s">
        <v>6856</v>
      </c>
      <c r="J2024" t="s">
        <v>876</v>
      </c>
      <c r="K2024" t="s">
        <v>55</v>
      </c>
      <c r="L2024" t="s">
        <v>819</v>
      </c>
      <c r="M2024" t="s">
        <v>57</v>
      </c>
      <c r="N2024" t="str">
        <f>"047894"</f>
        <v>047894</v>
      </c>
      <c r="O2024" t="s">
        <v>287</v>
      </c>
      <c r="P2024" t="s">
        <v>68</v>
      </c>
      <c r="Q2024">
        <v>22.9</v>
      </c>
      <c r="R2024">
        <v>26</v>
      </c>
      <c r="S2024" t="s">
        <v>69</v>
      </c>
    </row>
    <row r="2025" spans="1:19" x14ac:dyDescent="0.35">
      <c r="A2025">
        <v>24166</v>
      </c>
      <c r="B2025" t="str">
        <f>"024166"</f>
        <v>024166</v>
      </c>
      <c r="C2025" t="s">
        <v>6857</v>
      </c>
      <c r="D2025" t="s">
        <v>3394</v>
      </c>
      <c r="E2025" t="s">
        <v>3395</v>
      </c>
      <c r="F2025" t="s">
        <v>3396</v>
      </c>
      <c r="G2025" t="s">
        <v>187</v>
      </c>
      <c r="H2025" t="s">
        <v>6858</v>
      </c>
      <c r="I2025" t="s">
        <v>6859</v>
      </c>
      <c r="J2025" t="s">
        <v>309</v>
      </c>
      <c r="K2025" t="s">
        <v>55</v>
      </c>
      <c r="L2025" t="s">
        <v>310</v>
      </c>
      <c r="M2025" t="s">
        <v>57</v>
      </c>
      <c r="N2025" t="str">
        <f>"045120"</f>
        <v>045120</v>
      </c>
      <c r="O2025" t="s">
        <v>306</v>
      </c>
      <c r="P2025" t="s">
        <v>68</v>
      </c>
      <c r="Q2025">
        <v>48</v>
      </c>
      <c r="R2025">
        <v>20.700000000000003</v>
      </c>
      <c r="S2025" t="s">
        <v>77</v>
      </c>
    </row>
    <row r="2026" spans="1:19" x14ac:dyDescent="0.35">
      <c r="A2026">
        <v>24190</v>
      </c>
      <c r="B2026" t="str">
        <f>"024190"</f>
        <v>024190</v>
      </c>
      <c r="C2026" t="s">
        <v>6860</v>
      </c>
      <c r="D2026" t="s">
        <v>3398</v>
      </c>
      <c r="E2026" t="s">
        <v>3395</v>
      </c>
      <c r="F2026" t="s">
        <v>3396</v>
      </c>
      <c r="G2026" t="s">
        <v>383</v>
      </c>
      <c r="H2026" t="s">
        <v>3084</v>
      </c>
      <c r="I2026" t="s">
        <v>3085</v>
      </c>
      <c r="J2026" t="s">
        <v>3086</v>
      </c>
      <c r="K2026" t="s">
        <v>55</v>
      </c>
      <c r="L2026" t="s">
        <v>3087</v>
      </c>
      <c r="M2026" t="s">
        <v>57</v>
      </c>
      <c r="N2026" t="str">
        <f>"043703"</f>
        <v>043703</v>
      </c>
      <c r="O2026" t="s">
        <v>3083</v>
      </c>
      <c r="P2026" t="s">
        <v>68</v>
      </c>
      <c r="Q2026">
        <v>99.7</v>
      </c>
      <c r="R2026">
        <v>77.400000000000006</v>
      </c>
      <c r="S2026" t="s">
        <v>77</v>
      </c>
    </row>
    <row r="2027" spans="1:19" x14ac:dyDescent="0.35">
      <c r="A2027">
        <v>24208</v>
      </c>
      <c r="B2027" t="str">
        <f>"024208"</f>
        <v>024208</v>
      </c>
      <c r="C2027" t="s">
        <v>6861</v>
      </c>
      <c r="D2027" t="s">
        <v>3398</v>
      </c>
      <c r="E2027" t="s">
        <v>3395</v>
      </c>
      <c r="F2027" t="s">
        <v>3396</v>
      </c>
      <c r="G2027" t="s">
        <v>554</v>
      </c>
      <c r="H2027" t="s">
        <v>6773</v>
      </c>
      <c r="I2027" t="s">
        <v>6774</v>
      </c>
      <c r="J2027" t="s">
        <v>2223</v>
      </c>
      <c r="K2027" t="s">
        <v>55</v>
      </c>
      <c r="L2027" t="s">
        <v>2224</v>
      </c>
      <c r="M2027" t="s">
        <v>57</v>
      </c>
      <c r="N2027" t="str">
        <f>"044727"</f>
        <v>044727</v>
      </c>
      <c r="O2027" t="s">
        <v>2220</v>
      </c>
      <c r="P2027" t="s">
        <v>68</v>
      </c>
      <c r="Q2027">
        <v>31.5</v>
      </c>
      <c r="R2027">
        <v>7.7000000000000028</v>
      </c>
      <c r="S2027" t="s">
        <v>156</v>
      </c>
    </row>
    <row r="2028" spans="1:19" x14ac:dyDescent="0.35">
      <c r="A2028">
        <v>24216</v>
      </c>
      <c r="B2028" t="str">
        <f>"024216"</f>
        <v>024216</v>
      </c>
      <c r="C2028" t="s">
        <v>6862</v>
      </c>
      <c r="D2028" t="s">
        <v>3506</v>
      </c>
      <c r="E2028" t="s">
        <v>3395</v>
      </c>
      <c r="F2028" t="s">
        <v>3396</v>
      </c>
      <c r="G2028" t="s">
        <v>63</v>
      </c>
      <c r="H2028" t="s">
        <v>6863</v>
      </c>
      <c r="I2028" t="s">
        <v>6864</v>
      </c>
      <c r="J2028" t="s">
        <v>285</v>
      </c>
      <c r="K2028" t="s">
        <v>55</v>
      </c>
      <c r="L2028" t="s">
        <v>286</v>
      </c>
      <c r="M2028" t="s">
        <v>57</v>
      </c>
      <c r="N2028" t="str">
        <f>"044792"</f>
        <v>044792</v>
      </c>
      <c r="O2028" t="s">
        <v>2331</v>
      </c>
      <c r="P2028" t="s">
        <v>68</v>
      </c>
      <c r="Q2028">
        <v>62.6</v>
      </c>
      <c r="R2028">
        <v>92.4</v>
      </c>
      <c r="S2028" t="s">
        <v>69</v>
      </c>
    </row>
    <row r="2029" spans="1:19" x14ac:dyDescent="0.35">
      <c r="A2029">
        <v>24224</v>
      </c>
      <c r="B2029" t="str">
        <f>"024224"</f>
        <v>024224</v>
      </c>
      <c r="C2029" t="s">
        <v>6865</v>
      </c>
      <c r="D2029" t="s">
        <v>3400</v>
      </c>
      <c r="E2029" t="s">
        <v>3395</v>
      </c>
      <c r="F2029" t="s">
        <v>3396</v>
      </c>
      <c r="G2029" t="s">
        <v>481</v>
      </c>
      <c r="H2029" t="s">
        <v>6866</v>
      </c>
      <c r="I2029" t="s">
        <v>6867</v>
      </c>
      <c r="J2029" t="s">
        <v>484</v>
      </c>
      <c r="K2029" t="s">
        <v>55</v>
      </c>
      <c r="L2029" t="s">
        <v>485</v>
      </c>
      <c r="M2029" t="s">
        <v>57</v>
      </c>
      <c r="N2029" t="str">
        <f>"045492"</f>
        <v>045492</v>
      </c>
      <c r="O2029" t="s">
        <v>3003</v>
      </c>
      <c r="P2029" t="s">
        <v>68</v>
      </c>
      <c r="Q2029">
        <v>27.7</v>
      </c>
      <c r="R2029">
        <v>14.599999999999994</v>
      </c>
      <c r="S2029" t="s">
        <v>69</v>
      </c>
    </row>
    <row r="2030" spans="1:19" x14ac:dyDescent="0.35">
      <c r="A2030">
        <v>24273</v>
      </c>
      <c r="B2030" t="str">
        <f>"024273"</f>
        <v>024273</v>
      </c>
      <c r="C2030" t="s">
        <v>6868</v>
      </c>
      <c r="D2030" t="s">
        <v>3394</v>
      </c>
      <c r="E2030" t="s">
        <v>3395</v>
      </c>
      <c r="F2030" t="s">
        <v>3396</v>
      </c>
      <c r="G2030" t="s">
        <v>543</v>
      </c>
      <c r="H2030" t="s">
        <v>6869</v>
      </c>
      <c r="I2030" t="s">
        <v>6870</v>
      </c>
      <c r="J2030" t="s">
        <v>1252</v>
      </c>
      <c r="K2030" t="s">
        <v>55</v>
      </c>
      <c r="L2030" t="s">
        <v>1253</v>
      </c>
      <c r="M2030" t="s">
        <v>57</v>
      </c>
      <c r="N2030" t="str">
        <f>"048751"</f>
        <v>048751</v>
      </c>
      <c r="O2030" t="s">
        <v>1249</v>
      </c>
      <c r="P2030" t="s">
        <v>68</v>
      </c>
      <c r="Q2030">
        <v>52.3</v>
      </c>
      <c r="R2030">
        <v>44.4</v>
      </c>
      <c r="S2030" t="s">
        <v>180</v>
      </c>
    </row>
    <row r="2031" spans="1:19" x14ac:dyDescent="0.35">
      <c r="A2031">
        <v>24281</v>
      </c>
      <c r="B2031" t="str">
        <f>"024281"</f>
        <v>024281</v>
      </c>
      <c r="C2031" t="s">
        <v>6871</v>
      </c>
      <c r="D2031" t="s">
        <v>3398</v>
      </c>
      <c r="E2031" t="s">
        <v>3395</v>
      </c>
      <c r="F2031" t="s">
        <v>3396</v>
      </c>
      <c r="G2031" t="s">
        <v>481</v>
      </c>
      <c r="H2031" t="s">
        <v>6872</v>
      </c>
      <c r="I2031" t="s">
        <v>6873</v>
      </c>
      <c r="J2031" t="s">
        <v>484</v>
      </c>
      <c r="K2031" t="s">
        <v>55</v>
      </c>
      <c r="L2031" t="s">
        <v>485</v>
      </c>
      <c r="M2031" t="s">
        <v>57</v>
      </c>
      <c r="N2031" t="str">
        <f>"045492"</f>
        <v>045492</v>
      </c>
      <c r="O2031" t="s">
        <v>3003</v>
      </c>
      <c r="P2031" t="s">
        <v>68</v>
      </c>
      <c r="Q2031">
        <v>30.7</v>
      </c>
      <c r="R2031">
        <v>15</v>
      </c>
      <c r="S2031" t="s">
        <v>69</v>
      </c>
    </row>
    <row r="2032" spans="1:19" x14ac:dyDescent="0.35">
      <c r="A2032">
        <v>24307</v>
      </c>
      <c r="B2032" t="str">
        <f>"024307"</f>
        <v>024307</v>
      </c>
      <c r="C2032" t="s">
        <v>6874</v>
      </c>
      <c r="D2032" t="s">
        <v>3394</v>
      </c>
      <c r="E2032" t="s">
        <v>3395</v>
      </c>
      <c r="F2032" t="s">
        <v>3396</v>
      </c>
      <c r="G2032" t="s">
        <v>63</v>
      </c>
      <c r="H2032" t="s">
        <v>6875</v>
      </c>
      <c r="I2032" t="s">
        <v>6876</v>
      </c>
      <c r="J2032" t="s">
        <v>101</v>
      </c>
      <c r="K2032" t="s">
        <v>55</v>
      </c>
      <c r="L2032" t="s">
        <v>3032</v>
      </c>
      <c r="M2032" t="s">
        <v>57</v>
      </c>
      <c r="N2032" t="str">
        <f>"044750"</f>
        <v>044750</v>
      </c>
      <c r="O2032" t="s">
        <v>98</v>
      </c>
      <c r="P2032" t="s">
        <v>68</v>
      </c>
      <c r="Q2032">
        <v>33.9</v>
      </c>
      <c r="R2032">
        <v>55.5</v>
      </c>
      <c r="S2032" t="s">
        <v>69</v>
      </c>
    </row>
    <row r="2033" spans="1:19" x14ac:dyDescent="0.35">
      <c r="A2033">
        <v>24323</v>
      </c>
      <c r="B2033" t="str">
        <f>"024323"</f>
        <v>024323</v>
      </c>
      <c r="C2033" t="s">
        <v>6877</v>
      </c>
      <c r="D2033" t="s">
        <v>3394</v>
      </c>
      <c r="E2033" t="s">
        <v>3395</v>
      </c>
      <c r="F2033" t="s">
        <v>3396</v>
      </c>
      <c r="G2033" t="s">
        <v>1041</v>
      </c>
      <c r="H2033" t="s">
        <v>6878</v>
      </c>
      <c r="I2033" t="s">
        <v>6879</v>
      </c>
      <c r="J2033" t="s">
        <v>215</v>
      </c>
      <c r="K2033" t="s">
        <v>55</v>
      </c>
      <c r="L2033" t="s">
        <v>1044</v>
      </c>
      <c r="M2033" t="s">
        <v>57</v>
      </c>
      <c r="N2033" t="str">
        <f>"046359"</f>
        <v>046359</v>
      </c>
      <c r="O2033" t="s">
        <v>1040</v>
      </c>
      <c r="P2033" t="s">
        <v>68</v>
      </c>
      <c r="Q2033">
        <v>32.700000000000003</v>
      </c>
      <c r="R2033">
        <v>15.299999999999997</v>
      </c>
      <c r="S2033" t="s">
        <v>217</v>
      </c>
    </row>
    <row r="2034" spans="1:19" x14ac:dyDescent="0.35">
      <c r="A2034">
        <v>24331</v>
      </c>
      <c r="B2034" t="str">
        <f>"024331"</f>
        <v>024331</v>
      </c>
      <c r="C2034" t="s">
        <v>6880</v>
      </c>
      <c r="D2034" t="s">
        <v>3394</v>
      </c>
      <c r="E2034" t="s">
        <v>3395</v>
      </c>
      <c r="F2034" t="s">
        <v>3396</v>
      </c>
      <c r="G2034" t="s">
        <v>169</v>
      </c>
      <c r="H2034" t="s">
        <v>6881</v>
      </c>
      <c r="I2034" t="s">
        <v>6882</v>
      </c>
      <c r="J2034" t="s">
        <v>6883</v>
      </c>
      <c r="K2034" t="s">
        <v>55</v>
      </c>
      <c r="L2034" t="s">
        <v>6884</v>
      </c>
      <c r="M2034" t="s">
        <v>57</v>
      </c>
      <c r="N2034" t="str">
        <f>"050096"</f>
        <v>050096</v>
      </c>
      <c r="O2034" t="s">
        <v>411</v>
      </c>
      <c r="P2034" t="s">
        <v>68</v>
      </c>
      <c r="Q2034">
        <v>70.900000000000006</v>
      </c>
      <c r="R2034">
        <v>7.2999999999999972</v>
      </c>
      <c r="S2034" t="s">
        <v>77</v>
      </c>
    </row>
    <row r="2035" spans="1:19" x14ac:dyDescent="0.35">
      <c r="A2035">
        <v>24349</v>
      </c>
      <c r="B2035" t="str">
        <f>"024349"</f>
        <v>024349</v>
      </c>
      <c r="C2035" t="s">
        <v>6885</v>
      </c>
      <c r="D2035" t="s">
        <v>3400</v>
      </c>
      <c r="E2035" t="s">
        <v>3395</v>
      </c>
      <c r="F2035" t="s">
        <v>3396</v>
      </c>
      <c r="G2035" t="s">
        <v>344</v>
      </c>
      <c r="H2035" t="s">
        <v>345</v>
      </c>
      <c r="I2035" t="s">
        <v>346</v>
      </c>
      <c r="J2035" t="s">
        <v>347</v>
      </c>
      <c r="K2035" t="s">
        <v>55</v>
      </c>
      <c r="L2035" t="s">
        <v>348</v>
      </c>
      <c r="M2035" t="s">
        <v>57</v>
      </c>
      <c r="N2035" t="str">
        <f>"047050"</f>
        <v>047050</v>
      </c>
      <c r="O2035" t="s">
        <v>343</v>
      </c>
      <c r="P2035" t="s">
        <v>68</v>
      </c>
      <c r="Q2035">
        <v>31.3</v>
      </c>
      <c r="R2035">
        <v>13.700000000000003</v>
      </c>
      <c r="S2035" t="s">
        <v>156</v>
      </c>
    </row>
    <row r="2036" spans="1:19" x14ac:dyDescent="0.35">
      <c r="A2036">
        <v>24364</v>
      </c>
      <c r="B2036" t="str">
        <f>"024364"</f>
        <v>024364</v>
      </c>
      <c r="C2036" t="s">
        <v>6886</v>
      </c>
      <c r="D2036" t="s">
        <v>3506</v>
      </c>
      <c r="E2036" t="s">
        <v>3395</v>
      </c>
      <c r="F2036" t="s">
        <v>3396</v>
      </c>
      <c r="G2036" t="s">
        <v>325</v>
      </c>
      <c r="H2036" t="s">
        <v>6887</v>
      </c>
      <c r="I2036" t="s">
        <v>6888</v>
      </c>
      <c r="J2036" t="s">
        <v>3341</v>
      </c>
      <c r="K2036" t="s">
        <v>55</v>
      </c>
      <c r="L2036" t="s">
        <v>3342</v>
      </c>
      <c r="M2036" t="s">
        <v>57</v>
      </c>
      <c r="N2036" t="str">
        <f>"048629"</f>
        <v>048629</v>
      </c>
      <c r="O2036" t="s">
        <v>3338</v>
      </c>
      <c r="P2036" t="s">
        <v>68</v>
      </c>
      <c r="Q2036">
        <v>12.4</v>
      </c>
      <c r="R2036">
        <v>3.9000000000000057</v>
      </c>
      <c r="S2036" t="s">
        <v>180</v>
      </c>
    </row>
    <row r="2037" spans="1:19" x14ac:dyDescent="0.35">
      <c r="A2037">
        <v>24372</v>
      </c>
      <c r="B2037" t="str">
        <f>"024372"</f>
        <v>024372</v>
      </c>
      <c r="C2037" t="s">
        <v>6889</v>
      </c>
      <c r="D2037" t="s">
        <v>3398</v>
      </c>
      <c r="E2037" t="s">
        <v>3395</v>
      </c>
      <c r="F2037" t="s">
        <v>3396</v>
      </c>
      <c r="G2037" t="s">
        <v>325</v>
      </c>
      <c r="H2037" t="s">
        <v>6890</v>
      </c>
      <c r="I2037" t="s">
        <v>6891</v>
      </c>
      <c r="J2037" t="s">
        <v>3341</v>
      </c>
      <c r="K2037" t="s">
        <v>55</v>
      </c>
      <c r="L2037" t="s">
        <v>3342</v>
      </c>
      <c r="M2037" t="s">
        <v>57</v>
      </c>
      <c r="N2037" t="str">
        <f>"048629"</f>
        <v>048629</v>
      </c>
      <c r="O2037" t="s">
        <v>3338</v>
      </c>
      <c r="P2037" t="s">
        <v>68</v>
      </c>
      <c r="Q2037">
        <v>12.3</v>
      </c>
      <c r="R2037">
        <v>4.5999999999999943</v>
      </c>
      <c r="S2037" t="s">
        <v>180</v>
      </c>
    </row>
    <row r="2038" spans="1:19" x14ac:dyDescent="0.35">
      <c r="A2038">
        <v>24380</v>
      </c>
      <c r="B2038" t="str">
        <f>"024380"</f>
        <v>024380</v>
      </c>
      <c r="C2038" t="s">
        <v>6892</v>
      </c>
      <c r="D2038" t="s">
        <v>3394</v>
      </c>
      <c r="E2038" t="s">
        <v>3395</v>
      </c>
      <c r="F2038" t="s">
        <v>3396</v>
      </c>
      <c r="G2038" t="s">
        <v>1041</v>
      </c>
      <c r="H2038" t="s">
        <v>6893</v>
      </c>
      <c r="I2038" t="s">
        <v>6894</v>
      </c>
      <c r="J2038" t="s">
        <v>1115</v>
      </c>
      <c r="K2038" t="s">
        <v>55</v>
      </c>
      <c r="L2038" t="s">
        <v>1116</v>
      </c>
      <c r="M2038" t="s">
        <v>57</v>
      </c>
      <c r="N2038" t="str">
        <f>"045500"</f>
        <v>045500</v>
      </c>
      <c r="O2038" t="s">
        <v>1112</v>
      </c>
      <c r="P2038" t="s">
        <v>68</v>
      </c>
      <c r="Q2038" t="s">
        <v>68</v>
      </c>
      <c r="R2038" t="s">
        <v>68</v>
      </c>
      <c r="S2038" t="s">
        <v>217</v>
      </c>
    </row>
    <row r="2039" spans="1:19" x14ac:dyDescent="0.35">
      <c r="A2039">
        <v>24398</v>
      </c>
      <c r="B2039" t="str">
        <f>"024398"</f>
        <v>024398</v>
      </c>
      <c r="C2039" t="s">
        <v>6895</v>
      </c>
      <c r="D2039" t="s">
        <v>3394</v>
      </c>
      <c r="E2039" t="s">
        <v>3395</v>
      </c>
      <c r="F2039" t="s">
        <v>3396</v>
      </c>
      <c r="G2039" t="s">
        <v>212</v>
      </c>
      <c r="H2039" t="s">
        <v>6896</v>
      </c>
      <c r="I2039" t="s">
        <v>6897</v>
      </c>
      <c r="J2039" t="s">
        <v>215</v>
      </c>
      <c r="K2039" t="s">
        <v>55</v>
      </c>
      <c r="L2039" t="s">
        <v>216</v>
      </c>
      <c r="M2039" t="s">
        <v>57</v>
      </c>
      <c r="N2039" t="str">
        <f>"044289"</f>
        <v>044289</v>
      </c>
      <c r="O2039" t="s">
        <v>2441</v>
      </c>
      <c r="P2039" t="s">
        <v>68</v>
      </c>
      <c r="Q2039">
        <v>5.0999999999999996</v>
      </c>
      <c r="R2039">
        <v>15.900000000000006</v>
      </c>
      <c r="S2039" t="s">
        <v>217</v>
      </c>
    </row>
    <row r="2040" spans="1:19" x14ac:dyDescent="0.35">
      <c r="A2040">
        <v>24414</v>
      </c>
      <c r="B2040" t="str">
        <f>"024414"</f>
        <v>024414</v>
      </c>
      <c r="C2040" t="s">
        <v>6898</v>
      </c>
      <c r="D2040" t="s">
        <v>3398</v>
      </c>
      <c r="E2040" t="s">
        <v>3395</v>
      </c>
      <c r="F2040" t="s">
        <v>3396</v>
      </c>
      <c r="G2040" t="s">
        <v>2298</v>
      </c>
      <c r="H2040" t="s">
        <v>6899</v>
      </c>
      <c r="I2040" t="s">
        <v>6900</v>
      </c>
      <c r="J2040" t="s">
        <v>2301</v>
      </c>
      <c r="K2040" t="s">
        <v>55</v>
      </c>
      <c r="L2040" t="s">
        <v>2302</v>
      </c>
      <c r="M2040" t="s">
        <v>57</v>
      </c>
      <c r="N2040" t="str">
        <f>"046920"</f>
        <v>046920</v>
      </c>
      <c r="O2040" t="s">
        <v>2297</v>
      </c>
      <c r="P2040" t="s">
        <v>68</v>
      </c>
      <c r="Q2040">
        <v>34.1</v>
      </c>
      <c r="R2040">
        <v>9.2999999999999972</v>
      </c>
      <c r="S2040" t="s">
        <v>60</v>
      </c>
    </row>
    <row r="2041" spans="1:19" x14ac:dyDescent="0.35">
      <c r="A2041">
        <v>24422</v>
      </c>
      <c r="B2041" t="str">
        <f>"024422"</f>
        <v>024422</v>
      </c>
      <c r="C2041" t="s">
        <v>6901</v>
      </c>
      <c r="D2041" t="s">
        <v>3398</v>
      </c>
      <c r="E2041" t="s">
        <v>3395</v>
      </c>
      <c r="F2041" t="s">
        <v>3396</v>
      </c>
      <c r="G2041" t="s">
        <v>543</v>
      </c>
      <c r="H2041" t="s">
        <v>6902</v>
      </c>
      <c r="I2041" t="s">
        <v>6903</v>
      </c>
      <c r="J2041" t="s">
        <v>790</v>
      </c>
      <c r="K2041" t="s">
        <v>55</v>
      </c>
      <c r="L2041" t="s">
        <v>791</v>
      </c>
      <c r="M2041" t="s">
        <v>57</v>
      </c>
      <c r="N2041" t="str">
        <f>"044396"</f>
        <v>044396</v>
      </c>
      <c r="O2041" t="s">
        <v>787</v>
      </c>
      <c r="P2041" t="s">
        <v>68</v>
      </c>
      <c r="Q2041">
        <v>35.700000000000003</v>
      </c>
      <c r="R2041">
        <v>21.700000000000003</v>
      </c>
      <c r="S2041" t="s">
        <v>180</v>
      </c>
    </row>
    <row r="2042" spans="1:19" x14ac:dyDescent="0.35">
      <c r="A2042">
        <v>24430</v>
      </c>
      <c r="B2042" t="str">
        <f>"024430"</f>
        <v>024430</v>
      </c>
      <c r="C2042" t="s">
        <v>6904</v>
      </c>
      <c r="D2042" t="s">
        <v>3394</v>
      </c>
      <c r="E2042" t="s">
        <v>3395</v>
      </c>
      <c r="F2042" t="s">
        <v>3396</v>
      </c>
      <c r="G2042" t="s">
        <v>212</v>
      </c>
      <c r="H2042" t="s">
        <v>6905</v>
      </c>
      <c r="I2042" t="s">
        <v>6906</v>
      </c>
      <c r="J2042" t="s">
        <v>1187</v>
      </c>
      <c r="K2042" t="s">
        <v>55</v>
      </c>
      <c r="L2042" t="s">
        <v>2134</v>
      </c>
      <c r="M2042" t="s">
        <v>57</v>
      </c>
      <c r="N2042" t="str">
        <f>"047381"</f>
        <v>047381</v>
      </c>
      <c r="O2042" t="s">
        <v>2131</v>
      </c>
      <c r="P2042" t="s">
        <v>68</v>
      </c>
      <c r="Q2042">
        <v>46.2</v>
      </c>
      <c r="R2042">
        <v>10.099999999999994</v>
      </c>
      <c r="S2042" t="s">
        <v>217</v>
      </c>
    </row>
    <row r="2043" spans="1:19" x14ac:dyDescent="0.35">
      <c r="A2043">
        <v>24471</v>
      </c>
      <c r="B2043" t="str">
        <f>"024471"</f>
        <v>024471</v>
      </c>
      <c r="C2043" t="s">
        <v>6907</v>
      </c>
      <c r="D2043" t="s">
        <v>3400</v>
      </c>
      <c r="E2043" t="s">
        <v>3395</v>
      </c>
      <c r="F2043" t="s">
        <v>3396</v>
      </c>
      <c r="G2043" t="s">
        <v>493</v>
      </c>
      <c r="H2043" t="s">
        <v>6908</v>
      </c>
      <c r="I2043" t="s">
        <v>6909</v>
      </c>
      <c r="J2043" t="s">
        <v>493</v>
      </c>
      <c r="K2043" t="s">
        <v>55</v>
      </c>
      <c r="L2043" t="s">
        <v>4897</v>
      </c>
      <c r="M2043" t="s">
        <v>57</v>
      </c>
      <c r="N2043" t="str">
        <f>"043521"</f>
        <v>043521</v>
      </c>
      <c r="O2043" t="s">
        <v>1104</v>
      </c>
      <c r="P2043" t="s">
        <v>68</v>
      </c>
      <c r="Q2043">
        <v>37.6</v>
      </c>
      <c r="R2043">
        <v>15.299999999999997</v>
      </c>
      <c r="S2043" t="s">
        <v>130</v>
      </c>
    </row>
    <row r="2044" spans="1:19" x14ac:dyDescent="0.35">
      <c r="A2044">
        <v>24489</v>
      </c>
      <c r="B2044" t="str">
        <f>"024489"</f>
        <v>024489</v>
      </c>
      <c r="C2044" t="s">
        <v>6910</v>
      </c>
      <c r="D2044" t="s">
        <v>3400</v>
      </c>
      <c r="E2044" t="s">
        <v>3395</v>
      </c>
      <c r="F2044" t="s">
        <v>3396</v>
      </c>
      <c r="G2044" t="s">
        <v>71</v>
      </c>
      <c r="H2044" t="s">
        <v>6911</v>
      </c>
      <c r="I2044" t="s">
        <v>6912</v>
      </c>
      <c r="J2044" t="s">
        <v>88</v>
      </c>
      <c r="K2044" t="s">
        <v>55</v>
      </c>
      <c r="L2044" t="s">
        <v>89</v>
      </c>
      <c r="M2044" t="s">
        <v>57</v>
      </c>
      <c r="N2044" t="str">
        <f>"045542"</f>
        <v>045542</v>
      </c>
      <c r="O2044" t="s">
        <v>85</v>
      </c>
      <c r="P2044" t="s">
        <v>68</v>
      </c>
      <c r="Q2044">
        <v>53.9</v>
      </c>
      <c r="R2044">
        <v>9.5999999999999943</v>
      </c>
      <c r="S2044" t="s">
        <v>77</v>
      </c>
    </row>
    <row r="2045" spans="1:19" x14ac:dyDescent="0.35">
      <c r="A2045">
        <v>24497</v>
      </c>
      <c r="B2045" t="str">
        <f>"024497"</f>
        <v>024497</v>
      </c>
      <c r="C2045" t="s">
        <v>6913</v>
      </c>
      <c r="D2045" t="s">
        <v>3400</v>
      </c>
      <c r="E2045" t="s">
        <v>3395</v>
      </c>
      <c r="F2045" t="s">
        <v>3396</v>
      </c>
      <c r="G2045" t="s">
        <v>406</v>
      </c>
      <c r="H2045" t="s">
        <v>407</v>
      </c>
      <c r="I2045" t="s">
        <v>408</v>
      </c>
      <c r="J2045" t="s">
        <v>406</v>
      </c>
      <c r="K2045" t="s">
        <v>55</v>
      </c>
      <c r="L2045" t="s">
        <v>409</v>
      </c>
      <c r="M2045" t="s">
        <v>57</v>
      </c>
      <c r="N2045" t="str">
        <f>"048496"</f>
        <v>048496</v>
      </c>
      <c r="O2045" t="s">
        <v>405</v>
      </c>
      <c r="P2045" t="s">
        <v>68</v>
      </c>
      <c r="Q2045">
        <v>6.2</v>
      </c>
      <c r="R2045">
        <v>7.7000000000000028</v>
      </c>
      <c r="S2045" t="s">
        <v>77</v>
      </c>
    </row>
    <row r="2046" spans="1:19" x14ac:dyDescent="0.35">
      <c r="A2046">
        <v>24505</v>
      </c>
      <c r="B2046" t="str">
        <f>"024505"</f>
        <v>024505</v>
      </c>
      <c r="C2046" t="s">
        <v>6914</v>
      </c>
      <c r="D2046" t="s">
        <v>3400</v>
      </c>
      <c r="E2046" t="s">
        <v>3395</v>
      </c>
      <c r="F2046" t="s">
        <v>3396</v>
      </c>
      <c r="G2046" t="s">
        <v>117</v>
      </c>
      <c r="H2046" t="s">
        <v>6915</v>
      </c>
      <c r="I2046" t="s">
        <v>6916</v>
      </c>
      <c r="J2046" t="s">
        <v>1409</v>
      </c>
      <c r="K2046" t="s">
        <v>55</v>
      </c>
      <c r="L2046" t="s">
        <v>4339</v>
      </c>
      <c r="M2046" t="s">
        <v>57</v>
      </c>
      <c r="N2046" t="str">
        <f>"049932"</f>
        <v>049932</v>
      </c>
      <c r="O2046" t="s">
        <v>1406</v>
      </c>
      <c r="P2046" t="s">
        <v>68</v>
      </c>
      <c r="Q2046">
        <v>42.9</v>
      </c>
      <c r="R2046">
        <v>30.700000000000003</v>
      </c>
      <c r="S2046" t="s">
        <v>77</v>
      </c>
    </row>
    <row r="2047" spans="1:19" x14ac:dyDescent="0.35">
      <c r="A2047">
        <v>24521</v>
      </c>
      <c r="B2047" t="str">
        <f>"024521"</f>
        <v>024521</v>
      </c>
      <c r="C2047" t="s">
        <v>6917</v>
      </c>
      <c r="D2047" t="s">
        <v>3394</v>
      </c>
      <c r="E2047" t="s">
        <v>3395</v>
      </c>
      <c r="F2047" t="s">
        <v>3396</v>
      </c>
      <c r="G2047" t="s">
        <v>63</v>
      </c>
      <c r="H2047" t="s">
        <v>6918</v>
      </c>
      <c r="I2047" t="s">
        <v>6919</v>
      </c>
      <c r="J2047" t="s">
        <v>6920</v>
      </c>
      <c r="K2047" t="s">
        <v>55</v>
      </c>
      <c r="L2047" t="s">
        <v>2232</v>
      </c>
      <c r="M2047" t="s">
        <v>57</v>
      </c>
      <c r="N2047" t="str">
        <f>"043612"</f>
        <v>043612</v>
      </c>
      <c r="O2047" t="s">
        <v>3068</v>
      </c>
      <c r="P2047" t="s">
        <v>68</v>
      </c>
      <c r="Q2047">
        <v>23</v>
      </c>
      <c r="R2047">
        <v>35.200000000000003</v>
      </c>
      <c r="S2047" t="s">
        <v>69</v>
      </c>
    </row>
    <row r="2048" spans="1:19" x14ac:dyDescent="0.35">
      <c r="A2048">
        <v>24562</v>
      </c>
      <c r="B2048" t="str">
        <f>"024562"</f>
        <v>024562</v>
      </c>
      <c r="C2048" t="s">
        <v>6921</v>
      </c>
      <c r="D2048" t="s">
        <v>3398</v>
      </c>
      <c r="E2048" t="s">
        <v>3395</v>
      </c>
      <c r="F2048" t="s">
        <v>3396</v>
      </c>
      <c r="G2048" t="s">
        <v>244</v>
      </c>
      <c r="H2048" t="s">
        <v>6922</v>
      </c>
      <c r="I2048" t="s">
        <v>6923</v>
      </c>
      <c r="J2048" t="s">
        <v>1179</v>
      </c>
      <c r="K2048" t="s">
        <v>55</v>
      </c>
      <c r="L2048" t="s">
        <v>1180</v>
      </c>
      <c r="M2048" t="s">
        <v>57</v>
      </c>
      <c r="N2048" t="str">
        <f>"044404"</f>
        <v>044404</v>
      </c>
      <c r="O2048" t="s">
        <v>1176</v>
      </c>
      <c r="P2048" t="s">
        <v>68</v>
      </c>
      <c r="Q2048">
        <v>99.9</v>
      </c>
      <c r="R2048">
        <v>50.1</v>
      </c>
      <c r="S2048" t="s">
        <v>217</v>
      </c>
    </row>
    <row r="2049" spans="1:19" x14ac:dyDescent="0.35">
      <c r="A2049">
        <v>24570</v>
      </c>
      <c r="B2049" t="str">
        <f>"024570"</f>
        <v>024570</v>
      </c>
      <c r="C2049" t="s">
        <v>6924</v>
      </c>
      <c r="D2049" t="s">
        <v>3398</v>
      </c>
      <c r="E2049" t="s">
        <v>3395</v>
      </c>
      <c r="F2049" t="s">
        <v>3396</v>
      </c>
      <c r="G2049" t="s">
        <v>63</v>
      </c>
      <c r="H2049" t="s">
        <v>6925</v>
      </c>
      <c r="I2049" t="s">
        <v>6926</v>
      </c>
      <c r="J2049" t="s">
        <v>3071</v>
      </c>
      <c r="K2049" t="s">
        <v>55</v>
      </c>
      <c r="L2049" t="s">
        <v>3072</v>
      </c>
      <c r="M2049" t="s">
        <v>57</v>
      </c>
      <c r="N2049" t="str">
        <f>"043612"</f>
        <v>043612</v>
      </c>
      <c r="O2049" t="s">
        <v>3068</v>
      </c>
      <c r="P2049" t="s">
        <v>68</v>
      </c>
      <c r="Q2049">
        <v>28.9</v>
      </c>
      <c r="R2049">
        <v>25.400000000000006</v>
      </c>
      <c r="S2049" t="s">
        <v>69</v>
      </c>
    </row>
    <row r="2050" spans="1:19" x14ac:dyDescent="0.35">
      <c r="A2050">
        <v>24588</v>
      </c>
      <c r="B2050" t="str">
        <f>"024588"</f>
        <v>024588</v>
      </c>
      <c r="C2050" t="s">
        <v>6927</v>
      </c>
      <c r="D2050" t="s">
        <v>3394</v>
      </c>
      <c r="E2050" t="s">
        <v>3395</v>
      </c>
      <c r="F2050" t="s">
        <v>3396</v>
      </c>
      <c r="G2050" t="s">
        <v>71</v>
      </c>
      <c r="H2050" t="s">
        <v>6928</v>
      </c>
      <c r="I2050" t="s">
        <v>6929</v>
      </c>
      <c r="J2050" t="s">
        <v>6930</v>
      </c>
      <c r="K2050" t="s">
        <v>55</v>
      </c>
      <c r="L2050" t="s">
        <v>6931</v>
      </c>
      <c r="M2050" t="s">
        <v>57</v>
      </c>
      <c r="N2050" t="str">
        <f>"050286"</f>
        <v>050286</v>
      </c>
      <c r="O2050" t="s">
        <v>2589</v>
      </c>
      <c r="P2050" t="s">
        <v>68</v>
      </c>
      <c r="Q2050">
        <v>47.8</v>
      </c>
      <c r="R2050">
        <v>3.7000000000000028</v>
      </c>
      <c r="S2050" t="s">
        <v>77</v>
      </c>
    </row>
    <row r="2051" spans="1:19" x14ac:dyDescent="0.35">
      <c r="A2051">
        <v>24596</v>
      </c>
      <c r="B2051" t="str">
        <f>"024596"</f>
        <v>024596</v>
      </c>
      <c r="C2051" t="s">
        <v>6932</v>
      </c>
      <c r="D2051" t="s">
        <v>3398</v>
      </c>
      <c r="E2051" t="s">
        <v>3395</v>
      </c>
      <c r="F2051" t="s">
        <v>3396</v>
      </c>
      <c r="G2051" t="s">
        <v>143</v>
      </c>
      <c r="H2051" t="s">
        <v>6933</v>
      </c>
      <c r="I2051" t="s">
        <v>6934</v>
      </c>
      <c r="J2051" t="s">
        <v>2256</v>
      </c>
      <c r="K2051" t="s">
        <v>55</v>
      </c>
      <c r="L2051" t="s">
        <v>2257</v>
      </c>
      <c r="M2051" t="s">
        <v>57</v>
      </c>
      <c r="N2051" t="str">
        <f>"048173"</f>
        <v>048173</v>
      </c>
      <c r="O2051" t="s">
        <v>2253</v>
      </c>
      <c r="P2051" t="s">
        <v>68</v>
      </c>
      <c r="Q2051">
        <v>28.8</v>
      </c>
      <c r="R2051">
        <v>14.700000000000003</v>
      </c>
      <c r="S2051" t="s">
        <v>69</v>
      </c>
    </row>
    <row r="2052" spans="1:19" x14ac:dyDescent="0.35">
      <c r="A2052">
        <v>24604</v>
      </c>
      <c r="B2052" t="str">
        <f>"024604"</f>
        <v>024604</v>
      </c>
      <c r="C2052" t="s">
        <v>6935</v>
      </c>
      <c r="D2052" t="s">
        <v>3400</v>
      </c>
      <c r="E2052" t="s">
        <v>3395</v>
      </c>
      <c r="F2052" t="s">
        <v>3396</v>
      </c>
      <c r="G2052" t="s">
        <v>143</v>
      </c>
      <c r="H2052" t="s">
        <v>6936</v>
      </c>
      <c r="I2052" t="s">
        <v>6937</v>
      </c>
      <c r="J2052" t="s">
        <v>2256</v>
      </c>
      <c r="K2052" t="s">
        <v>55</v>
      </c>
      <c r="L2052" t="s">
        <v>2257</v>
      </c>
      <c r="M2052" t="s">
        <v>57</v>
      </c>
      <c r="N2052" t="str">
        <f>"048173"</f>
        <v>048173</v>
      </c>
      <c r="O2052" t="s">
        <v>2253</v>
      </c>
      <c r="P2052" t="s">
        <v>68</v>
      </c>
      <c r="Q2052">
        <v>37</v>
      </c>
      <c r="R2052">
        <v>15.099999999999994</v>
      </c>
      <c r="S2052" t="s">
        <v>69</v>
      </c>
    </row>
    <row r="2053" spans="1:19" x14ac:dyDescent="0.35">
      <c r="A2053">
        <v>24612</v>
      </c>
      <c r="B2053" t="str">
        <f>"024612"</f>
        <v>024612</v>
      </c>
      <c r="C2053" t="s">
        <v>6938</v>
      </c>
      <c r="D2053" t="s">
        <v>3394</v>
      </c>
      <c r="E2053" t="s">
        <v>3395</v>
      </c>
      <c r="F2053" t="s">
        <v>3396</v>
      </c>
      <c r="G2053" t="s">
        <v>212</v>
      </c>
      <c r="H2053" t="s">
        <v>6939</v>
      </c>
      <c r="I2053" t="s">
        <v>6940</v>
      </c>
      <c r="J2053" t="s">
        <v>215</v>
      </c>
      <c r="K2053" t="s">
        <v>55</v>
      </c>
      <c r="L2053" t="s">
        <v>3974</v>
      </c>
      <c r="M2053" t="s">
        <v>57</v>
      </c>
      <c r="N2053" t="str">
        <f>"043752"</f>
        <v>043752</v>
      </c>
      <c r="O2053" t="s">
        <v>440</v>
      </c>
      <c r="P2053" t="s">
        <v>68</v>
      </c>
      <c r="Q2053">
        <v>99.8</v>
      </c>
      <c r="R2053">
        <v>89.8</v>
      </c>
      <c r="S2053" t="s">
        <v>217</v>
      </c>
    </row>
    <row r="2054" spans="1:19" x14ac:dyDescent="0.35">
      <c r="A2054">
        <v>24646</v>
      </c>
      <c r="B2054" t="str">
        <f>"024646"</f>
        <v>024646</v>
      </c>
      <c r="C2054" t="s">
        <v>6941</v>
      </c>
      <c r="D2054" t="s">
        <v>3394</v>
      </c>
      <c r="E2054" t="s">
        <v>3395</v>
      </c>
      <c r="F2054" t="s">
        <v>3396</v>
      </c>
      <c r="G2054" t="s">
        <v>663</v>
      </c>
      <c r="H2054" t="s">
        <v>6942</v>
      </c>
      <c r="I2054" t="s">
        <v>6943</v>
      </c>
      <c r="J2054" t="s">
        <v>666</v>
      </c>
      <c r="K2054" t="s">
        <v>55</v>
      </c>
      <c r="L2054" t="s">
        <v>6944</v>
      </c>
      <c r="M2054" t="s">
        <v>57</v>
      </c>
      <c r="N2054" t="str">
        <f>"049452"</f>
        <v>049452</v>
      </c>
      <c r="O2054" t="s">
        <v>1934</v>
      </c>
      <c r="P2054" t="s">
        <v>68</v>
      </c>
      <c r="Q2054">
        <v>52.1</v>
      </c>
      <c r="R2054">
        <v>14.299999999999997</v>
      </c>
      <c r="S2054" t="s">
        <v>77</v>
      </c>
    </row>
    <row r="2055" spans="1:19" x14ac:dyDescent="0.35">
      <c r="A2055">
        <v>24653</v>
      </c>
      <c r="B2055" t="str">
        <f>"024653"</f>
        <v>024653</v>
      </c>
      <c r="C2055" t="s">
        <v>6945</v>
      </c>
      <c r="D2055" t="s">
        <v>3394</v>
      </c>
      <c r="E2055" t="s">
        <v>3395</v>
      </c>
      <c r="F2055" t="s">
        <v>3396</v>
      </c>
      <c r="G2055" t="s">
        <v>600</v>
      </c>
      <c r="H2055" t="s">
        <v>6946</v>
      </c>
      <c r="I2055" t="s">
        <v>6947</v>
      </c>
      <c r="J2055" t="s">
        <v>1348</v>
      </c>
      <c r="K2055" t="s">
        <v>55</v>
      </c>
      <c r="L2055" t="s">
        <v>4810</v>
      </c>
      <c r="M2055" t="s">
        <v>57</v>
      </c>
      <c r="N2055" t="str">
        <f>"043802"</f>
        <v>043802</v>
      </c>
      <c r="O2055" t="s">
        <v>3171</v>
      </c>
      <c r="P2055" t="s">
        <v>68</v>
      </c>
      <c r="Q2055">
        <v>100</v>
      </c>
      <c r="R2055">
        <v>100</v>
      </c>
      <c r="S2055" t="s">
        <v>60</v>
      </c>
    </row>
    <row r="2056" spans="1:19" x14ac:dyDescent="0.35">
      <c r="A2056">
        <v>24661</v>
      </c>
      <c r="B2056" t="str">
        <f>"024661"</f>
        <v>024661</v>
      </c>
      <c r="C2056" t="s">
        <v>6948</v>
      </c>
      <c r="D2056" t="s">
        <v>3398</v>
      </c>
      <c r="E2056" t="s">
        <v>3395</v>
      </c>
      <c r="F2056" t="s">
        <v>3396</v>
      </c>
      <c r="G2056" t="s">
        <v>600</v>
      </c>
      <c r="H2056" t="s">
        <v>6949</v>
      </c>
      <c r="I2056" t="s">
        <v>6950</v>
      </c>
      <c r="J2056" t="s">
        <v>1348</v>
      </c>
      <c r="K2056" t="s">
        <v>55</v>
      </c>
      <c r="L2056" t="s">
        <v>4810</v>
      </c>
      <c r="M2056" t="s">
        <v>57</v>
      </c>
      <c r="N2056" t="str">
        <f>"043802"</f>
        <v>043802</v>
      </c>
      <c r="O2056" t="s">
        <v>3171</v>
      </c>
      <c r="P2056" t="s">
        <v>68</v>
      </c>
      <c r="Q2056">
        <v>100</v>
      </c>
      <c r="R2056">
        <v>91.5</v>
      </c>
      <c r="S2056" t="s">
        <v>60</v>
      </c>
    </row>
    <row r="2057" spans="1:19" x14ac:dyDescent="0.35">
      <c r="A2057">
        <v>24679</v>
      </c>
      <c r="B2057" t="str">
        <f>"024679"</f>
        <v>024679</v>
      </c>
      <c r="C2057" t="s">
        <v>6951</v>
      </c>
      <c r="D2057" t="s">
        <v>3394</v>
      </c>
      <c r="E2057" t="s">
        <v>3395</v>
      </c>
      <c r="F2057" t="s">
        <v>3396</v>
      </c>
      <c r="G2057" t="s">
        <v>759</v>
      </c>
      <c r="H2057" t="s">
        <v>2764</v>
      </c>
      <c r="I2057" t="s">
        <v>2765</v>
      </c>
      <c r="J2057" t="s">
        <v>2766</v>
      </c>
      <c r="K2057" t="s">
        <v>55</v>
      </c>
      <c r="L2057" t="s">
        <v>2767</v>
      </c>
      <c r="M2057" t="s">
        <v>57</v>
      </c>
      <c r="N2057" t="str">
        <f>"046789"</f>
        <v>046789</v>
      </c>
      <c r="O2057" t="s">
        <v>2763</v>
      </c>
      <c r="P2057" t="s">
        <v>68</v>
      </c>
      <c r="Q2057">
        <v>32.1</v>
      </c>
      <c r="R2057">
        <v>13.799999999999997</v>
      </c>
      <c r="S2057" t="s">
        <v>69</v>
      </c>
    </row>
    <row r="2058" spans="1:19" x14ac:dyDescent="0.35">
      <c r="A2058">
        <v>24687</v>
      </c>
      <c r="B2058" t="str">
        <f>"024687"</f>
        <v>024687</v>
      </c>
      <c r="C2058" t="s">
        <v>6952</v>
      </c>
      <c r="D2058" t="s">
        <v>3394</v>
      </c>
      <c r="E2058" t="s">
        <v>3395</v>
      </c>
      <c r="F2058" t="s">
        <v>3396</v>
      </c>
      <c r="G2058" t="s">
        <v>63</v>
      </c>
      <c r="H2058" t="s">
        <v>6953</v>
      </c>
      <c r="I2058" t="s">
        <v>6954</v>
      </c>
      <c r="J2058" t="s">
        <v>285</v>
      </c>
      <c r="K2058" t="s">
        <v>55</v>
      </c>
      <c r="L2058" t="s">
        <v>4335</v>
      </c>
      <c r="M2058" t="s">
        <v>57</v>
      </c>
      <c r="N2058" t="str">
        <f>"043786"</f>
        <v>043786</v>
      </c>
      <c r="O2058" t="s">
        <v>1340</v>
      </c>
      <c r="P2058" t="s">
        <v>68</v>
      </c>
      <c r="Q2058">
        <v>100</v>
      </c>
      <c r="R2058">
        <v>100</v>
      </c>
      <c r="S2058" t="s">
        <v>69</v>
      </c>
    </row>
    <row r="2059" spans="1:19" x14ac:dyDescent="0.35">
      <c r="A2059">
        <v>24695</v>
      </c>
      <c r="B2059" t="str">
        <f>"024695"</f>
        <v>024695</v>
      </c>
      <c r="C2059" t="s">
        <v>6955</v>
      </c>
      <c r="D2059" t="s">
        <v>3394</v>
      </c>
      <c r="E2059" t="s">
        <v>3395</v>
      </c>
      <c r="F2059" t="s">
        <v>3396</v>
      </c>
      <c r="G2059" t="s">
        <v>63</v>
      </c>
      <c r="H2059" t="s">
        <v>6956</v>
      </c>
      <c r="I2059" t="s">
        <v>6957</v>
      </c>
      <c r="J2059" t="s">
        <v>285</v>
      </c>
      <c r="K2059" t="s">
        <v>55</v>
      </c>
      <c r="L2059" t="s">
        <v>4335</v>
      </c>
      <c r="M2059" t="s">
        <v>57</v>
      </c>
      <c r="N2059" t="str">
        <f>"043786"</f>
        <v>043786</v>
      </c>
      <c r="O2059" t="s">
        <v>1340</v>
      </c>
      <c r="P2059" t="s">
        <v>68</v>
      </c>
      <c r="Q2059">
        <v>100</v>
      </c>
      <c r="R2059">
        <v>100</v>
      </c>
      <c r="S2059" t="s">
        <v>69</v>
      </c>
    </row>
    <row r="2060" spans="1:19" x14ac:dyDescent="0.35">
      <c r="A2060">
        <v>24703</v>
      </c>
      <c r="B2060" t="str">
        <f>"024703"</f>
        <v>024703</v>
      </c>
      <c r="C2060" t="s">
        <v>6958</v>
      </c>
      <c r="D2060" t="s">
        <v>3394</v>
      </c>
      <c r="E2060" t="s">
        <v>3395</v>
      </c>
      <c r="F2060" t="s">
        <v>3396</v>
      </c>
      <c r="G2060" t="s">
        <v>63</v>
      </c>
      <c r="H2060" t="s">
        <v>6959</v>
      </c>
      <c r="I2060" t="s">
        <v>6960</v>
      </c>
      <c r="J2060" t="s">
        <v>285</v>
      </c>
      <c r="K2060" t="s">
        <v>55</v>
      </c>
      <c r="L2060" t="s">
        <v>5493</v>
      </c>
      <c r="M2060" t="s">
        <v>57</v>
      </c>
      <c r="N2060" t="str">
        <f>"043786"</f>
        <v>043786</v>
      </c>
      <c r="O2060" t="s">
        <v>1340</v>
      </c>
      <c r="P2060" t="s">
        <v>68</v>
      </c>
      <c r="Q2060">
        <v>100</v>
      </c>
      <c r="R2060">
        <v>97.6</v>
      </c>
      <c r="S2060" t="s">
        <v>69</v>
      </c>
    </row>
    <row r="2061" spans="1:19" x14ac:dyDescent="0.35">
      <c r="A2061">
        <v>24711</v>
      </c>
      <c r="B2061" t="str">
        <f>"024711"</f>
        <v>024711</v>
      </c>
      <c r="C2061" t="s">
        <v>6961</v>
      </c>
      <c r="D2061" t="s">
        <v>3394</v>
      </c>
      <c r="E2061" t="s">
        <v>3395</v>
      </c>
      <c r="F2061" t="s">
        <v>3396</v>
      </c>
      <c r="G2061" t="s">
        <v>1948</v>
      </c>
      <c r="H2061" t="s">
        <v>6962</v>
      </c>
      <c r="I2061" t="s">
        <v>6963</v>
      </c>
      <c r="J2061" t="s">
        <v>3281</v>
      </c>
      <c r="K2061" t="s">
        <v>55</v>
      </c>
      <c r="L2061" t="s">
        <v>3282</v>
      </c>
      <c r="M2061" t="s">
        <v>57</v>
      </c>
      <c r="N2061" t="str">
        <f>"050328"</f>
        <v>050328</v>
      </c>
      <c r="O2061" t="s">
        <v>3278</v>
      </c>
      <c r="P2061" t="s">
        <v>68</v>
      </c>
      <c r="Q2061">
        <v>12.9</v>
      </c>
      <c r="R2061">
        <v>7.2000000000000028</v>
      </c>
      <c r="S2061" t="s">
        <v>60</v>
      </c>
    </row>
    <row r="2062" spans="1:19" x14ac:dyDescent="0.35">
      <c r="A2062">
        <v>24745</v>
      </c>
      <c r="B2062" t="str">
        <f>"024745"</f>
        <v>024745</v>
      </c>
      <c r="C2062" t="s">
        <v>6964</v>
      </c>
      <c r="D2062" t="s">
        <v>3398</v>
      </c>
      <c r="E2062" t="s">
        <v>3395</v>
      </c>
      <c r="F2062" t="s">
        <v>3396</v>
      </c>
      <c r="G2062" t="s">
        <v>1041</v>
      </c>
      <c r="H2062" t="s">
        <v>6965</v>
      </c>
      <c r="I2062" t="s">
        <v>6966</v>
      </c>
      <c r="J2062" t="s">
        <v>1115</v>
      </c>
      <c r="K2062" t="s">
        <v>55</v>
      </c>
      <c r="L2062" t="s">
        <v>1116</v>
      </c>
      <c r="M2062" t="s">
        <v>57</v>
      </c>
      <c r="N2062" t="str">
        <f>"045500"</f>
        <v>045500</v>
      </c>
      <c r="O2062" t="s">
        <v>1112</v>
      </c>
      <c r="P2062" t="s">
        <v>68</v>
      </c>
      <c r="Q2062">
        <v>15.4</v>
      </c>
      <c r="R2062">
        <v>11.799999999999997</v>
      </c>
      <c r="S2062" t="s">
        <v>217</v>
      </c>
    </row>
    <row r="2063" spans="1:19" x14ac:dyDescent="0.35">
      <c r="A2063">
        <v>24752</v>
      </c>
      <c r="B2063" t="str">
        <f>"024752"</f>
        <v>024752</v>
      </c>
      <c r="C2063" t="s">
        <v>6967</v>
      </c>
      <c r="D2063" t="s">
        <v>3506</v>
      </c>
      <c r="E2063" t="s">
        <v>3395</v>
      </c>
      <c r="F2063" t="s">
        <v>3396</v>
      </c>
      <c r="G2063" t="s">
        <v>1041</v>
      </c>
      <c r="H2063" t="s">
        <v>6968</v>
      </c>
      <c r="I2063" t="s">
        <v>6969</v>
      </c>
      <c r="J2063" t="s">
        <v>1115</v>
      </c>
      <c r="K2063" t="s">
        <v>55</v>
      </c>
      <c r="L2063" t="s">
        <v>1116</v>
      </c>
      <c r="M2063" t="s">
        <v>57</v>
      </c>
      <c r="N2063" t="str">
        <f>"045500"</f>
        <v>045500</v>
      </c>
      <c r="O2063" t="s">
        <v>1112</v>
      </c>
      <c r="P2063" t="s">
        <v>68</v>
      </c>
      <c r="Q2063">
        <v>20</v>
      </c>
      <c r="R2063">
        <v>12.700000000000003</v>
      </c>
      <c r="S2063" t="s">
        <v>217</v>
      </c>
    </row>
    <row r="2064" spans="1:19" x14ac:dyDescent="0.35">
      <c r="A2064">
        <v>24794</v>
      </c>
      <c r="B2064" t="str">
        <f>"024794"</f>
        <v>024794</v>
      </c>
      <c r="C2064" t="s">
        <v>6970</v>
      </c>
      <c r="D2064" t="s">
        <v>3394</v>
      </c>
      <c r="E2064" t="s">
        <v>3395</v>
      </c>
      <c r="F2064" t="s">
        <v>3396</v>
      </c>
      <c r="G2064" t="s">
        <v>71</v>
      </c>
      <c r="H2064" t="s">
        <v>6971</v>
      </c>
      <c r="I2064" t="s">
        <v>6972</v>
      </c>
      <c r="J2064" t="s">
        <v>2723</v>
      </c>
      <c r="K2064" t="s">
        <v>55</v>
      </c>
      <c r="L2064" t="s">
        <v>2724</v>
      </c>
      <c r="M2064" t="s">
        <v>57</v>
      </c>
      <c r="N2064" t="str">
        <f>"050278"</f>
        <v>050278</v>
      </c>
      <c r="O2064" t="s">
        <v>2720</v>
      </c>
      <c r="P2064" t="s">
        <v>68</v>
      </c>
      <c r="Q2064">
        <v>35.1</v>
      </c>
      <c r="R2064">
        <v>7</v>
      </c>
      <c r="S2064" t="s">
        <v>77</v>
      </c>
    </row>
    <row r="2065" spans="1:19" x14ac:dyDescent="0.35">
      <c r="A2065">
        <v>24802</v>
      </c>
      <c r="B2065" t="str">
        <f>"024802"</f>
        <v>024802</v>
      </c>
      <c r="C2065" t="s">
        <v>6973</v>
      </c>
      <c r="D2065" t="s">
        <v>3394</v>
      </c>
      <c r="E2065" t="s">
        <v>3395</v>
      </c>
      <c r="F2065" t="s">
        <v>3396</v>
      </c>
      <c r="G2065" t="s">
        <v>150</v>
      </c>
      <c r="H2065" t="s">
        <v>6974</v>
      </c>
      <c r="I2065" t="s">
        <v>6975</v>
      </c>
      <c r="J2065" t="s">
        <v>1559</v>
      </c>
      <c r="K2065" t="s">
        <v>55</v>
      </c>
      <c r="L2065" t="s">
        <v>1560</v>
      </c>
      <c r="M2065" t="s">
        <v>57</v>
      </c>
      <c r="N2065" t="str">
        <f>"049361"</f>
        <v>049361</v>
      </c>
      <c r="O2065" t="s">
        <v>1556</v>
      </c>
      <c r="P2065" t="s">
        <v>68</v>
      </c>
      <c r="Q2065">
        <v>7</v>
      </c>
      <c r="R2065">
        <v>4.0999999999999943</v>
      </c>
      <c r="S2065" t="s">
        <v>156</v>
      </c>
    </row>
    <row r="2066" spans="1:19" x14ac:dyDescent="0.35">
      <c r="A2066">
        <v>24810</v>
      </c>
      <c r="B2066" t="str">
        <f>"024810"</f>
        <v>024810</v>
      </c>
      <c r="C2066" t="s">
        <v>6976</v>
      </c>
      <c r="D2066" t="s">
        <v>3398</v>
      </c>
      <c r="E2066" t="s">
        <v>3395</v>
      </c>
      <c r="F2066" t="s">
        <v>3396</v>
      </c>
      <c r="G2066" t="s">
        <v>150</v>
      </c>
      <c r="H2066" t="s">
        <v>6974</v>
      </c>
      <c r="I2066" t="s">
        <v>6975</v>
      </c>
      <c r="J2066" t="s">
        <v>1559</v>
      </c>
      <c r="K2066" t="s">
        <v>55</v>
      </c>
      <c r="L2066" t="s">
        <v>1560</v>
      </c>
      <c r="M2066" t="s">
        <v>57</v>
      </c>
      <c r="N2066" t="str">
        <f>"049361"</f>
        <v>049361</v>
      </c>
      <c r="O2066" t="s">
        <v>1556</v>
      </c>
      <c r="P2066" t="s">
        <v>68</v>
      </c>
      <c r="Q2066">
        <v>7.5</v>
      </c>
      <c r="R2066">
        <v>4.0999999999999943</v>
      </c>
      <c r="S2066" t="s">
        <v>156</v>
      </c>
    </row>
    <row r="2067" spans="1:19" x14ac:dyDescent="0.35">
      <c r="A2067">
        <v>24836</v>
      </c>
      <c r="B2067" t="str">
        <f>"024836"</f>
        <v>024836</v>
      </c>
      <c r="C2067" t="s">
        <v>6977</v>
      </c>
      <c r="D2067" t="s">
        <v>3394</v>
      </c>
      <c r="E2067" t="s">
        <v>3395</v>
      </c>
      <c r="F2067" t="s">
        <v>3396</v>
      </c>
      <c r="G2067" t="s">
        <v>383</v>
      </c>
      <c r="H2067" t="s">
        <v>6978</v>
      </c>
      <c r="I2067" t="s">
        <v>6979</v>
      </c>
      <c r="J2067" t="s">
        <v>3258</v>
      </c>
      <c r="K2067" t="s">
        <v>55</v>
      </c>
      <c r="L2067" t="s">
        <v>3259</v>
      </c>
      <c r="M2067" t="s">
        <v>57</v>
      </c>
      <c r="N2067" t="str">
        <f>"048355"</f>
        <v>048355</v>
      </c>
      <c r="O2067" t="s">
        <v>3255</v>
      </c>
      <c r="P2067" t="s">
        <v>68</v>
      </c>
      <c r="Q2067">
        <v>98.2</v>
      </c>
      <c r="R2067">
        <v>8</v>
      </c>
      <c r="S2067" t="s">
        <v>77</v>
      </c>
    </row>
    <row r="2068" spans="1:19" x14ac:dyDescent="0.35">
      <c r="A2068">
        <v>24851</v>
      </c>
      <c r="B2068" t="str">
        <f>"024851"</f>
        <v>024851</v>
      </c>
      <c r="C2068" t="s">
        <v>6980</v>
      </c>
      <c r="D2068" t="s">
        <v>3398</v>
      </c>
      <c r="E2068" t="s">
        <v>3395</v>
      </c>
      <c r="F2068" t="s">
        <v>3396</v>
      </c>
      <c r="G2068" t="s">
        <v>1551</v>
      </c>
      <c r="H2068" t="s">
        <v>6981</v>
      </c>
      <c r="I2068" t="s">
        <v>6982</v>
      </c>
      <c r="J2068" t="s">
        <v>2241</v>
      </c>
      <c r="K2068" t="s">
        <v>55</v>
      </c>
      <c r="L2068" t="s">
        <v>2242</v>
      </c>
      <c r="M2068" t="s">
        <v>57</v>
      </c>
      <c r="N2068" t="str">
        <f>"049064"</f>
        <v>049064</v>
      </c>
      <c r="O2068" t="s">
        <v>2238</v>
      </c>
      <c r="P2068" t="s">
        <v>68</v>
      </c>
      <c r="Q2068">
        <v>100</v>
      </c>
      <c r="R2068">
        <v>1.2000000000000028</v>
      </c>
      <c r="S2068" t="s">
        <v>130</v>
      </c>
    </row>
    <row r="2069" spans="1:19" x14ac:dyDescent="0.35">
      <c r="A2069">
        <v>24869</v>
      </c>
      <c r="B2069" t="str">
        <f>"024869"</f>
        <v>024869</v>
      </c>
      <c r="C2069" t="s">
        <v>6983</v>
      </c>
      <c r="D2069" t="s">
        <v>3394</v>
      </c>
      <c r="E2069" t="s">
        <v>3395</v>
      </c>
      <c r="F2069" t="s">
        <v>3396</v>
      </c>
      <c r="G2069" t="s">
        <v>712</v>
      </c>
      <c r="H2069" t="s">
        <v>6984</v>
      </c>
      <c r="I2069" t="s">
        <v>6985</v>
      </c>
      <c r="J2069" t="s">
        <v>715</v>
      </c>
      <c r="K2069" t="s">
        <v>55</v>
      </c>
      <c r="L2069" t="s">
        <v>716</v>
      </c>
      <c r="M2069" t="s">
        <v>57</v>
      </c>
      <c r="N2069" t="str">
        <f>"047696"</f>
        <v>047696</v>
      </c>
      <c r="O2069" t="s">
        <v>711</v>
      </c>
      <c r="P2069" t="s">
        <v>68</v>
      </c>
      <c r="Q2069">
        <v>43.8</v>
      </c>
      <c r="R2069">
        <v>8.9000000000000057</v>
      </c>
      <c r="S2069" t="s">
        <v>77</v>
      </c>
    </row>
    <row r="2070" spans="1:19" x14ac:dyDescent="0.35">
      <c r="A2070">
        <v>24885</v>
      </c>
      <c r="B2070" t="str">
        <f>"024885"</f>
        <v>024885</v>
      </c>
      <c r="C2070" t="s">
        <v>6986</v>
      </c>
      <c r="D2070" t="s">
        <v>3394</v>
      </c>
      <c r="E2070" t="s">
        <v>3395</v>
      </c>
      <c r="F2070" t="s">
        <v>3396</v>
      </c>
      <c r="G2070" t="s">
        <v>63</v>
      </c>
      <c r="H2070" t="s">
        <v>6987</v>
      </c>
      <c r="I2070" t="s">
        <v>6988</v>
      </c>
      <c r="J2070" t="s">
        <v>285</v>
      </c>
      <c r="K2070" t="s">
        <v>55</v>
      </c>
      <c r="L2070" t="s">
        <v>2291</v>
      </c>
      <c r="M2070" t="s">
        <v>57</v>
      </c>
      <c r="N2070" t="str">
        <f>"044370"</f>
        <v>044370</v>
      </c>
      <c r="O2070" t="s">
        <v>2456</v>
      </c>
      <c r="P2070" t="s">
        <v>68</v>
      </c>
      <c r="Q2070">
        <v>23.7</v>
      </c>
      <c r="R2070">
        <v>27.599999999999994</v>
      </c>
      <c r="S2070" t="s">
        <v>69</v>
      </c>
    </row>
    <row r="2071" spans="1:19" x14ac:dyDescent="0.35">
      <c r="A2071">
        <v>24893</v>
      </c>
      <c r="B2071" t="str">
        <f>"024893"</f>
        <v>024893</v>
      </c>
      <c r="C2071" t="s">
        <v>6989</v>
      </c>
      <c r="D2071" t="s">
        <v>3394</v>
      </c>
      <c r="E2071" t="s">
        <v>3395</v>
      </c>
      <c r="F2071" t="s">
        <v>3396</v>
      </c>
      <c r="G2071" t="s">
        <v>600</v>
      </c>
      <c r="H2071" t="s">
        <v>6990</v>
      </c>
      <c r="I2071" t="s">
        <v>6991</v>
      </c>
      <c r="J2071" t="s">
        <v>603</v>
      </c>
      <c r="K2071" t="s">
        <v>55</v>
      </c>
      <c r="L2071" t="s">
        <v>604</v>
      </c>
      <c r="M2071" t="s">
        <v>57</v>
      </c>
      <c r="N2071" t="str">
        <f>"047001"</f>
        <v>047001</v>
      </c>
      <c r="O2071" t="s">
        <v>599</v>
      </c>
      <c r="P2071" t="s">
        <v>68</v>
      </c>
      <c r="Q2071">
        <v>70.7</v>
      </c>
      <c r="R2071">
        <v>75.099999999999994</v>
      </c>
      <c r="S2071" t="s">
        <v>60</v>
      </c>
    </row>
    <row r="2072" spans="1:19" x14ac:dyDescent="0.35">
      <c r="A2072">
        <v>24893</v>
      </c>
      <c r="B2072" t="str">
        <f>"024893"</f>
        <v>024893</v>
      </c>
      <c r="C2072" t="s">
        <v>6989</v>
      </c>
      <c r="D2072" t="s">
        <v>3929</v>
      </c>
      <c r="E2072" t="s">
        <v>3395</v>
      </c>
      <c r="F2072" t="s">
        <v>3396</v>
      </c>
      <c r="G2072" t="s">
        <v>600</v>
      </c>
      <c r="H2072" t="s">
        <v>6990</v>
      </c>
      <c r="I2072" t="s">
        <v>6991</v>
      </c>
      <c r="J2072" t="s">
        <v>603</v>
      </c>
      <c r="K2072" t="s">
        <v>55</v>
      </c>
      <c r="L2072" t="s">
        <v>604</v>
      </c>
      <c r="M2072" t="s">
        <v>57</v>
      </c>
      <c r="N2072" t="str">
        <f>"047001"</f>
        <v>047001</v>
      </c>
      <c r="O2072" t="s">
        <v>599</v>
      </c>
      <c r="P2072" t="s">
        <v>68</v>
      </c>
      <c r="Q2072">
        <v>70.7</v>
      </c>
      <c r="R2072">
        <v>75.099999999999994</v>
      </c>
      <c r="S2072" t="s">
        <v>60</v>
      </c>
    </row>
    <row r="2073" spans="1:19" x14ac:dyDescent="0.35">
      <c r="A2073">
        <v>24919</v>
      </c>
      <c r="B2073" t="str">
        <f>"024919"</f>
        <v>024919</v>
      </c>
      <c r="C2073" t="s">
        <v>6992</v>
      </c>
      <c r="D2073" t="s">
        <v>3394</v>
      </c>
      <c r="E2073" t="s">
        <v>3395</v>
      </c>
      <c r="F2073" t="s">
        <v>3396</v>
      </c>
      <c r="G2073" t="s">
        <v>642</v>
      </c>
      <c r="H2073" t="s">
        <v>6993</v>
      </c>
      <c r="I2073" t="s">
        <v>6994</v>
      </c>
      <c r="J2073" t="s">
        <v>1506</v>
      </c>
      <c r="K2073" t="s">
        <v>55</v>
      </c>
      <c r="L2073" t="s">
        <v>1507</v>
      </c>
      <c r="M2073" t="s">
        <v>57</v>
      </c>
      <c r="N2073" t="str">
        <f>"045674"</f>
        <v>045674</v>
      </c>
      <c r="O2073" t="s">
        <v>1503</v>
      </c>
      <c r="P2073" t="s">
        <v>68</v>
      </c>
      <c r="Q2073">
        <v>25.3</v>
      </c>
      <c r="R2073">
        <v>23.900000000000006</v>
      </c>
      <c r="S2073" t="s">
        <v>180</v>
      </c>
    </row>
    <row r="2074" spans="1:19" x14ac:dyDescent="0.35">
      <c r="A2074">
        <v>24927</v>
      </c>
      <c r="B2074" t="str">
        <f>"024927"</f>
        <v>024927</v>
      </c>
      <c r="C2074" t="s">
        <v>6995</v>
      </c>
      <c r="D2074" t="s">
        <v>3394</v>
      </c>
      <c r="E2074" t="s">
        <v>3395</v>
      </c>
      <c r="F2074" t="s">
        <v>3396</v>
      </c>
      <c r="G2074" t="s">
        <v>212</v>
      </c>
      <c r="H2074" t="s">
        <v>6996</v>
      </c>
      <c r="I2074" t="s">
        <v>6997</v>
      </c>
      <c r="J2074" t="s">
        <v>215</v>
      </c>
      <c r="K2074" t="s">
        <v>55</v>
      </c>
      <c r="L2074" t="s">
        <v>6998</v>
      </c>
      <c r="M2074" t="s">
        <v>57</v>
      </c>
      <c r="N2074" t="str">
        <f>"043752"</f>
        <v>043752</v>
      </c>
      <c r="O2074" t="s">
        <v>440</v>
      </c>
      <c r="P2074" t="s">
        <v>68</v>
      </c>
      <c r="Q2074">
        <v>100</v>
      </c>
      <c r="R2074">
        <v>100</v>
      </c>
      <c r="S2074" t="s">
        <v>217</v>
      </c>
    </row>
    <row r="2075" spans="1:19" x14ac:dyDescent="0.35">
      <c r="A2075">
        <v>24976</v>
      </c>
      <c r="B2075" t="str">
        <f>"024976"</f>
        <v>024976</v>
      </c>
      <c r="C2075" t="s">
        <v>6999</v>
      </c>
      <c r="D2075" t="s">
        <v>3400</v>
      </c>
      <c r="E2075" t="s">
        <v>3395</v>
      </c>
      <c r="F2075" t="s">
        <v>3396</v>
      </c>
      <c r="G2075" t="s">
        <v>325</v>
      </c>
      <c r="H2075" t="s">
        <v>7000</v>
      </c>
      <c r="I2075" t="s">
        <v>7001</v>
      </c>
      <c r="J2075" t="s">
        <v>2553</v>
      </c>
      <c r="K2075" t="s">
        <v>55</v>
      </c>
      <c r="L2075" t="s">
        <v>2554</v>
      </c>
      <c r="M2075" t="s">
        <v>57</v>
      </c>
      <c r="N2075" t="str">
        <f>"045518"</f>
        <v>045518</v>
      </c>
      <c r="O2075" t="s">
        <v>2550</v>
      </c>
      <c r="P2075" t="s">
        <v>68</v>
      </c>
      <c r="Q2075">
        <v>35.799999999999997</v>
      </c>
      <c r="R2075">
        <v>6.7000000000000028</v>
      </c>
      <c r="S2075" t="s">
        <v>180</v>
      </c>
    </row>
    <row r="2076" spans="1:19" x14ac:dyDescent="0.35">
      <c r="A2076">
        <v>24984</v>
      </c>
      <c r="B2076" t="str">
        <f>"024984"</f>
        <v>024984</v>
      </c>
      <c r="C2076" t="s">
        <v>7002</v>
      </c>
      <c r="D2076" t="s">
        <v>3398</v>
      </c>
      <c r="E2076" t="s">
        <v>3395</v>
      </c>
      <c r="F2076" t="s">
        <v>3396</v>
      </c>
      <c r="G2076" t="s">
        <v>325</v>
      </c>
      <c r="H2076" t="s">
        <v>7003</v>
      </c>
      <c r="I2076" t="s">
        <v>7004</v>
      </c>
      <c r="J2076" t="s">
        <v>2553</v>
      </c>
      <c r="K2076" t="s">
        <v>55</v>
      </c>
      <c r="L2076" t="s">
        <v>2554</v>
      </c>
      <c r="M2076" t="s">
        <v>57</v>
      </c>
      <c r="N2076" t="str">
        <f>"045518"</f>
        <v>045518</v>
      </c>
      <c r="O2076" t="s">
        <v>2550</v>
      </c>
      <c r="P2076" t="s">
        <v>68</v>
      </c>
      <c r="Q2076">
        <v>36</v>
      </c>
      <c r="R2076">
        <v>7.2999999999999972</v>
      </c>
      <c r="S2076" t="s">
        <v>180</v>
      </c>
    </row>
    <row r="2077" spans="1:19" x14ac:dyDescent="0.35">
      <c r="A2077">
        <v>24992</v>
      </c>
      <c r="B2077" t="str">
        <f>"024992"</f>
        <v>024992</v>
      </c>
      <c r="C2077" t="s">
        <v>7005</v>
      </c>
      <c r="D2077" t="s">
        <v>3394</v>
      </c>
      <c r="E2077" t="s">
        <v>3395</v>
      </c>
      <c r="F2077" t="s">
        <v>3396</v>
      </c>
      <c r="G2077" t="s">
        <v>325</v>
      </c>
      <c r="H2077" t="s">
        <v>7006</v>
      </c>
      <c r="I2077" t="s">
        <v>7007</v>
      </c>
      <c r="J2077" t="s">
        <v>2553</v>
      </c>
      <c r="K2077" t="s">
        <v>55</v>
      </c>
      <c r="L2077" t="s">
        <v>2554</v>
      </c>
      <c r="M2077" t="s">
        <v>57</v>
      </c>
      <c r="N2077" t="str">
        <f>"045518"</f>
        <v>045518</v>
      </c>
      <c r="O2077" t="s">
        <v>2550</v>
      </c>
      <c r="P2077" t="s">
        <v>68</v>
      </c>
      <c r="Q2077">
        <v>44.4</v>
      </c>
      <c r="R2077">
        <v>8.5</v>
      </c>
      <c r="S2077" t="s">
        <v>180</v>
      </c>
    </row>
    <row r="2078" spans="1:19" x14ac:dyDescent="0.35">
      <c r="A2078">
        <v>25007</v>
      </c>
      <c r="B2078" t="str">
        <f>"025007"</f>
        <v>025007</v>
      </c>
      <c r="C2078" t="s">
        <v>7008</v>
      </c>
      <c r="D2078" t="s">
        <v>3394</v>
      </c>
      <c r="E2078" t="s">
        <v>3395</v>
      </c>
      <c r="F2078" t="s">
        <v>3396</v>
      </c>
      <c r="G2078" t="s">
        <v>71</v>
      </c>
      <c r="H2078" t="s">
        <v>7009</v>
      </c>
      <c r="I2078" t="s">
        <v>7010</v>
      </c>
      <c r="J2078" t="s">
        <v>7011</v>
      </c>
      <c r="K2078" t="s">
        <v>55</v>
      </c>
      <c r="L2078" t="s">
        <v>1495</v>
      </c>
      <c r="M2078" t="s">
        <v>57</v>
      </c>
      <c r="N2078" t="str">
        <f>"050302"</f>
        <v>050302</v>
      </c>
      <c r="O2078" t="s">
        <v>1491</v>
      </c>
      <c r="P2078" t="s">
        <v>68</v>
      </c>
      <c r="Q2078">
        <v>34.4</v>
      </c>
      <c r="R2078">
        <v>2</v>
      </c>
      <c r="S2078" t="s">
        <v>77</v>
      </c>
    </row>
    <row r="2079" spans="1:19" x14ac:dyDescent="0.35">
      <c r="A2079">
        <v>25023</v>
      </c>
      <c r="B2079" t="str">
        <f>"025023"</f>
        <v>025023</v>
      </c>
      <c r="C2079" t="s">
        <v>7012</v>
      </c>
      <c r="D2079" t="s">
        <v>3398</v>
      </c>
      <c r="E2079" t="s">
        <v>3395</v>
      </c>
      <c r="F2079" t="s">
        <v>3396</v>
      </c>
      <c r="G2079" t="s">
        <v>169</v>
      </c>
      <c r="H2079" t="s">
        <v>2063</v>
      </c>
      <c r="I2079" t="s">
        <v>2064</v>
      </c>
      <c r="J2079" t="s">
        <v>2065</v>
      </c>
      <c r="K2079" t="s">
        <v>55</v>
      </c>
      <c r="L2079" t="s">
        <v>2066</v>
      </c>
      <c r="M2079" t="s">
        <v>57</v>
      </c>
      <c r="N2079" t="str">
        <f>"050252"</f>
        <v>050252</v>
      </c>
      <c r="O2079" t="s">
        <v>2062</v>
      </c>
      <c r="P2079" t="s">
        <v>68</v>
      </c>
      <c r="Q2079">
        <v>39.4</v>
      </c>
      <c r="R2079">
        <v>9.2999999999999972</v>
      </c>
      <c r="S2079" t="s">
        <v>77</v>
      </c>
    </row>
    <row r="2080" spans="1:19" x14ac:dyDescent="0.35">
      <c r="A2080">
        <v>25031</v>
      </c>
      <c r="B2080" t="str">
        <f>"025031"</f>
        <v>025031</v>
      </c>
      <c r="C2080" t="s">
        <v>7013</v>
      </c>
      <c r="D2080" t="s">
        <v>3400</v>
      </c>
      <c r="E2080" t="s">
        <v>3395</v>
      </c>
      <c r="F2080" t="s">
        <v>3396</v>
      </c>
      <c r="G2080" t="s">
        <v>117</v>
      </c>
      <c r="H2080" t="s">
        <v>7014</v>
      </c>
      <c r="I2080" t="s">
        <v>7015</v>
      </c>
      <c r="J2080" t="s">
        <v>3230</v>
      </c>
      <c r="K2080" t="s">
        <v>55</v>
      </c>
      <c r="L2080" t="s">
        <v>3231</v>
      </c>
      <c r="M2080" t="s">
        <v>57</v>
      </c>
      <c r="N2080" t="str">
        <f>"049890"</f>
        <v>049890</v>
      </c>
      <c r="O2080" t="s">
        <v>3227</v>
      </c>
      <c r="P2080" t="s">
        <v>68</v>
      </c>
      <c r="Q2080">
        <v>41.3</v>
      </c>
      <c r="R2080">
        <v>4.5</v>
      </c>
      <c r="S2080" t="s">
        <v>77</v>
      </c>
    </row>
    <row r="2081" spans="1:19" x14ac:dyDescent="0.35">
      <c r="A2081">
        <v>25056</v>
      </c>
      <c r="B2081" t="str">
        <f>"025056"</f>
        <v>025056</v>
      </c>
      <c r="C2081" t="s">
        <v>7016</v>
      </c>
      <c r="D2081" t="s">
        <v>3398</v>
      </c>
      <c r="E2081" t="s">
        <v>3395</v>
      </c>
      <c r="F2081" t="s">
        <v>3396</v>
      </c>
      <c r="G2081" t="s">
        <v>117</v>
      </c>
      <c r="H2081" t="s">
        <v>7017</v>
      </c>
      <c r="I2081" t="s">
        <v>7018</v>
      </c>
      <c r="J2081" t="s">
        <v>3230</v>
      </c>
      <c r="K2081" t="s">
        <v>55</v>
      </c>
      <c r="L2081" t="s">
        <v>3231</v>
      </c>
      <c r="M2081" t="s">
        <v>57</v>
      </c>
      <c r="N2081" t="str">
        <f>"049890"</f>
        <v>049890</v>
      </c>
      <c r="O2081" t="s">
        <v>3227</v>
      </c>
      <c r="P2081" t="s">
        <v>68</v>
      </c>
      <c r="Q2081">
        <v>40.1</v>
      </c>
      <c r="R2081">
        <v>4.7999999999999972</v>
      </c>
      <c r="S2081" t="s">
        <v>77</v>
      </c>
    </row>
    <row r="2082" spans="1:19" x14ac:dyDescent="0.35">
      <c r="A2082">
        <v>25064</v>
      </c>
      <c r="B2082" t="str">
        <f>"025064"</f>
        <v>025064</v>
      </c>
      <c r="C2082" t="s">
        <v>7019</v>
      </c>
      <c r="D2082" t="s">
        <v>3394</v>
      </c>
      <c r="E2082" t="s">
        <v>3395</v>
      </c>
      <c r="F2082" t="s">
        <v>3396</v>
      </c>
      <c r="G2082" t="s">
        <v>169</v>
      </c>
      <c r="H2082" t="s">
        <v>7020</v>
      </c>
      <c r="I2082" t="s">
        <v>7021</v>
      </c>
      <c r="J2082" t="s">
        <v>172</v>
      </c>
      <c r="K2082" t="s">
        <v>55</v>
      </c>
      <c r="L2082" t="s">
        <v>1097</v>
      </c>
      <c r="M2082" t="s">
        <v>57</v>
      </c>
      <c r="N2082" t="str">
        <f>"050161"</f>
        <v>050161</v>
      </c>
      <c r="O2082" t="s">
        <v>1094</v>
      </c>
      <c r="P2082" t="s">
        <v>68</v>
      </c>
      <c r="Q2082">
        <v>38.1</v>
      </c>
      <c r="R2082">
        <v>17.5</v>
      </c>
      <c r="S2082" t="s">
        <v>77</v>
      </c>
    </row>
    <row r="2083" spans="1:19" x14ac:dyDescent="0.35">
      <c r="A2083">
        <v>25072</v>
      </c>
      <c r="B2083" t="str">
        <f>"025072"</f>
        <v>025072</v>
      </c>
      <c r="C2083" t="s">
        <v>7022</v>
      </c>
      <c r="D2083" t="s">
        <v>3394</v>
      </c>
      <c r="E2083" t="s">
        <v>3395</v>
      </c>
      <c r="F2083" t="s">
        <v>3396</v>
      </c>
      <c r="G2083" t="s">
        <v>219</v>
      </c>
      <c r="H2083" t="s">
        <v>7023</v>
      </c>
      <c r="I2083" t="s">
        <v>7024</v>
      </c>
      <c r="J2083" t="s">
        <v>2103</v>
      </c>
      <c r="K2083" t="s">
        <v>55</v>
      </c>
      <c r="L2083" t="s">
        <v>2104</v>
      </c>
      <c r="M2083" t="s">
        <v>57</v>
      </c>
      <c r="N2083" t="str">
        <f>"049627"</f>
        <v>049627</v>
      </c>
      <c r="O2083" t="s">
        <v>2100</v>
      </c>
      <c r="P2083" t="s">
        <v>68</v>
      </c>
      <c r="Q2083">
        <v>60</v>
      </c>
      <c r="R2083">
        <v>0.5</v>
      </c>
      <c r="S2083" t="s">
        <v>130</v>
      </c>
    </row>
    <row r="2084" spans="1:19" x14ac:dyDescent="0.35">
      <c r="A2084">
        <v>25080</v>
      </c>
      <c r="B2084" t="str">
        <f>"025080"</f>
        <v>025080</v>
      </c>
      <c r="C2084" t="s">
        <v>7025</v>
      </c>
      <c r="D2084" t="s">
        <v>3398</v>
      </c>
      <c r="E2084" t="s">
        <v>3395</v>
      </c>
      <c r="F2084" t="s">
        <v>3396</v>
      </c>
      <c r="G2084" t="s">
        <v>219</v>
      </c>
      <c r="H2084" t="s">
        <v>2101</v>
      </c>
      <c r="I2084" t="s">
        <v>2102</v>
      </c>
      <c r="J2084" t="s">
        <v>2103</v>
      </c>
      <c r="K2084" t="s">
        <v>55</v>
      </c>
      <c r="L2084" t="s">
        <v>2104</v>
      </c>
      <c r="M2084" t="s">
        <v>57</v>
      </c>
      <c r="N2084" t="str">
        <f>"049627"</f>
        <v>049627</v>
      </c>
      <c r="O2084" t="s">
        <v>2100</v>
      </c>
      <c r="P2084" t="s">
        <v>68</v>
      </c>
      <c r="Q2084">
        <v>39.200000000000003</v>
      </c>
      <c r="R2084">
        <v>1.5</v>
      </c>
      <c r="S2084" t="s">
        <v>130</v>
      </c>
    </row>
    <row r="2085" spans="1:19" x14ac:dyDescent="0.35">
      <c r="A2085">
        <v>25098</v>
      </c>
      <c r="B2085" t="str">
        <f>"025098"</f>
        <v>025098</v>
      </c>
      <c r="C2085" t="s">
        <v>7026</v>
      </c>
      <c r="D2085" t="s">
        <v>3400</v>
      </c>
      <c r="E2085" t="s">
        <v>3395</v>
      </c>
      <c r="F2085" t="s">
        <v>3396</v>
      </c>
      <c r="G2085" t="s">
        <v>135</v>
      </c>
      <c r="H2085" t="s">
        <v>7027</v>
      </c>
      <c r="I2085" t="s">
        <v>7028</v>
      </c>
      <c r="J2085" t="s">
        <v>5843</v>
      </c>
      <c r="K2085" t="s">
        <v>55</v>
      </c>
      <c r="L2085" t="s">
        <v>5844</v>
      </c>
      <c r="M2085" t="s">
        <v>57</v>
      </c>
      <c r="N2085" t="str">
        <f>"047803"</f>
        <v>047803</v>
      </c>
      <c r="O2085" t="s">
        <v>648</v>
      </c>
      <c r="P2085" t="s">
        <v>68</v>
      </c>
      <c r="Q2085">
        <v>61.1</v>
      </c>
      <c r="R2085">
        <v>12.099999999999994</v>
      </c>
      <c r="S2085" t="s">
        <v>130</v>
      </c>
    </row>
    <row r="2086" spans="1:19" x14ac:dyDescent="0.35">
      <c r="A2086">
        <v>25114</v>
      </c>
      <c r="B2086" t="str">
        <f>"025114"</f>
        <v>025114</v>
      </c>
      <c r="C2086" t="s">
        <v>7029</v>
      </c>
      <c r="D2086" t="s">
        <v>3398</v>
      </c>
      <c r="E2086" t="s">
        <v>3395</v>
      </c>
      <c r="F2086" t="s">
        <v>3396</v>
      </c>
      <c r="G2086" t="s">
        <v>554</v>
      </c>
      <c r="H2086" t="s">
        <v>7030</v>
      </c>
      <c r="I2086" t="s">
        <v>7031</v>
      </c>
      <c r="J2086" t="s">
        <v>2919</v>
      </c>
      <c r="K2086" t="s">
        <v>55</v>
      </c>
      <c r="L2086" t="s">
        <v>2920</v>
      </c>
      <c r="M2086" t="s">
        <v>57</v>
      </c>
      <c r="N2086" t="str">
        <f>"045948"</f>
        <v>045948</v>
      </c>
      <c r="O2086" t="s">
        <v>2916</v>
      </c>
      <c r="P2086" t="s">
        <v>68</v>
      </c>
      <c r="Q2086">
        <v>7.2</v>
      </c>
      <c r="R2086">
        <v>4</v>
      </c>
      <c r="S2086" t="s">
        <v>156</v>
      </c>
    </row>
    <row r="2087" spans="1:19" x14ac:dyDescent="0.35">
      <c r="A2087">
        <v>25122</v>
      </c>
      <c r="B2087" t="str">
        <f>"025122"</f>
        <v>025122</v>
      </c>
      <c r="C2087" t="s">
        <v>7032</v>
      </c>
      <c r="D2087" t="s">
        <v>3398</v>
      </c>
      <c r="E2087" t="s">
        <v>3395</v>
      </c>
      <c r="F2087" t="s">
        <v>3396</v>
      </c>
      <c r="G2087" t="s">
        <v>175</v>
      </c>
      <c r="H2087" t="s">
        <v>4854</v>
      </c>
      <c r="I2087" t="s">
        <v>4855</v>
      </c>
      <c r="J2087" t="s">
        <v>3129</v>
      </c>
      <c r="K2087" t="s">
        <v>55</v>
      </c>
      <c r="L2087" t="s">
        <v>3130</v>
      </c>
      <c r="M2087" t="s">
        <v>57</v>
      </c>
      <c r="N2087" t="str">
        <f>"046672"</f>
        <v>046672</v>
      </c>
      <c r="O2087" t="s">
        <v>3126</v>
      </c>
      <c r="P2087" t="s">
        <v>68</v>
      </c>
      <c r="Q2087">
        <v>50.2</v>
      </c>
      <c r="R2087">
        <v>15.299999999999997</v>
      </c>
      <c r="S2087" t="s">
        <v>180</v>
      </c>
    </row>
    <row r="2088" spans="1:19" x14ac:dyDescent="0.35">
      <c r="A2088">
        <v>25130</v>
      </c>
      <c r="B2088" t="str">
        <f>"025130"</f>
        <v>025130</v>
      </c>
      <c r="C2088" t="s">
        <v>7033</v>
      </c>
      <c r="D2088" t="s">
        <v>3400</v>
      </c>
      <c r="E2088" t="s">
        <v>3395</v>
      </c>
      <c r="F2088" t="s">
        <v>3396</v>
      </c>
      <c r="G2088" t="s">
        <v>117</v>
      </c>
      <c r="H2088" t="s">
        <v>7034</v>
      </c>
      <c r="I2088" t="s">
        <v>7035</v>
      </c>
      <c r="J2088" t="s">
        <v>977</v>
      </c>
      <c r="K2088" t="s">
        <v>55</v>
      </c>
      <c r="L2088" t="s">
        <v>1779</v>
      </c>
      <c r="M2088" t="s">
        <v>57</v>
      </c>
      <c r="N2088" t="str">
        <f>"049957"</f>
        <v>049957</v>
      </c>
      <c r="O2088" t="s">
        <v>1776</v>
      </c>
      <c r="P2088" t="s">
        <v>68</v>
      </c>
      <c r="Q2088">
        <v>26.4</v>
      </c>
      <c r="R2088">
        <v>4.0999999999999943</v>
      </c>
      <c r="S2088" t="s">
        <v>77</v>
      </c>
    </row>
    <row r="2089" spans="1:19" x14ac:dyDescent="0.35">
      <c r="A2089">
        <v>25148</v>
      </c>
      <c r="B2089" t="str">
        <f>"025148"</f>
        <v>025148</v>
      </c>
      <c r="C2089" t="s">
        <v>7036</v>
      </c>
      <c r="D2089" t="s">
        <v>3398</v>
      </c>
      <c r="E2089" t="s">
        <v>3395</v>
      </c>
      <c r="F2089" t="s">
        <v>3396</v>
      </c>
      <c r="G2089" t="s">
        <v>264</v>
      </c>
      <c r="H2089" t="s">
        <v>7037</v>
      </c>
      <c r="I2089" t="s">
        <v>7038</v>
      </c>
      <c r="J2089" t="s">
        <v>298</v>
      </c>
      <c r="K2089" t="s">
        <v>55</v>
      </c>
      <c r="L2089" t="s">
        <v>299</v>
      </c>
      <c r="M2089" t="s">
        <v>57</v>
      </c>
      <c r="N2089" t="str">
        <f>"050039"</f>
        <v>050039</v>
      </c>
      <c r="O2089" t="s">
        <v>1921</v>
      </c>
      <c r="P2089" t="s">
        <v>68</v>
      </c>
      <c r="Q2089">
        <v>22.6</v>
      </c>
      <c r="R2089">
        <v>1.4000000000000057</v>
      </c>
      <c r="S2089" t="s">
        <v>77</v>
      </c>
    </row>
    <row r="2090" spans="1:19" x14ac:dyDescent="0.35">
      <c r="A2090">
        <v>25155</v>
      </c>
      <c r="B2090" t="str">
        <f>"025155"</f>
        <v>025155</v>
      </c>
      <c r="C2090" t="s">
        <v>7039</v>
      </c>
      <c r="D2090" t="s">
        <v>3398</v>
      </c>
      <c r="E2090" t="s">
        <v>3395</v>
      </c>
      <c r="F2090" t="s">
        <v>3396</v>
      </c>
      <c r="G2090" t="s">
        <v>1702</v>
      </c>
      <c r="H2090" t="s">
        <v>7040</v>
      </c>
      <c r="I2090" t="s">
        <v>7041</v>
      </c>
      <c r="J2090" t="s">
        <v>1705</v>
      </c>
      <c r="K2090" t="s">
        <v>55</v>
      </c>
      <c r="L2090" t="s">
        <v>1706</v>
      </c>
      <c r="M2090" t="s">
        <v>57</v>
      </c>
      <c r="N2090" t="str">
        <f>"050740"</f>
        <v>050740</v>
      </c>
      <c r="O2090" t="s">
        <v>1701</v>
      </c>
      <c r="P2090" t="s">
        <v>68</v>
      </c>
      <c r="Q2090">
        <v>21.4</v>
      </c>
      <c r="R2090">
        <v>2.5999999999999943</v>
      </c>
      <c r="S2090" t="s">
        <v>156</v>
      </c>
    </row>
    <row r="2091" spans="1:19" x14ac:dyDescent="0.35">
      <c r="A2091">
        <v>25163</v>
      </c>
      <c r="B2091" t="str">
        <f>"025163"</f>
        <v>025163</v>
      </c>
      <c r="C2091" t="s">
        <v>7042</v>
      </c>
      <c r="D2091" t="s">
        <v>3394</v>
      </c>
      <c r="E2091" t="s">
        <v>3395</v>
      </c>
      <c r="F2091" t="s">
        <v>3396</v>
      </c>
      <c r="G2091" t="s">
        <v>600</v>
      </c>
      <c r="H2091" t="s">
        <v>7043</v>
      </c>
      <c r="I2091" t="s">
        <v>7044</v>
      </c>
      <c r="J2091" t="s">
        <v>1348</v>
      </c>
      <c r="K2091" t="s">
        <v>55</v>
      </c>
      <c r="L2091" t="s">
        <v>3161</v>
      </c>
      <c r="M2091" t="s">
        <v>57</v>
      </c>
      <c r="N2091" t="str">
        <f>"043802"</f>
        <v>043802</v>
      </c>
      <c r="O2091" t="s">
        <v>3171</v>
      </c>
      <c r="P2091" t="s">
        <v>68</v>
      </c>
      <c r="Q2091">
        <v>100</v>
      </c>
      <c r="R2091">
        <v>100</v>
      </c>
      <c r="S2091" t="s">
        <v>60</v>
      </c>
    </row>
    <row r="2092" spans="1:19" x14ac:dyDescent="0.35">
      <c r="A2092">
        <v>25171</v>
      </c>
      <c r="B2092" t="str">
        <f>"025171"</f>
        <v>025171</v>
      </c>
      <c r="C2092" t="s">
        <v>7045</v>
      </c>
      <c r="D2092" t="s">
        <v>3394</v>
      </c>
      <c r="E2092" t="s">
        <v>3395</v>
      </c>
      <c r="F2092" t="s">
        <v>3396</v>
      </c>
      <c r="G2092" t="s">
        <v>600</v>
      </c>
      <c r="H2092" t="s">
        <v>7046</v>
      </c>
      <c r="I2092" t="s">
        <v>7047</v>
      </c>
      <c r="J2092" t="s">
        <v>1348</v>
      </c>
      <c r="K2092" t="s">
        <v>55</v>
      </c>
      <c r="L2092" t="s">
        <v>2733</v>
      </c>
      <c r="M2092" t="s">
        <v>57</v>
      </c>
      <c r="N2092" t="str">
        <f>"043802"</f>
        <v>043802</v>
      </c>
      <c r="O2092" t="s">
        <v>3171</v>
      </c>
      <c r="P2092" t="s">
        <v>68</v>
      </c>
      <c r="Q2092">
        <v>100</v>
      </c>
      <c r="R2092">
        <v>90.2</v>
      </c>
      <c r="S2092" t="s">
        <v>60</v>
      </c>
    </row>
    <row r="2093" spans="1:19" x14ac:dyDescent="0.35">
      <c r="A2093">
        <v>25189</v>
      </c>
      <c r="B2093" t="str">
        <f>"025189"</f>
        <v>025189</v>
      </c>
      <c r="C2093" t="s">
        <v>7048</v>
      </c>
      <c r="D2093" t="s">
        <v>3394</v>
      </c>
      <c r="E2093" t="s">
        <v>3395</v>
      </c>
      <c r="F2093" t="s">
        <v>3396</v>
      </c>
      <c r="G2093" t="s">
        <v>200</v>
      </c>
      <c r="H2093" t="s">
        <v>7049</v>
      </c>
      <c r="I2093" t="s">
        <v>7050</v>
      </c>
      <c r="J2093" t="s">
        <v>304</v>
      </c>
      <c r="K2093" t="s">
        <v>55</v>
      </c>
      <c r="L2093" t="s">
        <v>6788</v>
      </c>
      <c r="M2093" t="s">
        <v>57</v>
      </c>
      <c r="N2093" t="str">
        <f>"048231"</f>
        <v>048231</v>
      </c>
      <c r="O2093" t="s">
        <v>1553</v>
      </c>
      <c r="P2093" t="s">
        <v>68</v>
      </c>
      <c r="Q2093">
        <v>49.6</v>
      </c>
      <c r="R2093">
        <v>40.200000000000003</v>
      </c>
      <c r="S2093" t="s">
        <v>156</v>
      </c>
    </row>
    <row r="2094" spans="1:19" x14ac:dyDescent="0.35">
      <c r="A2094">
        <v>25197</v>
      </c>
      <c r="B2094" t="str">
        <f>"025197"</f>
        <v>025197</v>
      </c>
      <c r="C2094" t="s">
        <v>7051</v>
      </c>
      <c r="D2094" t="s">
        <v>3394</v>
      </c>
      <c r="E2094" t="s">
        <v>3395</v>
      </c>
      <c r="F2094" t="s">
        <v>3396</v>
      </c>
      <c r="G2094" t="s">
        <v>200</v>
      </c>
      <c r="H2094" t="s">
        <v>7052</v>
      </c>
      <c r="I2094" t="s">
        <v>7053</v>
      </c>
      <c r="J2094" t="s">
        <v>7054</v>
      </c>
      <c r="K2094" t="s">
        <v>55</v>
      </c>
      <c r="L2094" t="s">
        <v>7055</v>
      </c>
      <c r="M2094" t="s">
        <v>57</v>
      </c>
      <c r="N2094" t="str">
        <f>"048207"</f>
        <v>048207</v>
      </c>
      <c r="O2094" t="s">
        <v>2677</v>
      </c>
      <c r="P2094" t="s">
        <v>68</v>
      </c>
      <c r="Q2094">
        <v>9.1999999999999993</v>
      </c>
      <c r="R2094">
        <v>9</v>
      </c>
      <c r="S2094" t="s">
        <v>156</v>
      </c>
    </row>
    <row r="2095" spans="1:19" x14ac:dyDescent="0.35">
      <c r="A2095">
        <v>25205</v>
      </c>
      <c r="B2095" t="str">
        <f>"025205"</f>
        <v>025205</v>
      </c>
      <c r="C2095" t="s">
        <v>7056</v>
      </c>
      <c r="D2095" t="s">
        <v>3394</v>
      </c>
      <c r="E2095" t="s">
        <v>3395</v>
      </c>
      <c r="F2095" t="s">
        <v>3396</v>
      </c>
      <c r="G2095" t="s">
        <v>212</v>
      </c>
      <c r="H2095" t="s">
        <v>7057</v>
      </c>
      <c r="I2095" t="s">
        <v>7058</v>
      </c>
      <c r="J2095" t="s">
        <v>215</v>
      </c>
      <c r="K2095" t="s">
        <v>55</v>
      </c>
      <c r="L2095" t="s">
        <v>7059</v>
      </c>
      <c r="M2095" t="s">
        <v>57</v>
      </c>
      <c r="N2095" t="str">
        <f>"047365"</f>
        <v>047365</v>
      </c>
      <c r="O2095" t="s">
        <v>611</v>
      </c>
      <c r="P2095" t="s">
        <v>68</v>
      </c>
      <c r="Q2095">
        <v>46.4</v>
      </c>
      <c r="R2095">
        <v>42.7</v>
      </c>
      <c r="S2095" t="s">
        <v>217</v>
      </c>
    </row>
    <row r="2096" spans="1:19" x14ac:dyDescent="0.35">
      <c r="A2096">
        <v>25221</v>
      </c>
      <c r="B2096" t="str">
        <f>"025221"</f>
        <v>025221</v>
      </c>
      <c r="C2096" t="s">
        <v>7060</v>
      </c>
      <c r="D2096" t="s">
        <v>3394</v>
      </c>
      <c r="E2096" t="s">
        <v>3395</v>
      </c>
      <c r="F2096" t="s">
        <v>3396</v>
      </c>
      <c r="G2096" t="s">
        <v>244</v>
      </c>
      <c r="H2096" t="s">
        <v>7061</v>
      </c>
      <c r="I2096" t="s">
        <v>7062</v>
      </c>
      <c r="J2096" t="s">
        <v>1239</v>
      </c>
      <c r="K2096" t="s">
        <v>55</v>
      </c>
      <c r="L2096" t="s">
        <v>2571</v>
      </c>
      <c r="M2096" t="s">
        <v>57</v>
      </c>
      <c r="N2096" t="str">
        <f>"139303"</f>
        <v>139303</v>
      </c>
      <c r="O2096" t="s">
        <v>2568</v>
      </c>
      <c r="P2096" t="s">
        <v>68</v>
      </c>
      <c r="Q2096">
        <v>34.6</v>
      </c>
      <c r="R2096">
        <v>25.700000000000003</v>
      </c>
      <c r="S2096" t="s">
        <v>217</v>
      </c>
    </row>
    <row r="2097" spans="1:19" x14ac:dyDescent="0.35">
      <c r="A2097">
        <v>25247</v>
      </c>
      <c r="B2097" t="str">
        <f>"025247"</f>
        <v>025247</v>
      </c>
      <c r="C2097" t="s">
        <v>7063</v>
      </c>
      <c r="D2097" t="s">
        <v>3400</v>
      </c>
      <c r="E2097" t="s">
        <v>3395</v>
      </c>
      <c r="F2097" t="s">
        <v>3396</v>
      </c>
      <c r="G2097" t="s">
        <v>362</v>
      </c>
      <c r="H2097" t="s">
        <v>2398</v>
      </c>
      <c r="I2097" t="s">
        <v>2399</v>
      </c>
      <c r="J2097" t="s">
        <v>2400</v>
      </c>
      <c r="K2097" t="s">
        <v>55</v>
      </c>
      <c r="L2097" t="s">
        <v>2401</v>
      </c>
      <c r="M2097" t="s">
        <v>57</v>
      </c>
      <c r="N2097" t="str">
        <f>"049270"</f>
        <v>049270</v>
      </c>
      <c r="O2097" t="s">
        <v>2397</v>
      </c>
      <c r="P2097" t="s">
        <v>68</v>
      </c>
      <c r="Q2097">
        <v>50.5</v>
      </c>
      <c r="R2097">
        <v>7.2999999999999972</v>
      </c>
      <c r="S2097" t="s">
        <v>180</v>
      </c>
    </row>
    <row r="2098" spans="1:19" x14ac:dyDescent="0.35">
      <c r="A2098">
        <v>25270</v>
      </c>
      <c r="B2098" t="str">
        <f>"025270"</f>
        <v>025270</v>
      </c>
      <c r="C2098" t="s">
        <v>7064</v>
      </c>
      <c r="D2098" t="s">
        <v>3394</v>
      </c>
      <c r="E2098" t="s">
        <v>3395</v>
      </c>
      <c r="F2098" t="s">
        <v>3396</v>
      </c>
      <c r="G2098" t="s">
        <v>657</v>
      </c>
      <c r="H2098" t="s">
        <v>7065</v>
      </c>
      <c r="I2098" t="s">
        <v>7066</v>
      </c>
      <c r="J2098" t="s">
        <v>1432</v>
      </c>
      <c r="K2098" t="s">
        <v>55</v>
      </c>
      <c r="L2098" t="s">
        <v>1433</v>
      </c>
      <c r="M2098" t="s">
        <v>57</v>
      </c>
      <c r="N2098" t="str">
        <f>"048264"</f>
        <v>048264</v>
      </c>
      <c r="O2098" t="s">
        <v>3014</v>
      </c>
      <c r="P2098" t="s">
        <v>68</v>
      </c>
      <c r="Q2098">
        <v>53.9</v>
      </c>
      <c r="R2098">
        <v>37.700000000000003</v>
      </c>
      <c r="S2098" t="s">
        <v>60</v>
      </c>
    </row>
    <row r="2099" spans="1:19" x14ac:dyDescent="0.35">
      <c r="A2099">
        <v>25296</v>
      </c>
      <c r="B2099" t="str">
        <f>"025296"</f>
        <v>025296</v>
      </c>
      <c r="C2099" t="s">
        <v>7064</v>
      </c>
      <c r="D2099" t="s">
        <v>3394</v>
      </c>
      <c r="E2099" t="s">
        <v>3395</v>
      </c>
      <c r="F2099" t="s">
        <v>3396</v>
      </c>
      <c r="G2099" t="s">
        <v>1041</v>
      </c>
      <c r="H2099" t="s">
        <v>7067</v>
      </c>
      <c r="I2099" t="s">
        <v>7068</v>
      </c>
      <c r="J2099" t="s">
        <v>3108</v>
      </c>
      <c r="K2099" t="s">
        <v>55</v>
      </c>
      <c r="L2099" t="s">
        <v>3109</v>
      </c>
      <c r="M2099" t="s">
        <v>57</v>
      </c>
      <c r="N2099" t="str">
        <f>"045559"</f>
        <v>045559</v>
      </c>
      <c r="O2099" t="s">
        <v>3105</v>
      </c>
      <c r="P2099" t="s">
        <v>68</v>
      </c>
      <c r="Q2099">
        <v>41.9</v>
      </c>
      <c r="R2099">
        <v>8.5</v>
      </c>
      <c r="S2099" t="s">
        <v>217</v>
      </c>
    </row>
    <row r="2100" spans="1:19" x14ac:dyDescent="0.35">
      <c r="A2100">
        <v>25353</v>
      </c>
      <c r="B2100" t="str">
        <f>"025353"</f>
        <v>025353</v>
      </c>
      <c r="C2100" t="s">
        <v>7069</v>
      </c>
      <c r="D2100" t="s">
        <v>3394</v>
      </c>
      <c r="E2100" t="s">
        <v>3395</v>
      </c>
      <c r="F2100" t="s">
        <v>3396</v>
      </c>
      <c r="G2100" t="s">
        <v>79</v>
      </c>
      <c r="H2100" t="s">
        <v>2705</v>
      </c>
      <c r="I2100" t="s">
        <v>2706</v>
      </c>
      <c r="J2100" t="s">
        <v>2707</v>
      </c>
      <c r="K2100" t="s">
        <v>55</v>
      </c>
      <c r="L2100" t="s">
        <v>2708</v>
      </c>
      <c r="M2100" t="s">
        <v>57</v>
      </c>
      <c r="N2100" t="str">
        <f>"047712"</f>
        <v>047712</v>
      </c>
      <c r="O2100" t="s">
        <v>2704</v>
      </c>
      <c r="P2100" t="s">
        <v>68</v>
      </c>
      <c r="Q2100">
        <v>35.5</v>
      </c>
      <c r="R2100">
        <v>3</v>
      </c>
      <c r="S2100" t="s">
        <v>69</v>
      </c>
    </row>
    <row r="2101" spans="1:19" x14ac:dyDescent="0.35">
      <c r="A2101">
        <v>25361</v>
      </c>
      <c r="B2101" t="str">
        <f>"025361"</f>
        <v>025361</v>
      </c>
      <c r="C2101" t="s">
        <v>7070</v>
      </c>
      <c r="D2101" t="s">
        <v>3398</v>
      </c>
      <c r="E2101" t="s">
        <v>3395</v>
      </c>
      <c r="F2101" t="s">
        <v>3396</v>
      </c>
      <c r="G2101" t="s">
        <v>79</v>
      </c>
      <c r="H2101" t="s">
        <v>2705</v>
      </c>
      <c r="I2101" t="s">
        <v>2706</v>
      </c>
      <c r="J2101" t="s">
        <v>2707</v>
      </c>
      <c r="K2101" t="s">
        <v>55</v>
      </c>
      <c r="L2101" t="s">
        <v>2708</v>
      </c>
      <c r="M2101" t="s">
        <v>57</v>
      </c>
      <c r="N2101" t="str">
        <f>"047712"</f>
        <v>047712</v>
      </c>
      <c r="O2101" t="s">
        <v>2704</v>
      </c>
      <c r="P2101" t="s">
        <v>68</v>
      </c>
      <c r="Q2101">
        <v>23.7</v>
      </c>
      <c r="R2101">
        <v>5.7000000000000028</v>
      </c>
      <c r="S2101" t="s">
        <v>69</v>
      </c>
    </row>
    <row r="2102" spans="1:19" x14ac:dyDescent="0.35">
      <c r="A2102">
        <v>25379</v>
      </c>
      <c r="B2102" t="str">
        <f>"025379"</f>
        <v>025379</v>
      </c>
      <c r="C2102" t="s">
        <v>7071</v>
      </c>
      <c r="D2102" t="s">
        <v>3394</v>
      </c>
      <c r="E2102" t="s">
        <v>3395</v>
      </c>
      <c r="F2102" t="s">
        <v>3396</v>
      </c>
      <c r="G2102" t="s">
        <v>600</v>
      </c>
      <c r="H2102" t="s">
        <v>7072</v>
      </c>
      <c r="I2102" t="s">
        <v>7073</v>
      </c>
      <c r="J2102" t="s">
        <v>1136</v>
      </c>
      <c r="K2102" t="s">
        <v>55</v>
      </c>
      <c r="L2102" t="s">
        <v>1137</v>
      </c>
      <c r="M2102" t="s">
        <v>57</v>
      </c>
      <c r="N2102" t="str">
        <f>"044800"</f>
        <v>044800</v>
      </c>
      <c r="O2102" t="s">
        <v>1133</v>
      </c>
      <c r="P2102" t="s">
        <v>68</v>
      </c>
      <c r="Q2102">
        <v>42.4</v>
      </c>
      <c r="R2102">
        <v>30.900000000000006</v>
      </c>
      <c r="S2102" t="s">
        <v>60</v>
      </c>
    </row>
    <row r="2103" spans="1:19" x14ac:dyDescent="0.35">
      <c r="A2103">
        <v>25387</v>
      </c>
      <c r="B2103" t="str">
        <f>"025387"</f>
        <v>025387</v>
      </c>
      <c r="C2103" t="s">
        <v>7074</v>
      </c>
      <c r="D2103" t="s">
        <v>3394</v>
      </c>
      <c r="E2103" t="s">
        <v>3395</v>
      </c>
      <c r="F2103" t="s">
        <v>3396</v>
      </c>
      <c r="G2103" t="s">
        <v>212</v>
      </c>
      <c r="H2103" t="s">
        <v>7075</v>
      </c>
      <c r="I2103" t="s">
        <v>7076</v>
      </c>
      <c r="J2103" t="s">
        <v>215</v>
      </c>
      <c r="K2103" t="s">
        <v>55</v>
      </c>
      <c r="L2103" t="s">
        <v>2419</v>
      </c>
      <c r="M2103" t="s">
        <v>57</v>
      </c>
      <c r="N2103" t="str">
        <f>"044867"</f>
        <v>044867</v>
      </c>
      <c r="O2103" t="s">
        <v>2415</v>
      </c>
      <c r="P2103" t="s">
        <v>68</v>
      </c>
      <c r="Q2103">
        <v>6</v>
      </c>
      <c r="R2103">
        <v>33.900000000000006</v>
      </c>
      <c r="S2103" t="s">
        <v>217</v>
      </c>
    </row>
    <row r="2104" spans="1:19" x14ac:dyDescent="0.35">
      <c r="A2104">
        <v>25395</v>
      </c>
      <c r="B2104" t="str">
        <f>"025395"</f>
        <v>025395</v>
      </c>
      <c r="C2104" t="s">
        <v>7077</v>
      </c>
      <c r="D2104" t="s">
        <v>3394</v>
      </c>
      <c r="E2104" t="s">
        <v>3395</v>
      </c>
      <c r="F2104" t="s">
        <v>3396</v>
      </c>
      <c r="G2104" t="s">
        <v>855</v>
      </c>
      <c r="H2104" t="s">
        <v>7078</v>
      </c>
      <c r="I2104" t="s">
        <v>7079</v>
      </c>
      <c r="J2104" t="s">
        <v>855</v>
      </c>
      <c r="K2104" t="s">
        <v>55</v>
      </c>
      <c r="L2104" t="s">
        <v>1457</v>
      </c>
      <c r="M2104" t="s">
        <v>57</v>
      </c>
      <c r="N2104" t="str">
        <f>"043505"</f>
        <v>043505</v>
      </c>
      <c r="O2104" t="s">
        <v>3139</v>
      </c>
      <c r="P2104" t="s">
        <v>68</v>
      </c>
      <c r="Q2104">
        <v>40</v>
      </c>
      <c r="R2104">
        <v>8.5</v>
      </c>
      <c r="S2104" t="s">
        <v>77</v>
      </c>
    </row>
    <row r="2105" spans="1:19" x14ac:dyDescent="0.35">
      <c r="A2105">
        <v>25403</v>
      </c>
      <c r="B2105" t="str">
        <f>"025403"</f>
        <v>025403</v>
      </c>
      <c r="C2105" t="s">
        <v>7080</v>
      </c>
      <c r="D2105" t="s">
        <v>3394</v>
      </c>
      <c r="E2105" t="s">
        <v>3395</v>
      </c>
      <c r="F2105" t="s">
        <v>3396</v>
      </c>
      <c r="G2105" t="s">
        <v>543</v>
      </c>
      <c r="H2105" t="s">
        <v>7081</v>
      </c>
      <c r="I2105" t="s">
        <v>7082</v>
      </c>
      <c r="J2105" t="s">
        <v>1252</v>
      </c>
      <c r="K2105" t="s">
        <v>55</v>
      </c>
      <c r="L2105" t="s">
        <v>1253</v>
      </c>
      <c r="M2105" t="s">
        <v>57</v>
      </c>
      <c r="N2105" t="str">
        <f>"048751"</f>
        <v>048751</v>
      </c>
      <c r="O2105" t="s">
        <v>1249</v>
      </c>
      <c r="P2105" t="s">
        <v>68</v>
      </c>
      <c r="Q2105">
        <v>46.3</v>
      </c>
      <c r="R2105">
        <v>44.1</v>
      </c>
      <c r="S2105" t="s">
        <v>180</v>
      </c>
    </row>
    <row r="2106" spans="1:19" x14ac:dyDescent="0.35">
      <c r="A2106">
        <v>25411</v>
      </c>
      <c r="B2106" t="str">
        <f>"025411"</f>
        <v>025411</v>
      </c>
      <c r="C2106" t="s">
        <v>7083</v>
      </c>
      <c r="D2106" t="s">
        <v>3400</v>
      </c>
      <c r="E2106" t="s">
        <v>3395</v>
      </c>
      <c r="F2106" t="s">
        <v>3396</v>
      </c>
      <c r="G2106" t="s">
        <v>63</v>
      </c>
      <c r="H2106" t="s">
        <v>7084</v>
      </c>
      <c r="I2106" t="s">
        <v>7085</v>
      </c>
      <c r="J2106" t="s">
        <v>1844</v>
      </c>
      <c r="K2106" t="s">
        <v>55</v>
      </c>
      <c r="L2106" t="s">
        <v>3424</v>
      </c>
      <c r="M2106" t="s">
        <v>57</v>
      </c>
      <c r="N2106" t="str">
        <f>"043794"</f>
        <v>043794</v>
      </c>
      <c r="O2106" t="s">
        <v>1912</v>
      </c>
      <c r="P2106" t="s">
        <v>68</v>
      </c>
      <c r="Q2106">
        <v>100</v>
      </c>
      <c r="R2106">
        <v>95.8</v>
      </c>
      <c r="S2106" t="s">
        <v>69</v>
      </c>
    </row>
    <row r="2107" spans="1:19" x14ac:dyDescent="0.35">
      <c r="A2107">
        <v>25429</v>
      </c>
      <c r="B2107" t="str">
        <f>"025429"</f>
        <v>025429</v>
      </c>
      <c r="C2107" t="s">
        <v>7086</v>
      </c>
      <c r="D2107" t="s">
        <v>3394</v>
      </c>
      <c r="E2107" t="s">
        <v>3395</v>
      </c>
      <c r="F2107" t="s">
        <v>3396</v>
      </c>
      <c r="G2107" t="s">
        <v>1118</v>
      </c>
      <c r="H2107" t="s">
        <v>1119</v>
      </c>
      <c r="I2107" t="s">
        <v>1120</v>
      </c>
      <c r="J2107" t="s">
        <v>1121</v>
      </c>
      <c r="K2107" t="s">
        <v>55</v>
      </c>
      <c r="L2107" t="s">
        <v>1122</v>
      </c>
      <c r="M2107" t="s">
        <v>57</v>
      </c>
      <c r="N2107" t="str">
        <f>"045526"</f>
        <v>045526</v>
      </c>
      <c r="O2107" t="s">
        <v>1117</v>
      </c>
      <c r="P2107" t="s">
        <v>68</v>
      </c>
      <c r="Q2107">
        <v>47.4</v>
      </c>
      <c r="R2107">
        <v>10.299999999999997</v>
      </c>
      <c r="S2107" t="s">
        <v>156</v>
      </c>
    </row>
    <row r="2108" spans="1:19" x14ac:dyDescent="0.35">
      <c r="A2108">
        <v>25437</v>
      </c>
      <c r="B2108" t="str">
        <f>"025437"</f>
        <v>025437</v>
      </c>
      <c r="C2108" t="s">
        <v>7087</v>
      </c>
      <c r="D2108" t="s">
        <v>3398</v>
      </c>
      <c r="E2108" t="s">
        <v>3395</v>
      </c>
      <c r="F2108" t="s">
        <v>3396</v>
      </c>
      <c r="G2108" t="s">
        <v>1118</v>
      </c>
      <c r="H2108" t="s">
        <v>1119</v>
      </c>
      <c r="I2108" t="s">
        <v>1120</v>
      </c>
      <c r="J2108" t="s">
        <v>1121</v>
      </c>
      <c r="K2108" t="s">
        <v>55</v>
      </c>
      <c r="L2108" t="s">
        <v>1122</v>
      </c>
      <c r="M2108" t="s">
        <v>57</v>
      </c>
      <c r="N2108" t="str">
        <f>"045526"</f>
        <v>045526</v>
      </c>
      <c r="O2108" t="s">
        <v>1117</v>
      </c>
      <c r="P2108" t="s">
        <v>68</v>
      </c>
      <c r="Q2108">
        <v>41.5</v>
      </c>
      <c r="R2108">
        <v>8.9000000000000057</v>
      </c>
      <c r="S2108" t="s">
        <v>156</v>
      </c>
    </row>
    <row r="2109" spans="1:19" x14ac:dyDescent="0.35">
      <c r="A2109">
        <v>25445</v>
      </c>
      <c r="B2109" t="str">
        <f>"025445"</f>
        <v>025445</v>
      </c>
      <c r="C2109" t="s">
        <v>7088</v>
      </c>
      <c r="D2109" t="s">
        <v>3394</v>
      </c>
      <c r="E2109" t="s">
        <v>3395</v>
      </c>
      <c r="F2109" t="s">
        <v>3396</v>
      </c>
      <c r="G2109" t="s">
        <v>600</v>
      </c>
      <c r="H2109" t="s">
        <v>7089</v>
      </c>
      <c r="I2109" t="s">
        <v>7090</v>
      </c>
      <c r="J2109" t="s">
        <v>3160</v>
      </c>
      <c r="K2109" t="s">
        <v>55</v>
      </c>
      <c r="L2109" t="s">
        <v>3161</v>
      </c>
      <c r="M2109" t="s">
        <v>57</v>
      </c>
      <c r="N2109" t="str">
        <f>"043620"</f>
        <v>043620</v>
      </c>
      <c r="O2109" t="s">
        <v>3157</v>
      </c>
      <c r="P2109" t="s">
        <v>68</v>
      </c>
      <c r="Q2109">
        <v>8.8000000000000007</v>
      </c>
      <c r="R2109">
        <v>20.599999999999994</v>
      </c>
      <c r="S2109" t="s">
        <v>60</v>
      </c>
    </row>
    <row r="2110" spans="1:19" x14ac:dyDescent="0.35">
      <c r="A2110">
        <v>25478</v>
      </c>
      <c r="B2110" t="str">
        <f>"025478"</f>
        <v>025478</v>
      </c>
      <c r="C2110" t="s">
        <v>7091</v>
      </c>
      <c r="D2110" t="s">
        <v>3394</v>
      </c>
      <c r="E2110" t="s">
        <v>3395</v>
      </c>
      <c r="F2110" t="s">
        <v>3396</v>
      </c>
      <c r="G2110" t="s">
        <v>543</v>
      </c>
      <c r="H2110" t="s">
        <v>7092</v>
      </c>
      <c r="I2110" t="s">
        <v>7093</v>
      </c>
      <c r="J2110" t="s">
        <v>687</v>
      </c>
      <c r="K2110" t="s">
        <v>55</v>
      </c>
      <c r="L2110" t="s">
        <v>5891</v>
      </c>
      <c r="M2110" t="s">
        <v>57</v>
      </c>
      <c r="N2110" t="str">
        <f>"044180"</f>
        <v>044180</v>
      </c>
      <c r="O2110" t="s">
        <v>1963</v>
      </c>
      <c r="P2110" t="s">
        <v>68</v>
      </c>
      <c r="Q2110" t="s">
        <v>68</v>
      </c>
      <c r="R2110" t="s">
        <v>68</v>
      </c>
      <c r="S2110" t="s">
        <v>180</v>
      </c>
    </row>
    <row r="2111" spans="1:19" x14ac:dyDescent="0.35">
      <c r="A2111">
        <v>25502</v>
      </c>
      <c r="B2111" t="str">
        <f>"025502"</f>
        <v>025502</v>
      </c>
      <c r="C2111" t="s">
        <v>7094</v>
      </c>
      <c r="D2111" t="s">
        <v>3394</v>
      </c>
      <c r="E2111" t="s">
        <v>3395</v>
      </c>
      <c r="F2111" t="s">
        <v>3396</v>
      </c>
      <c r="G2111" t="s">
        <v>244</v>
      </c>
      <c r="H2111" t="s">
        <v>7095</v>
      </c>
      <c r="I2111" t="s">
        <v>7096</v>
      </c>
      <c r="J2111" t="s">
        <v>212</v>
      </c>
      <c r="K2111" t="s">
        <v>55</v>
      </c>
      <c r="L2111" t="s">
        <v>2312</v>
      </c>
      <c r="M2111" t="s">
        <v>57</v>
      </c>
      <c r="N2111" t="str">
        <f>"046144"</f>
        <v>046144</v>
      </c>
      <c r="O2111" t="s">
        <v>2309</v>
      </c>
      <c r="P2111" t="s">
        <v>68</v>
      </c>
      <c r="Q2111">
        <v>20.7</v>
      </c>
      <c r="R2111">
        <v>4.0999999999999943</v>
      </c>
      <c r="S2111" t="s">
        <v>217</v>
      </c>
    </row>
    <row r="2112" spans="1:19" x14ac:dyDescent="0.35">
      <c r="A2112">
        <v>25544</v>
      </c>
      <c r="B2112" t="str">
        <f>"025544"</f>
        <v>025544</v>
      </c>
      <c r="C2112" t="s">
        <v>7097</v>
      </c>
      <c r="D2112" t="s">
        <v>3398</v>
      </c>
      <c r="E2112" t="s">
        <v>3395</v>
      </c>
      <c r="F2112" t="s">
        <v>3396</v>
      </c>
      <c r="G2112" t="s">
        <v>1099</v>
      </c>
      <c r="H2112" t="s">
        <v>7098</v>
      </c>
      <c r="I2112" t="s">
        <v>7099</v>
      </c>
      <c r="J2112" t="s">
        <v>1102</v>
      </c>
      <c r="K2112" t="s">
        <v>55</v>
      </c>
      <c r="L2112" t="s">
        <v>1103</v>
      </c>
      <c r="M2112" t="s">
        <v>57</v>
      </c>
      <c r="N2112" t="str">
        <f>"048777"</f>
        <v>048777</v>
      </c>
      <c r="O2112" t="s">
        <v>1766</v>
      </c>
      <c r="P2112" t="s">
        <v>68</v>
      </c>
      <c r="Q2112">
        <v>39</v>
      </c>
      <c r="R2112">
        <v>10.900000000000006</v>
      </c>
      <c r="S2112" t="s">
        <v>130</v>
      </c>
    </row>
    <row r="2113" spans="1:19" x14ac:dyDescent="0.35">
      <c r="A2113">
        <v>25577</v>
      </c>
      <c r="B2113" t="str">
        <f>"025577"</f>
        <v>025577</v>
      </c>
      <c r="C2113" t="s">
        <v>7100</v>
      </c>
      <c r="D2113" t="s">
        <v>3394</v>
      </c>
      <c r="E2113" t="s">
        <v>3395</v>
      </c>
      <c r="F2113" t="s">
        <v>3396</v>
      </c>
      <c r="G2113" t="s">
        <v>543</v>
      </c>
      <c r="H2113" t="s">
        <v>5531</v>
      </c>
      <c r="I2113" t="s">
        <v>5532</v>
      </c>
      <c r="J2113" t="s">
        <v>687</v>
      </c>
      <c r="K2113" t="s">
        <v>55</v>
      </c>
      <c r="L2113" t="s">
        <v>2578</v>
      </c>
      <c r="M2113" t="s">
        <v>57</v>
      </c>
      <c r="N2113" t="str">
        <f>"048736"</f>
        <v>048736</v>
      </c>
      <c r="O2113" t="s">
        <v>109</v>
      </c>
      <c r="P2113" t="s">
        <v>68</v>
      </c>
      <c r="Q2113">
        <v>100</v>
      </c>
      <c r="R2113">
        <v>51.1</v>
      </c>
      <c r="S2113" t="s">
        <v>180</v>
      </c>
    </row>
    <row r="2114" spans="1:19" x14ac:dyDescent="0.35">
      <c r="A2114">
        <v>25585</v>
      </c>
      <c r="B2114" t="str">
        <f>"025585"</f>
        <v>025585</v>
      </c>
      <c r="C2114" t="s">
        <v>7101</v>
      </c>
      <c r="D2114" t="s">
        <v>3394</v>
      </c>
      <c r="E2114" t="s">
        <v>3395</v>
      </c>
      <c r="F2114" t="s">
        <v>3396</v>
      </c>
      <c r="G2114" t="s">
        <v>493</v>
      </c>
      <c r="H2114" t="s">
        <v>7102</v>
      </c>
      <c r="I2114" t="s">
        <v>7103</v>
      </c>
      <c r="J2114" t="s">
        <v>493</v>
      </c>
      <c r="K2114" t="s">
        <v>55</v>
      </c>
      <c r="L2114" t="s">
        <v>4897</v>
      </c>
      <c r="M2114" t="s">
        <v>57</v>
      </c>
      <c r="N2114" t="str">
        <f>"043521"</f>
        <v>043521</v>
      </c>
      <c r="O2114" t="s">
        <v>1104</v>
      </c>
      <c r="P2114" t="s">
        <v>68</v>
      </c>
      <c r="Q2114">
        <v>46.2</v>
      </c>
      <c r="R2114">
        <v>15.299999999999997</v>
      </c>
      <c r="S2114" t="s">
        <v>130</v>
      </c>
    </row>
    <row r="2115" spans="1:19" x14ac:dyDescent="0.35">
      <c r="A2115">
        <v>25619</v>
      </c>
      <c r="B2115" t="str">
        <f>"025619"</f>
        <v>025619</v>
      </c>
      <c r="C2115" t="s">
        <v>7104</v>
      </c>
      <c r="D2115" t="s">
        <v>3400</v>
      </c>
      <c r="E2115" t="s">
        <v>3395</v>
      </c>
      <c r="F2115" t="s">
        <v>3396</v>
      </c>
      <c r="G2115" t="s">
        <v>543</v>
      </c>
      <c r="H2115" t="s">
        <v>7105</v>
      </c>
      <c r="I2115" t="s">
        <v>7106</v>
      </c>
      <c r="J2115" t="s">
        <v>3061</v>
      </c>
      <c r="K2115" t="s">
        <v>55</v>
      </c>
      <c r="L2115" t="s">
        <v>3062</v>
      </c>
      <c r="M2115" t="s">
        <v>57</v>
      </c>
      <c r="N2115" t="str">
        <f>"044958"</f>
        <v>044958</v>
      </c>
      <c r="O2115" t="s">
        <v>3058</v>
      </c>
      <c r="P2115" t="s">
        <v>68</v>
      </c>
      <c r="Q2115">
        <v>29.9</v>
      </c>
      <c r="R2115">
        <v>25.299999999999997</v>
      </c>
      <c r="S2115" t="s">
        <v>180</v>
      </c>
    </row>
    <row r="2116" spans="1:19" x14ac:dyDescent="0.35">
      <c r="A2116">
        <v>25650</v>
      </c>
      <c r="B2116" t="str">
        <f>"025650"</f>
        <v>025650</v>
      </c>
      <c r="C2116" t="s">
        <v>7107</v>
      </c>
      <c r="D2116" t="s">
        <v>3394</v>
      </c>
      <c r="E2116" t="s">
        <v>3395</v>
      </c>
      <c r="F2116" t="s">
        <v>3396</v>
      </c>
      <c r="G2116" t="s">
        <v>63</v>
      </c>
      <c r="H2116" t="s">
        <v>7108</v>
      </c>
      <c r="I2116" t="s">
        <v>7109</v>
      </c>
      <c r="J2116" t="s">
        <v>285</v>
      </c>
      <c r="K2116" t="s">
        <v>55</v>
      </c>
      <c r="L2116" t="s">
        <v>4335</v>
      </c>
      <c r="M2116" t="s">
        <v>57</v>
      </c>
      <c r="N2116" t="str">
        <f>"043786"</f>
        <v>043786</v>
      </c>
      <c r="O2116" t="s">
        <v>1340</v>
      </c>
      <c r="P2116" t="s">
        <v>68</v>
      </c>
      <c r="Q2116">
        <v>100</v>
      </c>
      <c r="R2116">
        <v>92.6</v>
      </c>
      <c r="S2116" t="s">
        <v>69</v>
      </c>
    </row>
    <row r="2117" spans="1:19" x14ac:dyDescent="0.35">
      <c r="A2117">
        <v>25668</v>
      </c>
      <c r="B2117" t="str">
        <f>"025668"</f>
        <v>025668</v>
      </c>
      <c r="C2117" t="s">
        <v>7107</v>
      </c>
      <c r="D2117" t="s">
        <v>3394</v>
      </c>
      <c r="E2117" t="s">
        <v>3395</v>
      </c>
      <c r="F2117" t="s">
        <v>3396</v>
      </c>
      <c r="G2117" t="s">
        <v>543</v>
      </c>
      <c r="H2117" t="s">
        <v>7110</v>
      </c>
      <c r="I2117" t="s">
        <v>7111</v>
      </c>
      <c r="J2117" t="s">
        <v>790</v>
      </c>
      <c r="K2117" t="s">
        <v>55</v>
      </c>
      <c r="L2117" t="s">
        <v>791</v>
      </c>
      <c r="M2117" t="s">
        <v>57</v>
      </c>
      <c r="N2117" t="str">
        <f>"044396"</f>
        <v>044396</v>
      </c>
      <c r="O2117" t="s">
        <v>787</v>
      </c>
      <c r="P2117" t="s">
        <v>68</v>
      </c>
      <c r="Q2117">
        <v>35.299999999999997</v>
      </c>
      <c r="R2117">
        <v>19.700000000000003</v>
      </c>
      <c r="S2117" t="s">
        <v>180</v>
      </c>
    </row>
    <row r="2118" spans="1:19" x14ac:dyDescent="0.35">
      <c r="A2118">
        <v>25726</v>
      </c>
      <c r="B2118" t="str">
        <f>"025726"</f>
        <v>025726</v>
      </c>
      <c r="C2118" t="s">
        <v>7112</v>
      </c>
      <c r="D2118" t="s">
        <v>3394</v>
      </c>
      <c r="E2118" t="s">
        <v>3395</v>
      </c>
      <c r="F2118" t="s">
        <v>3396</v>
      </c>
      <c r="G2118" t="s">
        <v>212</v>
      </c>
      <c r="H2118" t="s">
        <v>7113</v>
      </c>
      <c r="I2118" t="s">
        <v>7114</v>
      </c>
      <c r="J2118" t="s">
        <v>215</v>
      </c>
      <c r="K2118" t="s">
        <v>55</v>
      </c>
      <c r="L2118" t="s">
        <v>614</v>
      </c>
      <c r="M2118" t="s">
        <v>57</v>
      </c>
      <c r="N2118" t="str">
        <f>"043752"</f>
        <v>043752</v>
      </c>
      <c r="O2118" t="s">
        <v>440</v>
      </c>
      <c r="P2118" t="s">
        <v>68</v>
      </c>
      <c r="Q2118">
        <v>99.8</v>
      </c>
      <c r="R2118">
        <v>96.2</v>
      </c>
      <c r="S2118" t="s">
        <v>217</v>
      </c>
    </row>
    <row r="2119" spans="1:19" x14ac:dyDescent="0.35">
      <c r="A2119">
        <v>25742</v>
      </c>
      <c r="B2119" t="str">
        <f>"025742"</f>
        <v>025742</v>
      </c>
      <c r="C2119" t="s">
        <v>5242</v>
      </c>
      <c r="D2119" t="s">
        <v>3394</v>
      </c>
      <c r="E2119" t="s">
        <v>3395</v>
      </c>
      <c r="F2119" t="s">
        <v>3396</v>
      </c>
      <c r="G2119" t="s">
        <v>821</v>
      </c>
      <c r="H2119" t="s">
        <v>2047</v>
      </c>
      <c r="I2119" t="s">
        <v>2048</v>
      </c>
      <c r="J2119" t="s">
        <v>2049</v>
      </c>
      <c r="K2119" t="s">
        <v>55</v>
      </c>
      <c r="L2119" t="s">
        <v>2050</v>
      </c>
      <c r="M2119" t="s">
        <v>57</v>
      </c>
      <c r="N2119" t="str">
        <f>"047514"</f>
        <v>047514</v>
      </c>
      <c r="O2119" t="s">
        <v>2046</v>
      </c>
      <c r="P2119" t="s">
        <v>68</v>
      </c>
      <c r="Q2119">
        <v>39.200000000000003</v>
      </c>
      <c r="R2119">
        <v>4.2999999999999972</v>
      </c>
      <c r="S2119" t="s">
        <v>156</v>
      </c>
    </row>
    <row r="2120" spans="1:19" x14ac:dyDescent="0.35">
      <c r="A2120">
        <v>25767</v>
      </c>
      <c r="B2120" t="str">
        <f>"025767"</f>
        <v>025767</v>
      </c>
      <c r="C2120" t="s">
        <v>7115</v>
      </c>
      <c r="D2120" t="s">
        <v>3394</v>
      </c>
      <c r="E2120" t="s">
        <v>3395</v>
      </c>
      <c r="F2120" t="s">
        <v>3396</v>
      </c>
      <c r="G2120" t="s">
        <v>187</v>
      </c>
      <c r="H2120" t="s">
        <v>7116</v>
      </c>
      <c r="I2120" t="s">
        <v>7117</v>
      </c>
      <c r="J2120" t="s">
        <v>7118</v>
      </c>
      <c r="K2120" t="s">
        <v>55</v>
      </c>
      <c r="L2120" t="s">
        <v>7119</v>
      </c>
      <c r="M2120" t="s">
        <v>57</v>
      </c>
      <c r="N2120" t="str">
        <f>"050583"</f>
        <v>050583</v>
      </c>
      <c r="O2120" t="s">
        <v>2105</v>
      </c>
      <c r="P2120" t="s">
        <v>68</v>
      </c>
      <c r="Q2120">
        <v>28.9</v>
      </c>
      <c r="R2120">
        <v>2.2999999999999972</v>
      </c>
      <c r="S2120" t="s">
        <v>77</v>
      </c>
    </row>
    <row r="2121" spans="1:19" x14ac:dyDescent="0.35">
      <c r="A2121">
        <v>25783</v>
      </c>
      <c r="B2121" t="str">
        <f>"025783"</f>
        <v>025783</v>
      </c>
      <c r="C2121" t="s">
        <v>7120</v>
      </c>
      <c r="D2121" t="s">
        <v>3398</v>
      </c>
      <c r="E2121" t="s">
        <v>3395</v>
      </c>
      <c r="F2121" t="s">
        <v>3396</v>
      </c>
      <c r="G2121" t="s">
        <v>1359</v>
      </c>
      <c r="H2121" t="s">
        <v>7121</v>
      </c>
      <c r="I2121" t="s">
        <v>7122</v>
      </c>
      <c r="J2121" t="s">
        <v>1374</v>
      </c>
      <c r="K2121" t="s">
        <v>55</v>
      </c>
      <c r="L2121" t="s">
        <v>1375</v>
      </c>
      <c r="M2121" t="s">
        <v>57</v>
      </c>
      <c r="N2121" t="str">
        <f>"045534"</f>
        <v>045534</v>
      </c>
      <c r="O2121" t="s">
        <v>1371</v>
      </c>
      <c r="P2121" t="s">
        <v>68</v>
      </c>
      <c r="Q2121">
        <v>41.3</v>
      </c>
      <c r="R2121">
        <v>7.5999999999999943</v>
      </c>
      <c r="S2121" t="s">
        <v>60</v>
      </c>
    </row>
    <row r="2122" spans="1:19" x14ac:dyDescent="0.35">
      <c r="A2122">
        <v>25791</v>
      </c>
      <c r="B2122" t="str">
        <f>"025791"</f>
        <v>025791</v>
      </c>
      <c r="C2122" t="s">
        <v>7123</v>
      </c>
      <c r="D2122" t="s">
        <v>3394</v>
      </c>
      <c r="E2122" t="s">
        <v>3395</v>
      </c>
      <c r="F2122" t="s">
        <v>3396</v>
      </c>
      <c r="G2122" t="s">
        <v>1359</v>
      </c>
      <c r="H2122" t="s">
        <v>7124</v>
      </c>
      <c r="I2122" t="s">
        <v>7125</v>
      </c>
      <c r="J2122" t="s">
        <v>1374</v>
      </c>
      <c r="K2122" t="s">
        <v>55</v>
      </c>
      <c r="L2122" t="s">
        <v>1375</v>
      </c>
      <c r="M2122" t="s">
        <v>57</v>
      </c>
      <c r="N2122" t="str">
        <f>"045534"</f>
        <v>045534</v>
      </c>
      <c r="O2122" t="s">
        <v>1371</v>
      </c>
      <c r="P2122" t="s">
        <v>68</v>
      </c>
      <c r="Q2122">
        <v>47</v>
      </c>
      <c r="R2122">
        <v>6.9000000000000057</v>
      </c>
      <c r="S2122" t="s">
        <v>60</v>
      </c>
    </row>
    <row r="2123" spans="1:19" x14ac:dyDescent="0.35">
      <c r="A2123">
        <v>25809</v>
      </c>
      <c r="B2123" t="str">
        <f>"025809"</f>
        <v>025809</v>
      </c>
      <c r="C2123" t="s">
        <v>7126</v>
      </c>
      <c r="D2123" t="s">
        <v>3400</v>
      </c>
      <c r="E2123" t="s">
        <v>3395</v>
      </c>
      <c r="F2123" t="s">
        <v>3396</v>
      </c>
      <c r="G2123" t="s">
        <v>1359</v>
      </c>
      <c r="H2123" t="s">
        <v>7127</v>
      </c>
      <c r="I2123" t="s">
        <v>7128</v>
      </c>
      <c r="J2123" t="s">
        <v>1374</v>
      </c>
      <c r="K2123" t="s">
        <v>55</v>
      </c>
      <c r="L2123" t="s">
        <v>1375</v>
      </c>
      <c r="M2123" t="s">
        <v>57</v>
      </c>
      <c r="N2123" t="str">
        <f>"045534"</f>
        <v>045534</v>
      </c>
      <c r="O2123" t="s">
        <v>1371</v>
      </c>
      <c r="P2123" t="s">
        <v>68</v>
      </c>
      <c r="Q2123">
        <v>47</v>
      </c>
      <c r="R2123">
        <v>8.7000000000000028</v>
      </c>
      <c r="S2123" t="s">
        <v>60</v>
      </c>
    </row>
    <row r="2124" spans="1:19" x14ac:dyDescent="0.35">
      <c r="A2124">
        <v>25817</v>
      </c>
      <c r="B2124" t="str">
        <f>"025817"</f>
        <v>025817</v>
      </c>
      <c r="C2124" t="s">
        <v>7129</v>
      </c>
      <c r="D2124" t="s">
        <v>3398</v>
      </c>
      <c r="E2124" t="s">
        <v>3395</v>
      </c>
      <c r="F2124" t="s">
        <v>3396</v>
      </c>
      <c r="G2124" t="s">
        <v>212</v>
      </c>
      <c r="H2124" t="s">
        <v>7130</v>
      </c>
      <c r="I2124" t="s">
        <v>7131</v>
      </c>
      <c r="J2124" t="s">
        <v>215</v>
      </c>
      <c r="K2124" t="s">
        <v>55</v>
      </c>
      <c r="L2124" t="s">
        <v>914</v>
      </c>
      <c r="M2124" t="s">
        <v>57</v>
      </c>
      <c r="N2124" t="str">
        <f>"044412"</f>
        <v>044412</v>
      </c>
      <c r="O2124" t="s">
        <v>1627</v>
      </c>
      <c r="P2124" t="s">
        <v>68</v>
      </c>
      <c r="Q2124">
        <v>98.3</v>
      </c>
      <c r="R2124">
        <v>89.7</v>
      </c>
      <c r="S2124" t="s">
        <v>217</v>
      </c>
    </row>
    <row r="2125" spans="1:19" x14ac:dyDescent="0.35">
      <c r="A2125">
        <v>25825</v>
      </c>
      <c r="B2125" t="str">
        <f>"025825"</f>
        <v>025825</v>
      </c>
      <c r="C2125" t="s">
        <v>7132</v>
      </c>
      <c r="D2125" t="s">
        <v>3394</v>
      </c>
      <c r="E2125" t="s">
        <v>3395</v>
      </c>
      <c r="F2125" t="s">
        <v>3396</v>
      </c>
      <c r="G2125" t="s">
        <v>712</v>
      </c>
      <c r="H2125" t="s">
        <v>7133</v>
      </c>
      <c r="I2125" t="s">
        <v>7134</v>
      </c>
      <c r="J2125" t="s">
        <v>7135</v>
      </c>
      <c r="K2125" t="s">
        <v>55</v>
      </c>
      <c r="L2125" t="s">
        <v>7136</v>
      </c>
      <c r="M2125" t="s">
        <v>57</v>
      </c>
      <c r="N2125" t="str">
        <f>"047688"</f>
        <v>047688</v>
      </c>
      <c r="O2125" t="s">
        <v>2208</v>
      </c>
      <c r="P2125" t="s">
        <v>68</v>
      </c>
      <c r="Q2125">
        <v>12.5</v>
      </c>
      <c r="R2125">
        <v>0</v>
      </c>
      <c r="S2125" t="s">
        <v>77</v>
      </c>
    </row>
    <row r="2126" spans="1:19" x14ac:dyDescent="0.35">
      <c r="A2126">
        <v>25841</v>
      </c>
      <c r="B2126" t="str">
        <f>"025841"</f>
        <v>025841</v>
      </c>
      <c r="C2126" t="s">
        <v>7137</v>
      </c>
      <c r="D2126" t="s">
        <v>3394</v>
      </c>
      <c r="E2126" t="s">
        <v>3395</v>
      </c>
      <c r="F2126" t="s">
        <v>3396</v>
      </c>
      <c r="G2126" t="s">
        <v>318</v>
      </c>
      <c r="H2126" t="s">
        <v>7138</v>
      </c>
      <c r="I2126" t="s">
        <v>7139</v>
      </c>
      <c r="J2126" t="s">
        <v>321</v>
      </c>
      <c r="K2126" t="s">
        <v>55</v>
      </c>
      <c r="L2126" t="s">
        <v>322</v>
      </c>
      <c r="M2126" t="s">
        <v>57</v>
      </c>
      <c r="N2126" t="str">
        <f>"043745"</f>
        <v>043745</v>
      </c>
      <c r="O2126" t="s">
        <v>2515</v>
      </c>
      <c r="P2126" t="s">
        <v>68</v>
      </c>
      <c r="Q2126">
        <v>100</v>
      </c>
      <c r="R2126">
        <v>28.5</v>
      </c>
      <c r="S2126" t="s">
        <v>130</v>
      </c>
    </row>
    <row r="2127" spans="1:19" x14ac:dyDescent="0.35">
      <c r="A2127">
        <v>25866</v>
      </c>
      <c r="B2127" t="str">
        <f>"025866"</f>
        <v>025866</v>
      </c>
      <c r="C2127" t="s">
        <v>7140</v>
      </c>
      <c r="D2127" t="s">
        <v>3398</v>
      </c>
      <c r="E2127" t="s">
        <v>3395</v>
      </c>
      <c r="F2127" t="s">
        <v>3396</v>
      </c>
      <c r="G2127" t="s">
        <v>19</v>
      </c>
      <c r="H2127" t="s">
        <v>7141</v>
      </c>
      <c r="I2127" t="s">
        <v>7142</v>
      </c>
      <c r="J2127" t="s">
        <v>563</v>
      </c>
      <c r="K2127" t="s">
        <v>55</v>
      </c>
      <c r="L2127" t="s">
        <v>564</v>
      </c>
      <c r="M2127" t="s">
        <v>57</v>
      </c>
      <c r="N2127" t="str">
        <f>"046060"</f>
        <v>046060</v>
      </c>
      <c r="O2127" t="s">
        <v>560</v>
      </c>
      <c r="P2127" t="s">
        <v>68</v>
      </c>
      <c r="Q2127">
        <v>49.3</v>
      </c>
      <c r="R2127">
        <v>4</v>
      </c>
      <c r="S2127" t="s">
        <v>217</v>
      </c>
    </row>
    <row r="2128" spans="1:19" x14ac:dyDescent="0.35">
      <c r="A2128">
        <v>25874</v>
      </c>
      <c r="B2128" t="str">
        <f>"025874"</f>
        <v>025874</v>
      </c>
      <c r="C2128" t="s">
        <v>7143</v>
      </c>
      <c r="D2128" t="s">
        <v>3398</v>
      </c>
      <c r="E2128" t="s">
        <v>3395</v>
      </c>
      <c r="F2128" t="s">
        <v>3396</v>
      </c>
      <c r="G2128" t="s">
        <v>63</v>
      </c>
      <c r="H2128" t="s">
        <v>7144</v>
      </c>
      <c r="I2128" t="s">
        <v>7145</v>
      </c>
      <c r="J2128" t="s">
        <v>285</v>
      </c>
      <c r="K2128" t="s">
        <v>55</v>
      </c>
      <c r="L2128" t="s">
        <v>5375</v>
      </c>
      <c r="M2128" t="s">
        <v>57</v>
      </c>
      <c r="N2128" t="str">
        <f>"043786"</f>
        <v>043786</v>
      </c>
      <c r="O2128" t="s">
        <v>1340</v>
      </c>
      <c r="P2128" t="s">
        <v>68</v>
      </c>
      <c r="Q2128">
        <v>100</v>
      </c>
      <c r="R2128">
        <v>83.5</v>
      </c>
      <c r="S2128" t="s">
        <v>69</v>
      </c>
    </row>
    <row r="2129" spans="1:19" x14ac:dyDescent="0.35">
      <c r="A2129">
        <v>25932</v>
      </c>
      <c r="B2129" t="str">
        <f>"025932"</f>
        <v>025932</v>
      </c>
      <c r="C2129" t="s">
        <v>7146</v>
      </c>
      <c r="D2129" t="s">
        <v>3398</v>
      </c>
      <c r="E2129" t="s">
        <v>3395</v>
      </c>
      <c r="F2129" t="s">
        <v>3396</v>
      </c>
      <c r="G2129" t="s">
        <v>901</v>
      </c>
      <c r="H2129" t="s">
        <v>7147</v>
      </c>
      <c r="I2129" t="s">
        <v>7148</v>
      </c>
      <c r="J2129" t="s">
        <v>904</v>
      </c>
      <c r="K2129" t="s">
        <v>55</v>
      </c>
      <c r="L2129" t="s">
        <v>905</v>
      </c>
      <c r="M2129" t="s">
        <v>57</v>
      </c>
      <c r="N2129" t="str">
        <f>"044420"</f>
        <v>044420</v>
      </c>
      <c r="O2129" t="s">
        <v>2345</v>
      </c>
      <c r="P2129" t="s">
        <v>68</v>
      </c>
      <c r="Q2129">
        <v>33.700000000000003</v>
      </c>
      <c r="R2129">
        <v>11.799999999999997</v>
      </c>
      <c r="S2129" t="s">
        <v>60</v>
      </c>
    </row>
    <row r="2130" spans="1:19" x14ac:dyDescent="0.35">
      <c r="A2130">
        <v>25940</v>
      </c>
      <c r="B2130" t="str">
        <f>"025940"</f>
        <v>025940</v>
      </c>
      <c r="C2130" t="s">
        <v>7149</v>
      </c>
      <c r="D2130" t="s">
        <v>3394</v>
      </c>
      <c r="E2130" t="s">
        <v>3395</v>
      </c>
      <c r="F2130" t="s">
        <v>3396</v>
      </c>
      <c r="G2130" t="s">
        <v>212</v>
      </c>
      <c r="H2130" t="s">
        <v>7150</v>
      </c>
      <c r="I2130" t="s">
        <v>7151</v>
      </c>
      <c r="J2130" t="s">
        <v>215</v>
      </c>
      <c r="K2130" t="s">
        <v>55</v>
      </c>
      <c r="L2130" t="s">
        <v>6589</v>
      </c>
      <c r="M2130" t="s">
        <v>57</v>
      </c>
      <c r="N2130" t="str">
        <f>"043752"</f>
        <v>043752</v>
      </c>
      <c r="O2130" t="s">
        <v>440</v>
      </c>
      <c r="P2130" t="s">
        <v>68</v>
      </c>
      <c r="Q2130">
        <v>100</v>
      </c>
      <c r="R2130">
        <v>60.2</v>
      </c>
      <c r="S2130" t="s">
        <v>217</v>
      </c>
    </row>
    <row r="2131" spans="1:19" x14ac:dyDescent="0.35">
      <c r="A2131">
        <v>25965</v>
      </c>
      <c r="B2131" t="str">
        <f>"025965"</f>
        <v>025965</v>
      </c>
      <c r="C2131" t="s">
        <v>7152</v>
      </c>
      <c r="D2131" t="s">
        <v>3394</v>
      </c>
      <c r="E2131" t="s">
        <v>3395</v>
      </c>
      <c r="F2131" t="s">
        <v>3396</v>
      </c>
      <c r="G2131" t="s">
        <v>264</v>
      </c>
      <c r="H2131" t="s">
        <v>7153</v>
      </c>
      <c r="I2131" t="s">
        <v>7154</v>
      </c>
      <c r="J2131" t="s">
        <v>2003</v>
      </c>
      <c r="K2131" t="s">
        <v>55</v>
      </c>
      <c r="L2131" t="s">
        <v>2004</v>
      </c>
      <c r="M2131" t="s">
        <v>57</v>
      </c>
      <c r="N2131" t="str">
        <f>"044883"</f>
        <v>044883</v>
      </c>
      <c r="O2131" t="s">
        <v>2000</v>
      </c>
      <c r="P2131" t="s">
        <v>68</v>
      </c>
      <c r="Q2131">
        <v>33.4</v>
      </c>
      <c r="R2131">
        <v>24.5</v>
      </c>
      <c r="S2131" t="s">
        <v>77</v>
      </c>
    </row>
    <row r="2132" spans="1:19" x14ac:dyDescent="0.35">
      <c r="A2132">
        <v>25973</v>
      </c>
      <c r="B2132" t="str">
        <f>"025973"</f>
        <v>025973</v>
      </c>
      <c r="C2132" t="s">
        <v>7155</v>
      </c>
      <c r="D2132" t="s">
        <v>3394</v>
      </c>
      <c r="E2132" t="s">
        <v>3395</v>
      </c>
      <c r="F2132" t="s">
        <v>3396</v>
      </c>
      <c r="G2132" t="s">
        <v>674</v>
      </c>
      <c r="H2132" t="s">
        <v>7156</v>
      </c>
      <c r="I2132" t="s">
        <v>7157</v>
      </c>
      <c r="J2132" t="s">
        <v>927</v>
      </c>
      <c r="K2132" t="s">
        <v>55</v>
      </c>
      <c r="L2132" t="s">
        <v>928</v>
      </c>
      <c r="M2132" t="s">
        <v>57</v>
      </c>
      <c r="N2132" t="str">
        <f>"045179"</f>
        <v>045179</v>
      </c>
      <c r="O2132" t="s">
        <v>2380</v>
      </c>
      <c r="P2132" t="s">
        <v>68</v>
      </c>
      <c r="Q2132">
        <v>99.8</v>
      </c>
      <c r="R2132">
        <v>36</v>
      </c>
      <c r="S2132" t="s">
        <v>130</v>
      </c>
    </row>
    <row r="2133" spans="1:19" x14ac:dyDescent="0.35">
      <c r="A2133">
        <v>25981</v>
      </c>
      <c r="B2133" t="str">
        <f>"025981"</f>
        <v>025981</v>
      </c>
      <c r="C2133" t="s">
        <v>7158</v>
      </c>
      <c r="D2133" t="s">
        <v>3394</v>
      </c>
      <c r="E2133" t="s">
        <v>3395</v>
      </c>
      <c r="F2133" t="s">
        <v>3396</v>
      </c>
      <c r="G2133" t="s">
        <v>511</v>
      </c>
      <c r="H2133" t="s">
        <v>7159</v>
      </c>
      <c r="I2133" t="s">
        <v>7160</v>
      </c>
      <c r="J2133" t="s">
        <v>1293</v>
      </c>
      <c r="K2133" t="s">
        <v>55</v>
      </c>
      <c r="L2133" t="s">
        <v>1294</v>
      </c>
      <c r="M2133" t="s">
        <v>57</v>
      </c>
      <c r="N2133" t="str">
        <f>"047183"</f>
        <v>047183</v>
      </c>
      <c r="O2133" t="s">
        <v>1290</v>
      </c>
      <c r="P2133" t="s">
        <v>68</v>
      </c>
      <c r="Q2133">
        <v>21.2</v>
      </c>
      <c r="R2133">
        <v>13.400000000000006</v>
      </c>
      <c r="S2133" t="s">
        <v>69</v>
      </c>
    </row>
    <row r="2134" spans="1:19" x14ac:dyDescent="0.35">
      <c r="A2134">
        <v>25999</v>
      </c>
      <c r="B2134" t="str">
        <f>"025999"</f>
        <v>025999</v>
      </c>
      <c r="C2134" t="s">
        <v>7161</v>
      </c>
      <c r="D2134" t="s">
        <v>3394</v>
      </c>
      <c r="E2134" t="s">
        <v>3395</v>
      </c>
      <c r="F2134" t="s">
        <v>3396</v>
      </c>
      <c r="G2134" t="s">
        <v>63</v>
      </c>
      <c r="H2134" t="s">
        <v>7162</v>
      </c>
      <c r="I2134" t="s">
        <v>7163</v>
      </c>
      <c r="J2134" t="s">
        <v>1834</v>
      </c>
      <c r="K2134" t="s">
        <v>55</v>
      </c>
      <c r="L2134" t="s">
        <v>7164</v>
      </c>
      <c r="M2134" t="s">
        <v>57</v>
      </c>
      <c r="N2134" t="str">
        <f>"044842"</f>
        <v>044842</v>
      </c>
      <c r="O2134" t="s">
        <v>1831</v>
      </c>
      <c r="P2134" t="s">
        <v>68</v>
      </c>
      <c r="Q2134">
        <v>19.8</v>
      </c>
      <c r="R2134">
        <v>24.599999999999994</v>
      </c>
      <c r="S2134" t="s">
        <v>69</v>
      </c>
    </row>
    <row r="2135" spans="1:19" x14ac:dyDescent="0.35">
      <c r="A2135">
        <v>26054</v>
      </c>
      <c r="B2135" t="str">
        <f>"026054"</f>
        <v>026054</v>
      </c>
      <c r="C2135" t="s">
        <v>7165</v>
      </c>
      <c r="D2135" t="s">
        <v>3394</v>
      </c>
      <c r="E2135" t="s">
        <v>3395</v>
      </c>
      <c r="F2135" t="s">
        <v>3396</v>
      </c>
      <c r="G2135" t="s">
        <v>212</v>
      </c>
      <c r="H2135" t="s">
        <v>7166</v>
      </c>
      <c r="I2135" t="s">
        <v>7167</v>
      </c>
      <c r="J2135" t="s">
        <v>215</v>
      </c>
      <c r="K2135" t="s">
        <v>55</v>
      </c>
      <c r="L2135" t="s">
        <v>7168</v>
      </c>
      <c r="M2135" t="s">
        <v>57</v>
      </c>
      <c r="N2135" t="str">
        <f>"043752"</f>
        <v>043752</v>
      </c>
      <c r="O2135" t="s">
        <v>440</v>
      </c>
      <c r="P2135" t="s">
        <v>68</v>
      </c>
      <c r="Q2135">
        <v>99.8</v>
      </c>
      <c r="R2135">
        <v>81.2</v>
      </c>
      <c r="S2135" t="s">
        <v>217</v>
      </c>
    </row>
    <row r="2136" spans="1:19" x14ac:dyDescent="0.35">
      <c r="A2136">
        <v>26070</v>
      </c>
      <c r="B2136" t="str">
        <f>"026070"</f>
        <v>026070</v>
      </c>
      <c r="C2136" t="s">
        <v>7169</v>
      </c>
      <c r="D2136" t="s">
        <v>3398</v>
      </c>
      <c r="E2136" t="s">
        <v>3395</v>
      </c>
      <c r="F2136" t="s">
        <v>3396</v>
      </c>
      <c r="G2136" t="s">
        <v>226</v>
      </c>
      <c r="H2136" t="s">
        <v>7170</v>
      </c>
      <c r="I2136" t="s">
        <v>7171</v>
      </c>
      <c r="J2136" t="s">
        <v>2113</v>
      </c>
      <c r="K2136" t="s">
        <v>55</v>
      </c>
      <c r="L2136" t="s">
        <v>2114</v>
      </c>
      <c r="M2136" t="s">
        <v>57</v>
      </c>
      <c r="N2136" t="str">
        <f>"050708"</f>
        <v>050708</v>
      </c>
      <c r="O2136" t="s">
        <v>2110</v>
      </c>
      <c r="P2136" t="s">
        <v>68</v>
      </c>
      <c r="Q2136">
        <v>44.6</v>
      </c>
      <c r="R2136">
        <v>13.200000000000003</v>
      </c>
      <c r="S2136" t="s">
        <v>156</v>
      </c>
    </row>
    <row r="2137" spans="1:19" x14ac:dyDescent="0.35">
      <c r="A2137">
        <v>26104</v>
      </c>
      <c r="B2137" t="str">
        <f>"026104"</f>
        <v>026104</v>
      </c>
      <c r="C2137" t="s">
        <v>7172</v>
      </c>
      <c r="D2137" t="s">
        <v>3400</v>
      </c>
      <c r="E2137" t="s">
        <v>3395</v>
      </c>
      <c r="F2137" t="s">
        <v>3396</v>
      </c>
      <c r="G2137" t="s">
        <v>117</v>
      </c>
      <c r="H2137" t="s">
        <v>7173</v>
      </c>
      <c r="I2137" t="s">
        <v>7174</v>
      </c>
      <c r="J2137" t="s">
        <v>3199</v>
      </c>
      <c r="K2137" t="s">
        <v>55</v>
      </c>
      <c r="L2137" t="s">
        <v>3200</v>
      </c>
      <c r="M2137" t="s">
        <v>57</v>
      </c>
      <c r="N2137" t="str">
        <f>"044503"</f>
        <v>044503</v>
      </c>
      <c r="O2137" t="s">
        <v>3196</v>
      </c>
      <c r="P2137" t="s">
        <v>68</v>
      </c>
      <c r="Q2137">
        <v>23.3</v>
      </c>
      <c r="R2137">
        <v>14</v>
      </c>
      <c r="S2137" t="s">
        <v>77</v>
      </c>
    </row>
    <row r="2138" spans="1:19" x14ac:dyDescent="0.35">
      <c r="A2138">
        <v>26112</v>
      </c>
      <c r="B2138" t="str">
        <f>"026112"</f>
        <v>026112</v>
      </c>
      <c r="C2138" t="s">
        <v>7175</v>
      </c>
      <c r="D2138" t="s">
        <v>3398</v>
      </c>
      <c r="E2138" t="s">
        <v>3395</v>
      </c>
      <c r="F2138" t="s">
        <v>3396</v>
      </c>
      <c r="G2138" t="s">
        <v>1118</v>
      </c>
      <c r="H2138" t="s">
        <v>2410</v>
      </c>
      <c r="I2138" t="s">
        <v>2411</v>
      </c>
      <c r="J2138" t="s">
        <v>2412</v>
      </c>
      <c r="K2138" t="s">
        <v>55</v>
      </c>
      <c r="L2138" t="s">
        <v>2413</v>
      </c>
      <c r="M2138" t="s">
        <v>57</v>
      </c>
      <c r="N2138" t="str">
        <f>"050641"</f>
        <v>050641</v>
      </c>
      <c r="O2138" t="s">
        <v>2409</v>
      </c>
      <c r="P2138" t="s">
        <v>68</v>
      </c>
      <c r="Q2138">
        <v>21.1</v>
      </c>
      <c r="R2138">
        <v>10.700000000000003</v>
      </c>
      <c r="S2138" t="s">
        <v>156</v>
      </c>
    </row>
    <row r="2139" spans="1:19" x14ac:dyDescent="0.35">
      <c r="A2139">
        <v>26120</v>
      </c>
      <c r="B2139" t="str">
        <f>"026120"</f>
        <v>026120</v>
      </c>
      <c r="C2139" t="s">
        <v>7176</v>
      </c>
      <c r="D2139" t="s">
        <v>3398</v>
      </c>
      <c r="E2139" t="s">
        <v>3395</v>
      </c>
      <c r="F2139" t="s">
        <v>3396</v>
      </c>
      <c r="G2139" t="s">
        <v>212</v>
      </c>
      <c r="H2139" t="s">
        <v>7177</v>
      </c>
      <c r="I2139" t="s">
        <v>7178</v>
      </c>
      <c r="J2139" t="s">
        <v>215</v>
      </c>
      <c r="K2139" t="s">
        <v>55</v>
      </c>
      <c r="L2139" t="s">
        <v>614</v>
      </c>
      <c r="M2139" t="s">
        <v>57</v>
      </c>
      <c r="N2139" t="str">
        <f>"044511"</f>
        <v>044511</v>
      </c>
      <c r="O2139" t="s">
        <v>1163</v>
      </c>
      <c r="P2139" t="s">
        <v>68</v>
      </c>
      <c r="Q2139">
        <v>100</v>
      </c>
      <c r="R2139">
        <v>93.7</v>
      </c>
      <c r="S2139" t="s">
        <v>217</v>
      </c>
    </row>
    <row r="2140" spans="1:19" x14ac:dyDescent="0.35">
      <c r="A2140">
        <v>26211</v>
      </c>
      <c r="B2140" t="str">
        <f>"026211"</f>
        <v>026211</v>
      </c>
      <c r="C2140" t="s">
        <v>7179</v>
      </c>
      <c r="D2140" t="s">
        <v>3394</v>
      </c>
      <c r="E2140" t="s">
        <v>3395</v>
      </c>
      <c r="F2140" t="s">
        <v>3396</v>
      </c>
      <c r="G2140" t="s">
        <v>383</v>
      </c>
      <c r="H2140" t="s">
        <v>5599</v>
      </c>
      <c r="I2140" t="s">
        <v>5600</v>
      </c>
      <c r="J2140" t="s">
        <v>1069</v>
      </c>
      <c r="K2140" t="s">
        <v>55</v>
      </c>
      <c r="L2140" t="s">
        <v>1070</v>
      </c>
      <c r="M2140" t="s">
        <v>57</v>
      </c>
      <c r="N2140" t="str">
        <f>"048363"</f>
        <v>048363</v>
      </c>
      <c r="O2140" t="s">
        <v>1066</v>
      </c>
      <c r="P2140" t="s">
        <v>68</v>
      </c>
      <c r="Q2140">
        <v>17.600000000000001</v>
      </c>
      <c r="R2140">
        <v>2.5999999999999943</v>
      </c>
      <c r="S2140" t="s">
        <v>77</v>
      </c>
    </row>
    <row r="2141" spans="1:19" x14ac:dyDescent="0.35">
      <c r="A2141">
        <v>26229</v>
      </c>
      <c r="B2141" t="str">
        <f>"026229"</f>
        <v>026229</v>
      </c>
      <c r="C2141" t="s">
        <v>7180</v>
      </c>
      <c r="D2141" t="s">
        <v>3398</v>
      </c>
      <c r="E2141" t="s">
        <v>3395</v>
      </c>
      <c r="F2141" t="s">
        <v>3396</v>
      </c>
      <c r="G2141" t="s">
        <v>383</v>
      </c>
      <c r="H2141" t="s">
        <v>5599</v>
      </c>
      <c r="I2141" t="s">
        <v>5600</v>
      </c>
      <c r="J2141" t="s">
        <v>1069</v>
      </c>
      <c r="K2141" t="s">
        <v>55</v>
      </c>
      <c r="L2141" t="s">
        <v>1070</v>
      </c>
      <c r="M2141" t="s">
        <v>57</v>
      </c>
      <c r="N2141" t="str">
        <f>"048363"</f>
        <v>048363</v>
      </c>
      <c r="O2141" t="s">
        <v>1066</v>
      </c>
      <c r="P2141" t="s">
        <v>68</v>
      </c>
      <c r="Q2141">
        <v>16.7</v>
      </c>
      <c r="R2141">
        <v>4.9000000000000057</v>
      </c>
      <c r="S2141" t="s">
        <v>77</v>
      </c>
    </row>
    <row r="2142" spans="1:19" x14ac:dyDescent="0.35">
      <c r="A2142">
        <v>26245</v>
      </c>
      <c r="B2142" t="str">
        <f>"026245"</f>
        <v>026245</v>
      </c>
      <c r="C2142" t="s">
        <v>7181</v>
      </c>
      <c r="D2142" t="s">
        <v>3394</v>
      </c>
      <c r="E2142" t="s">
        <v>3395</v>
      </c>
      <c r="F2142" t="s">
        <v>3396</v>
      </c>
      <c r="G2142" t="s">
        <v>600</v>
      </c>
      <c r="H2142" t="s">
        <v>7182</v>
      </c>
      <c r="I2142" t="s">
        <v>7183</v>
      </c>
      <c r="J2142" t="s">
        <v>1348</v>
      </c>
      <c r="K2142" t="s">
        <v>55</v>
      </c>
      <c r="L2142" t="s">
        <v>3736</v>
      </c>
      <c r="M2142" t="s">
        <v>57</v>
      </c>
      <c r="N2142" t="str">
        <f>"043802"</f>
        <v>043802</v>
      </c>
      <c r="O2142" t="s">
        <v>3171</v>
      </c>
      <c r="P2142" t="s">
        <v>68</v>
      </c>
      <c r="Q2142">
        <v>100</v>
      </c>
      <c r="R2142">
        <v>90.5</v>
      </c>
      <c r="S2142" t="s">
        <v>60</v>
      </c>
    </row>
    <row r="2143" spans="1:19" x14ac:dyDescent="0.35">
      <c r="A2143">
        <v>26252</v>
      </c>
      <c r="B2143" t="str">
        <f>"026252"</f>
        <v>026252</v>
      </c>
      <c r="C2143" t="s">
        <v>7184</v>
      </c>
      <c r="D2143" t="s">
        <v>3394</v>
      </c>
      <c r="E2143" t="s">
        <v>3395</v>
      </c>
      <c r="F2143" t="s">
        <v>3396</v>
      </c>
      <c r="G2143" t="s">
        <v>481</v>
      </c>
      <c r="H2143" t="s">
        <v>7185</v>
      </c>
      <c r="I2143" t="s">
        <v>7186</v>
      </c>
      <c r="J2143" t="s">
        <v>657</v>
      </c>
      <c r="K2143" t="s">
        <v>55</v>
      </c>
      <c r="L2143" t="s">
        <v>658</v>
      </c>
      <c r="M2143" t="s">
        <v>57</v>
      </c>
      <c r="N2143" t="str">
        <f>"047886"</f>
        <v>047886</v>
      </c>
      <c r="O2143" t="s">
        <v>654</v>
      </c>
      <c r="P2143" t="s">
        <v>68</v>
      </c>
      <c r="Q2143">
        <v>46.9</v>
      </c>
      <c r="R2143">
        <v>16.400000000000006</v>
      </c>
      <c r="S2143" t="s">
        <v>69</v>
      </c>
    </row>
    <row r="2144" spans="1:19" x14ac:dyDescent="0.35">
      <c r="A2144">
        <v>26286</v>
      </c>
      <c r="B2144" t="str">
        <f>"026286"</f>
        <v>026286</v>
      </c>
      <c r="C2144" t="s">
        <v>7187</v>
      </c>
      <c r="D2144" t="s">
        <v>3394</v>
      </c>
      <c r="E2144" t="s">
        <v>3395</v>
      </c>
      <c r="F2144" t="s">
        <v>3396</v>
      </c>
      <c r="G2144" t="s">
        <v>117</v>
      </c>
      <c r="H2144" t="s">
        <v>7188</v>
      </c>
      <c r="I2144" t="s">
        <v>7189</v>
      </c>
      <c r="J2144" t="s">
        <v>3145</v>
      </c>
      <c r="K2144" t="s">
        <v>55</v>
      </c>
      <c r="L2144" t="s">
        <v>3146</v>
      </c>
      <c r="M2144" t="s">
        <v>57</v>
      </c>
      <c r="N2144" t="str">
        <f>"049874"</f>
        <v>049874</v>
      </c>
      <c r="O2144" t="s">
        <v>3142</v>
      </c>
      <c r="P2144" t="s">
        <v>68</v>
      </c>
      <c r="Q2144">
        <v>30.9</v>
      </c>
      <c r="R2144">
        <v>7.0999999999999943</v>
      </c>
      <c r="S2144" t="s">
        <v>77</v>
      </c>
    </row>
    <row r="2145" spans="1:19" x14ac:dyDescent="0.35">
      <c r="A2145">
        <v>26302</v>
      </c>
      <c r="B2145" t="str">
        <f>"026302"</f>
        <v>026302</v>
      </c>
      <c r="C2145" t="s">
        <v>7190</v>
      </c>
      <c r="D2145" t="s">
        <v>3398</v>
      </c>
      <c r="E2145" t="s">
        <v>3395</v>
      </c>
      <c r="F2145" t="s">
        <v>3396</v>
      </c>
      <c r="G2145" t="s">
        <v>63</v>
      </c>
      <c r="H2145" t="s">
        <v>7191</v>
      </c>
      <c r="I2145" t="s">
        <v>7192</v>
      </c>
      <c r="J2145" t="s">
        <v>2775</v>
      </c>
      <c r="K2145" t="s">
        <v>55</v>
      </c>
      <c r="L2145" t="s">
        <v>2776</v>
      </c>
      <c r="M2145" t="s">
        <v>57</v>
      </c>
      <c r="N2145" t="str">
        <f>"044529"</f>
        <v>044529</v>
      </c>
      <c r="O2145" t="s">
        <v>2772</v>
      </c>
      <c r="P2145" t="s">
        <v>68</v>
      </c>
      <c r="Q2145">
        <v>40.4</v>
      </c>
      <c r="R2145">
        <v>19.599999999999994</v>
      </c>
      <c r="S2145" t="s">
        <v>69</v>
      </c>
    </row>
    <row r="2146" spans="1:19" x14ac:dyDescent="0.35">
      <c r="A2146">
        <v>26310</v>
      </c>
      <c r="B2146" t="str">
        <f>"026310"</f>
        <v>026310</v>
      </c>
      <c r="C2146" t="s">
        <v>7193</v>
      </c>
      <c r="D2146" t="s">
        <v>3400</v>
      </c>
      <c r="E2146" t="s">
        <v>3395</v>
      </c>
      <c r="F2146" t="s">
        <v>3396</v>
      </c>
      <c r="G2146" t="s">
        <v>63</v>
      </c>
      <c r="H2146" t="s">
        <v>7194</v>
      </c>
      <c r="I2146" t="s">
        <v>7195</v>
      </c>
      <c r="J2146" t="s">
        <v>2775</v>
      </c>
      <c r="K2146" t="s">
        <v>55</v>
      </c>
      <c r="L2146" t="s">
        <v>2776</v>
      </c>
      <c r="M2146" t="s">
        <v>57</v>
      </c>
      <c r="N2146" t="str">
        <f>"044529"</f>
        <v>044529</v>
      </c>
      <c r="O2146" t="s">
        <v>2772</v>
      </c>
      <c r="P2146" t="s">
        <v>68</v>
      </c>
      <c r="Q2146">
        <v>45.3</v>
      </c>
      <c r="R2146">
        <v>20.099999999999994</v>
      </c>
      <c r="S2146" t="s">
        <v>69</v>
      </c>
    </row>
    <row r="2147" spans="1:19" x14ac:dyDescent="0.35">
      <c r="A2147">
        <v>26336</v>
      </c>
      <c r="B2147" t="str">
        <f>"026336"</f>
        <v>026336</v>
      </c>
      <c r="C2147" t="s">
        <v>7196</v>
      </c>
      <c r="D2147" t="s">
        <v>3398</v>
      </c>
      <c r="E2147" t="s">
        <v>3395</v>
      </c>
      <c r="F2147" t="s">
        <v>3396</v>
      </c>
      <c r="G2147" t="s">
        <v>143</v>
      </c>
      <c r="H2147" t="s">
        <v>7197</v>
      </c>
      <c r="I2147" t="s">
        <v>7198</v>
      </c>
      <c r="J2147" t="s">
        <v>2617</v>
      </c>
      <c r="K2147" t="s">
        <v>55</v>
      </c>
      <c r="L2147" t="s">
        <v>2618</v>
      </c>
      <c r="M2147" t="s">
        <v>57</v>
      </c>
      <c r="N2147" t="str">
        <f>"044537"</f>
        <v>044537</v>
      </c>
      <c r="O2147" t="s">
        <v>2614</v>
      </c>
      <c r="P2147" t="s">
        <v>68</v>
      </c>
      <c r="Q2147">
        <v>18</v>
      </c>
      <c r="R2147">
        <v>14.200000000000003</v>
      </c>
      <c r="S2147" t="s">
        <v>69</v>
      </c>
    </row>
    <row r="2148" spans="1:19" x14ac:dyDescent="0.35">
      <c r="A2148">
        <v>26344</v>
      </c>
      <c r="B2148" t="str">
        <f>"026344"</f>
        <v>026344</v>
      </c>
      <c r="C2148" t="s">
        <v>7199</v>
      </c>
      <c r="D2148" t="s">
        <v>3400</v>
      </c>
      <c r="E2148" t="s">
        <v>3395</v>
      </c>
      <c r="F2148" t="s">
        <v>3396</v>
      </c>
      <c r="G2148" t="s">
        <v>143</v>
      </c>
      <c r="H2148" t="s">
        <v>2615</v>
      </c>
      <c r="I2148" t="s">
        <v>2616</v>
      </c>
      <c r="J2148" t="s">
        <v>2617</v>
      </c>
      <c r="K2148" t="s">
        <v>55</v>
      </c>
      <c r="L2148" t="s">
        <v>2618</v>
      </c>
      <c r="M2148" t="s">
        <v>57</v>
      </c>
      <c r="N2148" t="str">
        <f>"044537"</f>
        <v>044537</v>
      </c>
      <c r="O2148" t="s">
        <v>2614</v>
      </c>
      <c r="P2148" t="s">
        <v>68</v>
      </c>
      <c r="Q2148">
        <v>23.9</v>
      </c>
      <c r="R2148">
        <v>15.200000000000003</v>
      </c>
      <c r="S2148" t="s">
        <v>69</v>
      </c>
    </row>
    <row r="2149" spans="1:19" x14ac:dyDescent="0.35">
      <c r="A2149">
        <v>26351</v>
      </c>
      <c r="B2149" t="str">
        <f>"026351"</f>
        <v>026351</v>
      </c>
      <c r="C2149" t="s">
        <v>7200</v>
      </c>
      <c r="D2149" t="s">
        <v>3400</v>
      </c>
      <c r="E2149" t="s">
        <v>3395</v>
      </c>
      <c r="F2149" t="s">
        <v>3396</v>
      </c>
      <c r="G2149" t="s">
        <v>331</v>
      </c>
      <c r="H2149" t="s">
        <v>4494</v>
      </c>
      <c r="I2149" t="s">
        <v>4495</v>
      </c>
      <c r="J2149" t="s">
        <v>334</v>
      </c>
      <c r="K2149" t="s">
        <v>55</v>
      </c>
      <c r="L2149" t="s">
        <v>335</v>
      </c>
      <c r="M2149" t="s">
        <v>57</v>
      </c>
      <c r="N2149" t="str">
        <f>"046516"</f>
        <v>046516</v>
      </c>
      <c r="O2149" t="s">
        <v>566</v>
      </c>
      <c r="P2149" t="s">
        <v>68</v>
      </c>
      <c r="Q2149">
        <v>28.9</v>
      </c>
      <c r="R2149">
        <v>5.2000000000000028</v>
      </c>
      <c r="S2149" t="s">
        <v>156</v>
      </c>
    </row>
    <row r="2150" spans="1:19" x14ac:dyDescent="0.35">
      <c r="A2150">
        <v>26385</v>
      </c>
      <c r="B2150" t="str">
        <f>"026385"</f>
        <v>026385</v>
      </c>
      <c r="C2150" t="s">
        <v>7201</v>
      </c>
      <c r="D2150" t="s">
        <v>3400</v>
      </c>
      <c r="E2150" t="s">
        <v>3395</v>
      </c>
      <c r="F2150" t="s">
        <v>3396</v>
      </c>
      <c r="G2150" t="s">
        <v>1948</v>
      </c>
      <c r="H2150" t="s">
        <v>7202</v>
      </c>
      <c r="I2150" t="s">
        <v>7203</v>
      </c>
      <c r="J2150" t="s">
        <v>2864</v>
      </c>
      <c r="K2150" t="s">
        <v>55</v>
      </c>
      <c r="L2150" t="s">
        <v>2865</v>
      </c>
      <c r="M2150" t="s">
        <v>57</v>
      </c>
      <c r="N2150" t="str">
        <f>"050336"</f>
        <v>050336</v>
      </c>
      <c r="O2150" t="s">
        <v>2861</v>
      </c>
      <c r="P2150" t="s">
        <v>68</v>
      </c>
      <c r="Q2150">
        <v>34.299999999999997</v>
      </c>
      <c r="R2150">
        <v>3.2999999999999972</v>
      </c>
      <c r="S2150" t="s">
        <v>60</v>
      </c>
    </row>
    <row r="2151" spans="1:19" x14ac:dyDescent="0.35">
      <c r="A2151">
        <v>26393</v>
      </c>
      <c r="B2151" t="str">
        <f>"026393"</f>
        <v>026393</v>
      </c>
      <c r="C2151" t="s">
        <v>7204</v>
      </c>
      <c r="D2151" t="s">
        <v>3398</v>
      </c>
      <c r="E2151" t="s">
        <v>3395</v>
      </c>
      <c r="F2151" t="s">
        <v>3396</v>
      </c>
      <c r="G2151" t="s">
        <v>1948</v>
      </c>
      <c r="H2151" t="s">
        <v>7205</v>
      </c>
      <c r="I2151" t="s">
        <v>7206</v>
      </c>
      <c r="J2151" t="s">
        <v>2864</v>
      </c>
      <c r="K2151" t="s">
        <v>55</v>
      </c>
      <c r="L2151" t="s">
        <v>2865</v>
      </c>
      <c r="M2151" t="s">
        <v>57</v>
      </c>
      <c r="N2151" t="str">
        <f>"050336"</f>
        <v>050336</v>
      </c>
      <c r="O2151" t="s">
        <v>2861</v>
      </c>
      <c r="P2151" t="s">
        <v>68</v>
      </c>
      <c r="Q2151">
        <v>30.9</v>
      </c>
      <c r="R2151">
        <v>1.9000000000000057</v>
      </c>
      <c r="S2151" t="s">
        <v>60</v>
      </c>
    </row>
    <row r="2152" spans="1:19" x14ac:dyDescent="0.35">
      <c r="A2152">
        <v>26419</v>
      </c>
      <c r="B2152" t="str">
        <f>"026419"</f>
        <v>026419</v>
      </c>
      <c r="C2152" t="s">
        <v>7207</v>
      </c>
      <c r="D2152" t="s">
        <v>3398</v>
      </c>
      <c r="E2152" t="s">
        <v>3395</v>
      </c>
      <c r="F2152" t="s">
        <v>3396</v>
      </c>
      <c r="G2152" t="s">
        <v>271</v>
      </c>
      <c r="H2152" t="s">
        <v>7208</v>
      </c>
      <c r="I2152" t="s">
        <v>7209</v>
      </c>
      <c r="J2152" t="s">
        <v>3293</v>
      </c>
      <c r="K2152" t="s">
        <v>55</v>
      </c>
      <c r="L2152" t="s">
        <v>3294</v>
      </c>
      <c r="M2152" t="s">
        <v>57</v>
      </c>
      <c r="N2152" t="str">
        <f>"044438"</f>
        <v>044438</v>
      </c>
      <c r="O2152" t="s">
        <v>3290</v>
      </c>
      <c r="P2152" t="s">
        <v>68</v>
      </c>
      <c r="Q2152">
        <v>28.7</v>
      </c>
      <c r="R2152">
        <v>15.799999999999997</v>
      </c>
      <c r="S2152" t="s">
        <v>156</v>
      </c>
    </row>
    <row r="2153" spans="1:19" x14ac:dyDescent="0.35">
      <c r="A2153">
        <v>26427</v>
      </c>
      <c r="B2153" t="str">
        <f>"026427"</f>
        <v>026427</v>
      </c>
      <c r="C2153" t="s">
        <v>7210</v>
      </c>
      <c r="D2153" t="s">
        <v>3394</v>
      </c>
      <c r="E2153" t="s">
        <v>3395</v>
      </c>
      <c r="F2153" t="s">
        <v>3396</v>
      </c>
      <c r="G2153" t="s">
        <v>674</v>
      </c>
      <c r="H2153" t="s">
        <v>7211</v>
      </c>
      <c r="I2153" t="s">
        <v>7212</v>
      </c>
      <c r="J2153" t="s">
        <v>7213</v>
      </c>
      <c r="K2153" t="s">
        <v>55</v>
      </c>
      <c r="L2153" t="s">
        <v>7214</v>
      </c>
      <c r="M2153" t="s">
        <v>57</v>
      </c>
      <c r="N2153" t="str">
        <f>"048876"</f>
        <v>048876</v>
      </c>
      <c r="O2153" t="s">
        <v>3162</v>
      </c>
      <c r="P2153" t="s">
        <v>68</v>
      </c>
      <c r="Q2153">
        <v>27.5</v>
      </c>
      <c r="R2153">
        <v>9</v>
      </c>
      <c r="S2153" t="s">
        <v>130</v>
      </c>
    </row>
    <row r="2154" spans="1:19" x14ac:dyDescent="0.35">
      <c r="A2154">
        <v>26435</v>
      </c>
      <c r="B2154" t="str">
        <f>"026435"</f>
        <v>026435</v>
      </c>
      <c r="C2154" t="s">
        <v>7215</v>
      </c>
      <c r="D2154" t="s">
        <v>3394</v>
      </c>
      <c r="E2154" t="s">
        <v>3395</v>
      </c>
      <c r="F2154" t="s">
        <v>3396</v>
      </c>
      <c r="G2154" t="s">
        <v>712</v>
      </c>
      <c r="H2154" t="s">
        <v>7216</v>
      </c>
      <c r="I2154" t="s">
        <v>7217</v>
      </c>
      <c r="J2154" t="s">
        <v>7218</v>
      </c>
      <c r="K2154" t="s">
        <v>55</v>
      </c>
      <c r="L2154" t="s">
        <v>7219</v>
      </c>
      <c r="M2154" t="s">
        <v>57</v>
      </c>
      <c r="N2154" t="str">
        <f>"047696"</f>
        <v>047696</v>
      </c>
      <c r="O2154" t="s">
        <v>711</v>
      </c>
      <c r="P2154" t="s">
        <v>68</v>
      </c>
      <c r="Q2154">
        <v>42.3</v>
      </c>
      <c r="R2154">
        <v>4.7999999999999972</v>
      </c>
      <c r="S2154" t="s">
        <v>77</v>
      </c>
    </row>
    <row r="2155" spans="1:19" x14ac:dyDescent="0.35">
      <c r="A2155">
        <v>26443</v>
      </c>
      <c r="B2155" t="str">
        <f>"026443"</f>
        <v>026443</v>
      </c>
      <c r="C2155" t="s">
        <v>7220</v>
      </c>
      <c r="D2155" t="s">
        <v>3394</v>
      </c>
      <c r="E2155" t="s">
        <v>3395</v>
      </c>
      <c r="F2155" t="s">
        <v>3396</v>
      </c>
      <c r="G2155" t="s">
        <v>63</v>
      </c>
      <c r="H2155" t="s">
        <v>7221</v>
      </c>
      <c r="I2155" t="s">
        <v>7222</v>
      </c>
      <c r="J2155" t="s">
        <v>285</v>
      </c>
      <c r="K2155" t="s">
        <v>55</v>
      </c>
      <c r="L2155" t="s">
        <v>4335</v>
      </c>
      <c r="M2155" t="s">
        <v>57</v>
      </c>
      <c r="N2155" t="str">
        <f>"043786"</f>
        <v>043786</v>
      </c>
      <c r="O2155" t="s">
        <v>1340</v>
      </c>
      <c r="P2155" t="s">
        <v>68</v>
      </c>
      <c r="Q2155">
        <v>100</v>
      </c>
      <c r="R2155">
        <v>100</v>
      </c>
      <c r="S2155" t="s">
        <v>69</v>
      </c>
    </row>
    <row r="2156" spans="1:19" x14ac:dyDescent="0.35">
      <c r="A2156">
        <v>26468</v>
      </c>
      <c r="B2156" t="str">
        <f>"026468"</f>
        <v>026468</v>
      </c>
      <c r="C2156" t="s">
        <v>7223</v>
      </c>
      <c r="D2156" t="s">
        <v>3398</v>
      </c>
      <c r="E2156" t="s">
        <v>3395</v>
      </c>
      <c r="F2156" t="s">
        <v>3396</v>
      </c>
      <c r="G2156" t="s">
        <v>362</v>
      </c>
      <c r="H2156" t="s">
        <v>2398</v>
      </c>
      <c r="I2156" t="s">
        <v>2399</v>
      </c>
      <c r="J2156" t="s">
        <v>2400</v>
      </c>
      <c r="K2156" t="s">
        <v>55</v>
      </c>
      <c r="L2156" t="s">
        <v>2401</v>
      </c>
      <c r="M2156" t="s">
        <v>57</v>
      </c>
      <c r="N2156" t="str">
        <f>"049270"</f>
        <v>049270</v>
      </c>
      <c r="O2156" t="s">
        <v>2397</v>
      </c>
      <c r="P2156" t="s">
        <v>68</v>
      </c>
      <c r="Q2156">
        <v>44.2</v>
      </c>
      <c r="R2156">
        <v>4.5</v>
      </c>
      <c r="S2156" t="s">
        <v>180</v>
      </c>
    </row>
    <row r="2157" spans="1:19" x14ac:dyDescent="0.35">
      <c r="A2157">
        <v>26484</v>
      </c>
      <c r="B2157" t="str">
        <f>"026484"</f>
        <v>026484</v>
      </c>
      <c r="C2157" t="s">
        <v>7224</v>
      </c>
      <c r="D2157" t="s">
        <v>3394</v>
      </c>
      <c r="E2157" t="s">
        <v>3395</v>
      </c>
      <c r="F2157" t="s">
        <v>3396</v>
      </c>
      <c r="G2157" t="s">
        <v>200</v>
      </c>
      <c r="H2157" t="s">
        <v>7225</v>
      </c>
      <c r="I2157" t="s">
        <v>7226</v>
      </c>
      <c r="J2157" t="s">
        <v>304</v>
      </c>
      <c r="K2157" t="s">
        <v>55</v>
      </c>
      <c r="L2157" t="s">
        <v>3858</v>
      </c>
      <c r="M2157" t="s">
        <v>57</v>
      </c>
      <c r="N2157" t="str">
        <f>"044909"</f>
        <v>044909</v>
      </c>
      <c r="O2157" t="s">
        <v>3318</v>
      </c>
      <c r="P2157" t="s">
        <v>68</v>
      </c>
      <c r="Q2157">
        <v>96</v>
      </c>
      <c r="R2157">
        <v>61.5</v>
      </c>
      <c r="S2157" t="s">
        <v>156</v>
      </c>
    </row>
    <row r="2158" spans="1:19" x14ac:dyDescent="0.35">
      <c r="A2158">
        <v>26500</v>
      </c>
      <c r="B2158" t="str">
        <f>"026500"</f>
        <v>026500</v>
      </c>
      <c r="C2158" t="s">
        <v>7227</v>
      </c>
      <c r="D2158" t="s">
        <v>3506</v>
      </c>
      <c r="E2158" t="s">
        <v>3395</v>
      </c>
      <c r="F2158" t="s">
        <v>3396</v>
      </c>
      <c r="G2158" t="s">
        <v>169</v>
      </c>
      <c r="H2158" t="s">
        <v>6736</v>
      </c>
      <c r="I2158" t="s">
        <v>6737</v>
      </c>
      <c r="J2158" t="s">
        <v>3653</v>
      </c>
      <c r="K2158" t="s">
        <v>55</v>
      </c>
      <c r="L2158" t="s">
        <v>3654</v>
      </c>
      <c r="M2158" t="s">
        <v>57</v>
      </c>
      <c r="N2158" t="str">
        <f>"050153"</f>
        <v>050153</v>
      </c>
      <c r="O2158" t="s">
        <v>1091</v>
      </c>
      <c r="P2158" t="s">
        <v>68</v>
      </c>
      <c r="Q2158">
        <v>43.4</v>
      </c>
      <c r="R2158">
        <v>4.9000000000000057</v>
      </c>
      <c r="S2158" t="s">
        <v>77</v>
      </c>
    </row>
    <row r="2159" spans="1:19" x14ac:dyDescent="0.35">
      <c r="A2159">
        <v>26542</v>
      </c>
      <c r="B2159" t="str">
        <f>"026542"</f>
        <v>026542</v>
      </c>
      <c r="C2159" t="s">
        <v>7228</v>
      </c>
      <c r="D2159" t="s">
        <v>3543</v>
      </c>
      <c r="E2159" t="s">
        <v>3395</v>
      </c>
      <c r="F2159" t="s">
        <v>3396</v>
      </c>
      <c r="G2159" t="s">
        <v>600</v>
      </c>
      <c r="H2159" t="s">
        <v>7229</v>
      </c>
      <c r="I2159" t="s">
        <v>7230</v>
      </c>
      <c r="J2159" t="s">
        <v>1348</v>
      </c>
      <c r="K2159" t="s">
        <v>55</v>
      </c>
      <c r="L2159" t="s">
        <v>4906</v>
      </c>
      <c r="M2159" t="s">
        <v>57</v>
      </c>
      <c r="N2159" t="str">
        <f>"043802"</f>
        <v>043802</v>
      </c>
      <c r="O2159" t="s">
        <v>3171</v>
      </c>
      <c r="P2159" t="s">
        <v>68</v>
      </c>
      <c r="Q2159">
        <v>100</v>
      </c>
      <c r="R2159">
        <v>70.599999999999994</v>
      </c>
      <c r="S2159" t="s">
        <v>60</v>
      </c>
    </row>
    <row r="2160" spans="1:19" x14ac:dyDescent="0.35">
      <c r="A2160">
        <v>26567</v>
      </c>
      <c r="B2160" t="str">
        <f>"026567"</f>
        <v>026567</v>
      </c>
      <c r="C2160" t="s">
        <v>7231</v>
      </c>
      <c r="D2160" t="s">
        <v>3398</v>
      </c>
      <c r="E2160" t="s">
        <v>3395</v>
      </c>
      <c r="F2160" t="s">
        <v>3396</v>
      </c>
      <c r="G2160" t="s">
        <v>493</v>
      </c>
      <c r="H2160" t="s">
        <v>7232</v>
      </c>
      <c r="I2160" t="s">
        <v>7233</v>
      </c>
      <c r="J2160" t="s">
        <v>496</v>
      </c>
      <c r="K2160" t="s">
        <v>55</v>
      </c>
      <c r="L2160" t="s">
        <v>497</v>
      </c>
      <c r="M2160" t="s">
        <v>57</v>
      </c>
      <c r="N2160" t="str">
        <f>"044446"</f>
        <v>044446</v>
      </c>
      <c r="O2160" t="s">
        <v>1204</v>
      </c>
      <c r="P2160" t="s">
        <v>68</v>
      </c>
      <c r="Q2160">
        <v>100</v>
      </c>
      <c r="R2160">
        <v>6</v>
      </c>
      <c r="S2160" t="s">
        <v>130</v>
      </c>
    </row>
    <row r="2161" spans="1:19" x14ac:dyDescent="0.35">
      <c r="A2161">
        <v>26575</v>
      </c>
      <c r="B2161" t="str">
        <f>"026575"</f>
        <v>026575</v>
      </c>
      <c r="C2161" t="s">
        <v>7234</v>
      </c>
      <c r="D2161" t="s">
        <v>3506</v>
      </c>
      <c r="E2161" t="s">
        <v>3395</v>
      </c>
      <c r="F2161" t="s">
        <v>3396</v>
      </c>
      <c r="G2161" t="s">
        <v>493</v>
      </c>
      <c r="H2161" t="s">
        <v>7235</v>
      </c>
      <c r="I2161" t="s">
        <v>7236</v>
      </c>
      <c r="J2161" t="s">
        <v>496</v>
      </c>
      <c r="K2161" t="s">
        <v>55</v>
      </c>
      <c r="L2161" t="s">
        <v>497</v>
      </c>
      <c r="M2161" t="s">
        <v>57</v>
      </c>
      <c r="N2161" t="str">
        <f>"044446"</f>
        <v>044446</v>
      </c>
      <c r="O2161" t="s">
        <v>1204</v>
      </c>
      <c r="P2161" t="s">
        <v>68</v>
      </c>
      <c r="Q2161">
        <v>100</v>
      </c>
      <c r="R2161">
        <v>8.2999999999999972</v>
      </c>
      <c r="S2161" t="s">
        <v>130</v>
      </c>
    </row>
    <row r="2162" spans="1:19" x14ac:dyDescent="0.35">
      <c r="A2162">
        <v>26591</v>
      </c>
      <c r="B2162" t="str">
        <f>"026591"</f>
        <v>026591</v>
      </c>
      <c r="C2162" t="s">
        <v>7237</v>
      </c>
      <c r="D2162" t="s">
        <v>3394</v>
      </c>
      <c r="E2162" t="s">
        <v>3395</v>
      </c>
      <c r="F2162" t="s">
        <v>3396</v>
      </c>
      <c r="G2162" t="s">
        <v>325</v>
      </c>
      <c r="H2162" t="s">
        <v>7238</v>
      </c>
      <c r="I2162" t="s">
        <v>7239</v>
      </c>
      <c r="J2162" t="s">
        <v>2172</v>
      </c>
      <c r="K2162" t="s">
        <v>55</v>
      </c>
      <c r="L2162" t="s">
        <v>2173</v>
      </c>
      <c r="M2162" t="s">
        <v>57</v>
      </c>
      <c r="N2162" t="str">
        <f>"045617"</f>
        <v>045617</v>
      </c>
      <c r="O2162" t="s">
        <v>2205</v>
      </c>
      <c r="P2162" t="s">
        <v>68</v>
      </c>
      <c r="Q2162">
        <v>19.2</v>
      </c>
      <c r="R2162">
        <v>9.2000000000000028</v>
      </c>
      <c r="S2162" t="s">
        <v>180</v>
      </c>
    </row>
    <row r="2163" spans="1:19" x14ac:dyDescent="0.35">
      <c r="A2163">
        <v>26633</v>
      </c>
      <c r="B2163" t="str">
        <f>"026633"</f>
        <v>026633</v>
      </c>
      <c r="C2163" t="s">
        <v>7240</v>
      </c>
      <c r="D2163" t="s">
        <v>3394</v>
      </c>
      <c r="E2163" t="s">
        <v>3395</v>
      </c>
      <c r="F2163" t="s">
        <v>3396</v>
      </c>
      <c r="G2163" t="s">
        <v>554</v>
      </c>
      <c r="H2163" t="s">
        <v>2160</v>
      </c>
      <c r="I2163" t="s">
        <v>2161</v>
      </c>
      <c r="J2163" t="s">
        <v>2162</v>
      </c>
      <c r="K2163" t="s">
        <v>55</v>
      </c>
      <c r="L2163" t="s">
        <v>2163</v>
      </c>
      <c r="M2163" t="s">
        <v>57</v>
      </c>
      <c r="N2163" t="str">
        <f>"045955"</f>
        <v>045955</v>
      </c>
      <c r="O2163" t="s">
        <v>2159</v>
      </c>
      <c r="P2163" t="s">
        <v>68</v>
      </c>
      <c r="Q2163">
        <v>6.1</v>
      </c>
      <c r="R2163">
        <v>6.0999999999999943</v>
      </c>
      <c r="S2163" t="s">
        <v>156</v>
      </c>
    </row>
    <row r="2164" spans="1:19" x14ac:dyDescent="0.35">
      <c r="A2164">
        <v>26641</v>
      </c>
      <c r="B2164" t="str">
        <f>"026641"</f>
        <v>026641</v>
      </c>
      <c r="C2164" t="s">
        <v>7241</v>
      </c>
      <c r="D2164" t="s">
        <v>3398</v>
      </c>
      <c r="E2164" t="s">
        <v>3395</v>
      </c>
      <c r="F2164" t="s">
        <v>3396</v>
      </c>
      <c r="G2164" t="s">
        <v>554</v>
      </c>
      <c r="H2164" t="s">
        <v>2160</v>
      </c>
      <c r="I2164" t="s">
        <v>2161</v>
      </c>
      <c r="J2164" t="s">
        <v>2162</v>
      </c>
      <c r="K2164" t="s">
        <v>55</v>
      </c>
      <c r="L2164" t="s">
        <v>2163</v>
      </c>
      <c r="M2164" t="s">
        <v>57</v>
      </c>
      <c r="N2164" t="str">
        <f>"045955"</f>
        <v>045955</v>
      </c>
      <c r="O2164" t="s">
        <v>2159</v>
      </c>
      <c r="P2164" t="s">
        <v>68</v>
      </c>
      <c r="Q2164">
        <v>5.7</v>
      </c>
      <c r="R2164">
        <v>4.2999999999999972</v>
      </c>
      <c r="S2164" t="s">
        <v>156</v>
      </c>
    </row>
    <row r="2165" spans="1:19" x14ac:dyDescent="0.35">
      <c r="A2165">
        <v>26658</v>
      </c>
      <c r="B2165" t="str">
        <f>"026658"</f>
        <v>026658</v>
      </c>
      <c r="C2165" t="s">
        <v>7242</v>
      </c>
      <c r="D2165" t="s">
        <v>3394</v>
      </c>
      <c r="E2165" t="s">
        <v>3395</v>
      </c>
      <c r="F2165" t="s">
        <v>3396</v>
      </c>
      <c r="G2165" t="s">
        <v>212</v>
      </c>
      <c r="H2165" t="s">
        <v>7243</v>
      </c>
      <c r="I2165" t="s">
        <v>7244</v>
      </c>
      <c r="J2165" t="s">
        <v>215</v>
      </c>
      <c r="K2165" t="s">
        <v>55</v>
      </c>
      <c r="L2165" t="s">
        <v>914</v>
      </c>
      <c r="M2165" t="s">
        <v>57</v>
      </c>
      <c r="N2165" t="str">
        <f>"044412"</f>
        <v>044412</v>
      </c>
      <c r="O2165" t="s">
        <v>1627</v>
      </c>
      <c r="P2165" t="s">
        <v>68</v>
      </c>
      <c r="Q2165">
        <v>98.9</v>
      </c>
      <c r="R2165">
        <v>86.5</v>
      </c>
      <c r="S2165" t="s">
        <v>217</v>
      </c>
    </row>
    <row r="2166" spans="1:19" x14ac:dyDescent="0.35">
      <c r="A2166">
        <v>26682</v>
      </c>
      <c r="B2166" t="str">
        <f>"026682"</f>
        <v>026682</v>
      </c>
      <c r="C2166" t="s">
        <v>7245</v>
      </c>
      <c r="D2166" t="s">
        <v>3400</v>
      </c>
      <c r="E2166" t="s">
        <v>3395</v>
      </c>
      <c r="F2166" t="s">
        <v>3396</v>
      </c>
      <c r="G2166" t="s">
        <v>150</v>
      </c>
      <c r="H2166" t="s">
        <v>6974</v>
      </c>
      <c r="I2166" t="s">
        <v>6975</v>
      </c>
      <c r="J2166" t="s">
        <v>1559</v>
      </c>
      <c r="K2166" t="s">
        <v>55</v>
      </c>
      <c r="L2166" t="s">
        <v>1560</v>
      </c>
      <c r="M2166" t="s">
        <v>57</v>
      </c>
      <c r="N2166" t="str">
        <f>"049361"</f>
        <v>049361</v>
      </c>
      <c r="O2166" t="s">
        <v>1556</v>
      </c>
      <c r="P2166" t="s">
        <v>68</v>
      </c>
      <c r="Q2166">
        <v>8.3000000000000007</v>
      </c>
      <c r="R2166">
        <v>0.79999999999999716</v>
      </c>
      <c r="S2166" t="s">
        <v>156</v>
      </c>
    </row>
    <row r="2167" spans="1:19" x14ac:dyDescent="0.35">
      <c r="A2167">
        <v>26690</v>
      </c>
      <c r="B2167" t="str">
        <f>"026690"</f>
        <v>026690</v>
      </c>
      <c r="C2167" t="s">
        <v>7246</v>
      </c>
      <c r="D2167" t="s">
        <v>3394</v>
      </c>
      <c r="E2167" t="s">
        <v>3395</v>
      </c>
      <c r="F2167" t="s">
        <v>3396</v>
      </c>
      <c r="G2167" t="s">
        <v>674</v>
      </c>
      <c r="H2167" t="s">
        <v>7247</v>
      </c>
      <c r="I2167" t="s">
        <v>7248</v>
      </c>
      <c r="J2167" t="s">
        <v>677</v>
      </c>
      <c r="K2167" t="s">
        <v>55</v>
      </c>
      <c r="L2167" t="s">
        <v>678</v>
      </c>
      <c r="M2167" t="s">
        <v>57</v>
      </c>
      <c r="N2167" t="str">
        <f>"048835"</f>
        <v>048835</v>
      </c>
      <c r="O2167" t="s">
        <v>673</v>
      </c>
      <c r="P2167" t="s">
        <v>68</v>
      </c>
      <c r="Q2167">
        <v>34.200000000000003</v>
      </c>
      <c r="R2167">
        <v>6.5999999999999943</v>
      </c>
      <c r="S2167" t="s">
        <v>130</v>
      </c>
    </row>
    <row r="2168" spans="1:19" x14ac:dyDescent="0.35">
      <c r="A2168">
        <v>26757</v>
      </c>
      <c r="B2168" t="str">
        <f>"026757"</f>
        <v>026757</v>
      </c>
      <c r="C2168" t="s">
        <v>7249</v>
      </c>
      <c r="D2168" t="s">
        <v>3394</v>
      </c>
      <c r="E2168" t="s">
        <v>3395</v>
      </c>
      <c r="F2168" t="s">
        <v>3396</v>
      </c>
      <c r="G2168" t="s">
        <v>554</v>
      </c>
      <c r="H2168" t="s">
        <v>7250</v>
      </c>
      <c r="I2168" t="s">
        <v>7251</v>
      </c>
      <c r="J2168" t="s">
        <v>557</v>
      </c>
      <c r="K2168" t="s">
        <v>55</v>
      </c>
      <c r="L2168" t="s">
        <v>558</v>
      </c>
      <c r="M2168" t="s">
        <v>57</v>
      </c>
      <c r="N2168" t="str">
        <f>"045963"</f>
        <v>045963</v>
      </c>
      <c r="O2168" t="s">
        <v>553</v>
      </c>
      <c r="P2168" t="s">
        <v>68</v>
      </c>
      <c r="Q2168">
        <v>18.3</v>
      </c>
      <c r="R2168">
        <v>8.7999999999999972</v>
      </c>
      <c r="S2168" t="s">
        <v>156</v>
      </c>
    </row>
    <row r="2169" spans="1:19" x14ac:dyDescent="0.35">
      <c r="A2169">
        <v>26765</v>
      </c>
      <c r="B2169" t="str">
        <f>"026765"</f>
        <v>026765</v>
      </c>
      <c r="C2169" t="s">
        <v>7252</v>
      </c>
      <c r="D2169" t="s">
        <v>3398</v>
      </c>
      <c r="E2169" t="s">
        <v>3395</v>
      </c>
      <c r="F2169" t="s">
        <v>3396</v>
      </c>
      <c r="G2169" t="s">
        <v>554</v>
      </c>
      <c r="H2169" t="s">
        <v>7250</v>
      </c>
      <c r="I2169" t="s">
        <v>7251</v>
      </c>
      <c r="J2169" t="s">
        <v>557</v>
      </c>
      <c r="K2169" t="s">
        <v>55</v>
      </c>
      <c r="L2169" t="s">
        <v>558</v>
      </c>
      <c r="M2169" t="s">
        <v>57</v>
      </c>
      <c r="N2169" t="str">
        <f>"045963"</f>
        <v>045963</v>
      </c>
      <c r="O2169" t="s">
        <v>553</v>
      </c>
      <c r="P2169" t="s">
        <v>68</v>
      </c>
      <c r="Q2169">
        <v>15.9</v>
      </c>
      <c r="R2169">
        <v>9.0999999999999943</v>
      </c>
      <c r="S2169" t="s">
        <v>156</v>
      </c>
    </row>
    <row r="2170" spans="1:19" x14ac:dyDescent="0.35">
      <c r="A2170">
        <v>26773</v>
      </c>
      <c r="B2170" t="str">
        <f>"026773"</f>
        <v>026773</v>
      </c>
      <c r="C2170" t="s">
        <v>7253</v>
      </c>
      <c r="D2170" t="s">
        <v>3394</v>
      </c>
      <c r="E2170" t="s">
        <v>3395</v>
      </c>
      <c r="F2170" t="s">
        <v>3396</v>
      </c>
      <c r="G2170" t="s">
        <v>543</v>
      </c>
      <c r="H2170" t="s">
        <v>7254</v>
      </c>
      <c r="I2170" t="s">
        <v>7255</v>
      </c>
      <c r="J2170" t="s">
        <v>2546</v>
      </c>
      <c r="K2170" t="s">
        <v>55</v>
      </c>
      <c r="L2170" t="s">
        <v>2547</v>
      </c>
      <c r="M2170" t="s">
        <v>57</v>
      </c>
      <c r="N2170" t="str">
        <f>"048710"</f>
        <v>048710</v>
      </c>
      <c r="O2170" t="s">
        <v>2543</v>
      </c>
      <c r="P2170" t="s">
        <v>68</v>
      </c>
      <c r="Q2170">
        <v>47.9</v>
      </c>
      <c r="R2170">
        <v>7.7000000000000028</v>
      </c>
      <c r="S2170" t="s">
        <v>180</v>
      </c>
    </row>
    <row r="2171" spans="1:19" x14ac:dyDescent="0.35">
      <c r="A2171">
        <v>26781</v>
      </c>
      <c r="B2171" t="str">
        <f>"026781"</f>
        <v>026781</v>
      </c>
      <c r="C2171" t="s">
        <v>7256</v>
      </c>
      <c r="D2171" t="s">
        <v>3400</v>
      </c>
      <c r="E2171" t="s">
        <v>3395</v>
      </c>
      <c r="F2171" t="s">
        <v>3396</v>
      </c>
      <c r="G2171" t="s">
        <v>543</v>
      </c>
      <c r="H2171" t="s">
        <v>7257</v>
      </c>
      <c r="I2171" t="s">
        <v>7258</v>
      </c>
      <c r="J2171" t="s">
        <v>2546</v>
      </c>
      <c r="K2171" t="s">
        <v>55</v>
      </c>
      <c r="L2171" t="s">
        <v>2547</v>
      </c>
      <c r="M2171" t="s">
        <v>57</v>
      </c>
      <c r="N2171" t="str">
        <f>"048710"</f>
        <v>048710</v>
      </c>
      <c r="O2171" t="s">
        <v>2543</v>
      </c>
      <c r="P2171" t="s">
        <v>68</v>
      </c>
      <c r="Q2171">
        <v>51.1</v>
      </c>
      <c r="R2171">
        <v>8.7999999999999972</v>
      </c>
      <c r="S2171" t="s">
        <v>180</v>
      </c>
    </row>
    <row r="2172" spans="1:19" x14ac:dyDescent="0.35">
      <c r="A2172">
        <v>26799</v>
      </c>
      <c r="B2172" t="str">
        <f>"026799"</f>
        <v>026799</v>
      </c>
      <c r="C2172" t="s">
        <v>7259</v>
      </c>
      <c r="D2172" t="s">
        <v>3394</v>
      </c>
      <c r="E2172" t="s">
        <v>3395</v>
      </c>
      <c r="F2172" t="s">
        <v>3396</v>
      </c>
      <c r="G2172" t="s">
        <v>1551</v>
      </c>
      <c r="H2172" t="s">
        <v>7260</v>
      </c>
      <c r="I2172" t="s">
        <v>7261</v>
      </c>
      <c r="J2172" t="s">
        <v>2070</v>
      </c>
      <c r="K2172" t="s">
        <v>55</v>
      </c>
      <c r="L2172" t="s">
        <v>2071</v>
      </c>
      <c r="M2172" t="s">
        <v>57</v>
      </c>
      <c r="N2172" t="str">
        <f>"044479"</f>
        <v>044479</v>
      </c>
      <c r="O2172" t="s">
        <v>2067</v>
      </c>
      <c r="P2172" t="s">
        <v>68</v>
      </c>
      <c r="Q2172">
        <v>100</v>
      </c>
      <c r="R2172">
        <v>3.5</v>
      </c>
      <c r="S2172" t="s">
        <v>130</v>
      </c>
    </row>
    <row r="2173" spans="1:19" x14ac:dyDescent="0.35">
      <c r="A2173">
        <v>26807</v>
      </c>
      <c r="B2173" t="str">
        <f>"026807"</f>
        <v>026807</v>
      </c>
      <c r="C2173" t="s">
        <v>7262</v>
      </c>
      <c r="D2173" t="s">
        <v>3400</v>
      </c>
      <c r="E2173" t="s">
        <v>3395</v>
      </c>
      <c r="F2173" t="s">
        <v>3396</v>
      </c>
      <c r="G2173" t="s">
        <v>1551</v>
      </c>
      <c r="H2173" t="s">
        <v>7263</v>
      </c>
      <c r="I2173" t="s">
        <v>7264</v>
      </c>
      <c r="J2173" t="s">
        <v>2070</v>
      </c>
      <c r="K2173" t="s">
        <v>55</v>
      </c>
      <c r="L2173" t="s">
        <v>2071</v>
      </c>
      <c r="M2173" t="s">
        <v>57</v>
      </c>
      <c r="N2173" t="str">
        <f>"044479"</f>
        <v>044479</v>
      </c>
      <c r="O2173" t="s">
        <v>2067</v>
      </c>
      <c r="P2173" t="s">
        <v>68</v>
      </c>
      <c r="Q2173">
        <v>99.7</v>
      </c>
      <c r="R2173">
        <v>4.2999999999999972</v>
      </c>
      <c r="S2173" t="s">
        <v>130</v>
      </c>
    </row>
    <row r="2174" spans="1:19" x14ac:dyDescent="0.35">
      <c r="A2174">
        <v>26815</v>
      </c>
      <c r="B2174" t="str">
        <f>"026815"</f>
        <v>026815</v>
      </c>
      <c r="C2174" t="s">
        <v>7265</v>
      </c>
      <c r="D2174" t="s">
        <v>3394</v>
      </c>
      <c r="E2174" t="s">
        <v>3395</v>
      </c>
      <c r="F2174" t="s">
        <v>3396</v>
      </c>
      <c r="G2174" t="s">
        <v>79</v>
      </c>
      <c r="H2174" t="s">
        <v>7266</v>
      </c>
      <c r="I2174" t="s">
        <v>7267</v>
      </c>
      <c r="J2174" t="s">
        <v>2799</v>
      </c>
      <c r="K2174" t="s">
        <v>55</v>
      </c>
      <c r="L2174" t="s">
        <v>2800</v>
      </c>
      <c r="M2174" t="s">
        <v>57</v>
      </c>
      <c r="N2174" t="str">
        <f>"047720"</f>
        <v>047720</v>
      </c>
      <c r="O2174" t="s">
        <v>2796</v>
      </c>
      <c r="P2174" t="s">
        <v>68</v>
      </c>
      <c r="Q2174">
        <v>48.8</v>
      </c>
      <c r="R2174">
        <v>6.0999999999999943</v>
      </c>
      <c r="S2174" t="s">
        <v>69</v>
      </c>
    </row>
    <row r="2175" spans="1:19" x14ac:dyDescent="0.35">
      <c r="A2175">
        <v>26823</v>
      </c>
      <c r="B2175" t="str">
        <f>"026823"</f>
        <v>026823</v>
      </c>
      <c r="C2175" t="s">
        <v>7268</v>
      </c>
      <c r="D2175" t="s">
        <v>3398</v>
      </c>
      <c r="E2175" t="s">
        <v>3395</v>
      </c>
      <c r="F2175" t="s">
        <v>3396</v>
      </c>
      <c r="G2175" t="s">
        <v>79</v>
      </c>
      <c r="H2175" t="s">
        <v>7266</v>
      </c>
      <c r="I2175" t="s">
        <v>7267</v>
      </c>
      <c r="J2175" t="s">
        <v>2799</v>
      </c>
      <c r="K2175" t="s">
        <v>55</v>
      </c>
      <c r="L2175" t="s">
        <v>2800</v>
      </c>
      <c r="M2175" t="s">
        <v>57</v>
      </c>
      <c r="N2175" t="str">
        <f>"047720"</f>
        <v>047720</v>
      </c>
      <c r="O2175" t="s">
        <v>2796</v>
      </c>
      <c r="P2175" t="s">
        <v>68</v>
      </c>
      <c r="Q2175">
        <v>35.200000000000003</v>
      </c>
      <c r="R2175">
        <v>6.2000000000000028</v>
      </c>
      <c r="S2175" t="s">
        <v>69</v>
      </c>
    </row>
    <row r="2176" spans="1:19" x14ac:dyDescent="0.35">
      <c r="A2176">
        <v>26849</v>
      </c>
      <c r="B2176" t="str">
        <f>"026849"</f>
        <v>026849</v>
      </c>
      <c r="C2176" t="s">
        <v>7269</v>
      </c>
      <c r="D2176" t="s">
        <v>3398</v>
      </c>
      <c r="E2176" t="s">
        <v>3395</v>
      </c>
      <c r="F2176" t="s">
        <v>3396</v>
      </c>
      <c r="G2176" t="s">
        <v>175</v>
      </c>
      <c r="H2176" t="s">
        <v>2822</v>
      </c>
      <c r="I2176" t="s">
        <v>2823</v>
      </c>
      <c r="J2176" t="s">
        <v>2824</v>
      </c>
      <c r="K2176" t="s">
        <v>55</v>
      </c>
      <c r="L2176" t="s">
        <v>2825</v>
      </c>
      <c r="M2176" t="s">
        <v>57</v>
      </c>
      <c r="N2176" t="str">
        <f>"046680"</f>
        <v>046680</v>
      </c>
      <c r="O2176" t="s">
        <v>2821</v>
      </c>
      <c r="P2176" t="s">
        <v>68</v>
      </c>
      <c r="Q2176">
        <v>33.299999999999997</v>
      </c>
      <c r="R2176">
        <v>2.9000000000000057</v>
      </c>
      <c r="S2176" t="s">
        <v>180</v>
      </c>
    </row>
    <row r="2177" spans="1:19" x14ac:dyDescent="0.35">
      <c r="A2177">
        <v>26864</v>
      </c>
      <c r="B2177" t="str">
        <f>"026864"</f>
        <v>026864</v>
      </c>
      <c r="C2177" t="s">
        <v>7270</v>
      </c>
      <c r="D2177" t="s">
        <v>3394</v>
      </c>
      <c r="E2177" t="s">
        <v>3395</v>
      </c>
      <c r="F2177" t="s">
        <v>3396</v>
      </c>
      <c r="G2177" t="s">
        <v>244</v>
      </c>
      <c r="H2177" t="s">
        <v>372</v>
      </c>
      <c r="I2177" t="s">
        <v>373</v>
      </c>
      <c r="J2177" t="s">
        <v>212</v>
      </c>
      <c r="K2177" t="s">
        <v>55</v>
      </c>
      <c r="L2177" t="s">
        <v>374</v>
      </c>
      <c r="M2177" t="s">
        <v>57</v>
      </c>
      <c r="N2177" t="str">
        <f>"046136"</f>
        <v>046136</v>
      </c>
      <c r="O2177" t="s">
        <v>371</v>
      </c>
      <c r="P2177" t="s">
        <v>68</v>
      </c>
      <c r="Q2177">
        <v>99.1</v>
      </c>
      <c r="R2177">
        <v>13.900000000000006</v>
      </c>
      <c r="S2177" t="s">
        <v>217</v>
      </c>
    </row>
    <row r="2178" spans="1:19" x14ac:dyDescent="0.35">
      <c r="A2178">
        <v>26872</v>
      </c>
      <c r="B2178" t="str">
        <f>"026872"</f>
        <v>026872</v>
      </c>
      <c r="C2178" t="s">
        <v>7271</v>
      </c>
      <c r="D2178" t="s">
        <v>3398</v>
      </c>
      <c r="E2178" t="s">
        <v>3395</v>
      </c>
      <c r="F2178" t="s">
        <v>3396</v>
      </c>
      <c r="G2178" t="s">
        <v>244</v>
      </c>
      <c r="H2178" t="s">
        <v>372</v>
      </c>
      <c r="I2178" t="s">
        <v>373</v>
      </c>
      <c r="J2178" t="s">
        <v>212</v>
      </c>
      <c r="K2178" t="s">
        <v>55</v>
      </c>
      <c r="L2178" t="s">
        <v>374</v>
      </c>
      <c r="M2178" t="s">
        <v>57</v>
      </c>
      <c r="N2178" t="str">
        <f>"046136"</f>
        <v>046136</v>
      </c>
      <c r="O2178" t="s">
        <v>371</v>
      </c>
      <c r="P2178" t="s">
        <v>68</v>
      </c>
      <c r="Q2178">
        <v>100</v>
      </c>
      <c r="R2178">
        <v>11.599999999999994</v>
      </c>
      <c r="S2178" t="s">
        <v>217</v>
      </c>
    </row>
    <row r="2179" spans="1:19" x14ac:dyDescent="0.35">
      <c r="A2179">
        <v>26880</v>
      </c>
      <c r="B2179" t="str">
        <f>"026880"</f>
        <v>026880</v>
      </c>
      <c r="C2179" t="s">
        <v>7272</v>
      </c>
      <c r="D2179" t="s">
        <v>3394</v>
      </c>
      <c r="E2179" t="s">
        <v>3395</v>
      </c>
      <c r="F2179" t="s">
        <v>3396</v>
      </c>
      <c r="G2179" t="s">
        <v>383</v>
      </c>
      <c r="H2179" t="s">
        <v>7273</v>
      </c>
      <c r="I2179" t="s">
        <v>7274</v>
      </c>
      <c r="J2179" t="s">
        <v>2909</v>
      </c>
      <c r="K2179" t="s">
        <v>55</v>
      </c>
      <c r="L2179" t="s">
        <v>2910</v>
      </c>
      <c r="M2179" t="s">
        <v>57</v>
      </c>
      <c r="N2179" t="str">
        <f>"048371"</f>
        <v>048371</v>
      </c>
      <c r="O2179" t="s">
        <v>263</v>
      </c>
      <c r="P2179" t="s">
        <v>68</v>
      </c>
      <c r="Q2179">
        <v>40.5</v>
      </c>
      <c r="R2179">
        <v>6.2999999999999972</v>
      </c>
      <c r="S2179" t="s">
        <v>77</v>
      </c>
    </row>
    <row r="2180" spans="1:19" x14ac:dyDescent="0.35">
      <c r="A2180">
        <v>26906</v>
      </c>
      <c r="B2180" t="str">
        <f>"026906"</f>
        <v>026906</v>
      </c>
      <c r="C2180" t="s">
        <v>7275</v>
      </c>
      <c r="D2180" t="s">
        <v>3398</v>
      </c>
      <c r="E2180" t="s">
        <v>3395</v>
      </c>
      <c r="F2180" t="s">
        <v>3396</v>
      </c>
      <c r="G2180" t="s">
        <v>71</v>
      </c>
      <c r="H2180" t="s">
        <v>7276</v>
      </c>
      <c r="I2180" t="s">
        <v>7277</v>
      </c>
      <c r="J2180" t="s">
        <v>447</v>
      </c>
      <c r="K2180" t="s">
        <v>55</v>
      </c>
      <c r="L2180" t="s">
        <v>448</v>
      </c>
      <c r="M2180" t="s">
        <v>57</v>
      </c>
      <c r="N2180" t="str">
        <f>"044487"</f>
        <v>044487</v>
      </c>
      <c r="O2180" t="s">
        <v>444</v>
      </c>
      <c r="P2180" t="s">
        <v>68</v>
      </c>
      <c r="Q2180">
        <v>37</v>
      </c>
      <c r="R2180">
        <v>25.099999999999994</v>
      </c>
      <c r="S2180" t="s">
        <v>77</v>
      </c>
    </row>
    <row r="2181" spans="1:19" x14ac:dyDescent="0.35">
      <c r="A2181">
        <v>26922</v>
      </c>
      <c r="B2181" t="str">
        <f>"026922"</f>
        <v>026922</v>
      </c>
      <c r="C2181" t="s">
        <v>7278</v>
      </c>
      <c r="D2181" t="s">
        <v>3398</v>
      </c>
      <c r="E2181" t="s">
        <v>3395</v>
      </c>
      <c r="F2181" t="s">
        <v>3396</v>
      </c>
      <c r="G2181" t="s">
        <v>1041</v>
      </c>
      <c r="H2181" t="s">
        <v>7279</v>
      </c>
      <c r="I2181" t="s">
        <v>7280</v>
      </c>
      <c r="J2181" t="s">
        <v>3108</v>
      </c>
      <c r="K2181" t="s">
        <v>55</v>
      </c>
      <c r="L2181" t="s">
        <v>3109</v>
      </c>
      <c r="M2181" t="s">
        <v>57</v>
      </c>
      <c r="N2181" t="str">
        <f>"045559"</f>
        <v>045559</v>
      </c>
      <c r="O2181" t="s">
        <v>3105</v>
      </c>
      <c r="P2181" t="s">
        <v>68</v>
      </c>
      <c r="Q2181">
        <v>34.1</v>
      </c>
      <c r="R2181">
        <v>7.7999999999999972</v>
      </c>
      <c r="S2181" t="s">
        <v>217</v>
      </c>
    </row>
    <row r="2182" spans="1:19" x14ac:dyDescent="0.35">
      <c r="A2182">
        <v>26930</v>
      </c>
      <c r="B2182" t="str">
        <f>"026930"</f>
        <v>026930</v>
      </c>
      <c r="C2182" t="s">
        <v>7281</v>
      </c>
      <c r="D2182" t="s">
        <v>3400</v>
      </c>
      <c r="E2182" t="s">
        <v>3395</v>
      </c>
      <c r="F2182" t="s">
        <v>3396</v>
      </c>
      <c r="G2182" t="s">
        <v>1041</v>
      </c>
      <c r="H2182" t="s">
        <v>7282</v>
      </c>
      <c r="I2182" t="s">
        <v>7283</v>
      </c>
      <c r="J2182" t="s">
        <v>3108</v>
      </c>
      <c r="K2182" t="s">
        <v>55</v>
      </c>
      <c r="L2182" t="s">
        <v>3109</v>
      </c>
      <c r="M2182" t="s">
        <v>57</v>
      </c>
      <c r="N2182" t="str">
        <f>"045559"</f>
        <v>045559</v>
      </c>
      <c r="O2182" t="s">
        <v>3105</v>
      </c>
      <c r="P2182" t="s">
        <v>68</v>
      </c>
      <c r="Q2182">
        <v>39.1</v>
      </c>
      <c r="R2182">
        <v>7.0999999999999943</v>
      </c>
      <c r="S2182" t="s">
        <v>217</v>
      </c>
    </row>
    <row r="2183" spans="1:19" x14ac:dyDescent="0.35">
      <c r="A2183">
        <v>26948</v>
      </c>
      <c r="B2183" t="str">
        <f>"026948"</f>
        <v>026948</v>
      </c>
      <c r="C2183" t="s">
        <v>7284</v>
      </c>
      <c r="D2183" t="s">
        <v>3394</v>
      </c>
      <c r="E2183" t="s">
        <v>3395</v>
      </c>
      <c r="F2183" t="s">
        <v>3396</v>
      </c>
      <c r="G2183" t="s">
        <v>1296</v>
      </c>
      <c r="H2183" t="s">
        <v>2903</v>
      </c>
      <c r="I2183" t="s">
        <v>2904</v>
      </c>
      <c r="J2183" t="s">
        <v>2905</v>
      </c>
      <c r="K2183" t="s">
        <v>55</v>
      </c>
      <c r="L2183" t="s">
        <v>2906</v>
      </c>
      <c r="M2183" t="s">
        <v>57</v>
      </c>
      <c r="N2183" t="str">
        <f>"049718"</f>
        <v>049718</v>
      </c>
      <c r="O2183" t="s">
        <v>2902</v>
      </c>
      <c r="P2183" t="s">
        <v>68</v>
      </c>
      <c r="Q2183">
        <v>18.8</v>
      </c>
      <c r="R2183">
        <v>4.5</v>
      </c>
      <c r="S2183" t="s">
        <v>156</v>
      </c>
    </row>
    <row r="2184" spans="1:19" x14ac:dyDescent="0.35">
      <c r="A2184">
        <v>26955</v>
      </c>
      <c r="B2184" t="str">
        <f>"026955"</f>
        <v>026955</v>
      </c>
      <c r="C2184" t="s">
        <v>7285</v>
      </c>
      <c r="D2184" t="s">
        <v>3398</v>
      </c>
      <c r="E2184" t="s">
        <v>3395</v>
      </c>
      <c r="F2184" t="s">
        <v>3396</v>
      </c>
      <c r="G2184" t="s">
        <v>1296</v>
      </c>
      <c r="H2184" t="s">
        <v>2903</v>
      </c>
      <c r="I2184" t="s">
        <v>2904</v>
      </c>
      <c r="J2184" t="s">
        <v>2905</v>
      </c>
      <c r="K2184" t="s">
        <v>55</v>
      </c>
      <c r="L2184" t="s">
        <v>2906</v>
      </c>
      <c r="M2184" t="s">
        <v>57</v>
      </c>
      <c r="N2184" t="str">
        <f>"049718"</f>
        <v>049718</v>
      </c>
      <c r="O2184" t="s">
        <v>2902</v>
      </c>
      <c r="P2184" t="s">
        <v>68</v>
      </c>
      <c r="Q2184">
        <v>18.5</v>
      </c>
      <c r="R2184">
        <v>6.7999999999999972</v>
      </c>
      <c r="S2184" t="s">
        <v>156</v>
      </c>
    </row>
    <row r="2185" spans="1:19" x14ac:dyDescent="0.35">
      <c r="A2185">
        <v>26989</v>
      </c>
      <c r="B2185" t="str">
        <f>"026989"</f>
        <v>026989</v>
      </c>
      <c r="C2185" t="s">
        <v>7286</v>
      </c>
      <c r="D2185" t="s">
        <v>3394</v>
      </c>
      <c r="E2185" t="s">
        <v>3395</v>
      </c>
      <c r="F2185" t="s">
        <v>3396</v>
      </c>
      <c r="G2185" t="s">
        <v>250</v>
      </c>
      <c r="H2185" t="s">
        <v>7287</v>
      </c>
      <c r="I2185" t="s">
        <v>7288</v>
      </c>
      <c r="J2185" t="s">
        <v>7289</v>
      </c>
      <c r="K2185" t="s">
        <v>55</v>
      </c>
      <c r="L2185" t="s">
        <v>7290</v>
      </c>
      <c r="M2185" t="s">
        <v>57</v>
      </c>
      <c r="N2185" t="str">
        <f>"046409"</f>
        <v>046409</v>
      </c>
      <c r="O2185" t="s">
        <v>1052</v>
      </c>
      <c r="P2185" t="s">
        <v>68</v>
      </c>
      <c r="Q2185">
        <v>38.5</v>
      </c>
      <c r="R2185">
        <v>10</v>
      </c>
      <c r="S2185" t="s">
        <v>60</v>
      </c>
    </row>
    <row r="2186" spans="1:19" x14ac:dyDescent="0.35">
      <c r="A2186">
        <v>27003</v>
      </c>
      <c r="B2186" t="str">
        <f>"027003"</f>
        <v>027003</v>
      </c>
      <c r="C2186" t="s">
        <v>4590</v>
      </c>
      <c r="D2186" t="s">
        <v>3394</v>
      </c>
      <c r="E2186" t="s">
        <v>3395</v>
      </c>
      <c r="F2186" t="s">
        <v>3396</v>
      </c>
      <c r="G2186" t="s">
        <v>536</v>
      </c>
      <c r="H2186" t="s">
        <v>7291</v>
      </c>
      <c r="I2186" t="s">
        <v>7292</v>
      </c>
      <c r="J2186" t="s">
        <v>536</v>
      </c>
      <c r="K2186" t="s">
        <v>55</v>
      </c>
      <c r="L2186" t="s">
        <v>2227</v>
      </c>
      <c r="M2186" t="s">
        <v>57</v>
      </c>
      <c r="N2186" t="str">
        <f>"046433"</f>
        <v>046433</v>
      </c>
      <c r="O2186" t="s">
        <v>1228</v>
      </c>
      <c r="P2186" t="s">
        <v>68</v>
      </c>
      <c r="Q2186">
        <v>44.3</v>
      </c>
      <c r="R2186">
        <v>3.0999999999999943</v>
      </c>
      <c r="S2186" t="s">
        <v>77</v>
      </c>
    </row>
    <row r="2187" spans="1:19" x14ac:dyDescent="0.35">
      <c r="A2187">
        <v>27011</v>
      </c>
      <c r="B2187" t="str">
        <f>"027011"</f>
        <v>027011</v>
      </c>
      <c r="C2187" t="s">
        <v>7293</v>
      </c>
      <c r="D2187" t="s">
        <v>3398</v>
      </c>
      <c r="E2187" t="s">
        <v>3395</v>
      </c>
      <c r="F2187" t="s">
        <v>3396</v>
      </c>
      <c r="G2187" t="s">
        <v>110</v>
      </c>
      <c r="H2187" t="s">
        <v>7294</v>
      </c>
      <c r="I2187" t="s">
        <v>7295</v>
      </c>
      <c r="J2187" t="s">
        <v>671</v>
      </c>
      <c r="K2187" t="s">
        <v>55</v>
      </c>
      <c r="L2187" t="s">
        <v>672</v>
      </c>
      <c r="M2187" t="s">
        <v>57</v>
      </c>
      <c r="N2187" t="str">
        <f>"044453"</f>
        <v>044453</v>
      </c>
      <c r="O2187" t="s">
        <v>668</v>
      </c>
      <c r="P2187" t="s">
        <v>68</v>
      </c>
      <c r="Q2187">
        <v>60.5</v>
      </c>
      <c r="R2187">
        <v>17.299999999999997</v>
      </c>
      <c r="S2187" t="s">
        <v>60</v>
      </c>
    </row>
    <row r="2188" spans="1:19" x14ac:dyDescent="0.35">
      <c r="A2188">
        <v>27060</v>
      </c>
      <c r="B2188" t="str">
        <f>"027060"</f>
        <v>027060</v>
      </c>
      <c r="C2188" t="s">
        <v>7296</v>
      </c>
      <c r="D2188" t="s">
        <v>3398</v>
      </c>
      <c r="E2188" t="s">
        <v>3395</v>
      </c>
      <c r="F2188" t="s">
        <v>3396</v>
      </c>
      <c r="G2188" t="s">
        <v>71</v>
      </c>
      <c r="H2188" t="s">
        <v>7297</v>
      </c>
      <c r="I2188" t="s">
        <v>7298</v>
      </c>
      <c r="J2188" t="s">
        <v>88</v>
      </c>
      <c r="K2188" t="s">
        <v>55</v>
      </c>
      <c r="L2188" t="s">
        <v>89</v>
      </c>
      <c r="M2188" t="s">
        <v>57</v>
      </c>
      <c r="N2188" t="str">
        <f>"045542"</f>
        <v>045542</v>
      </c>
      <c r="O2188" t="s">
        <v>85</v>
      </c>
      <c r="P2188" t="s">
        <v>68</v>
      </c>
      <c r="Q2188">
        <v>49.6</v>
      </c>
      <c r="R2188">
        <v>8.2999999999999972</v>
      </c>
      <c r="S2188" t="s">
        <v>77</v>
      </c>
    </row>
    <row r="2189" spans="1:19" x14ac:dyDescent="0.35">
      <c r="A2189">
        <v>27094</v>
      </c>
      <c r="B2189" t="str">
        <f>"027094"</f>
        <v>027094</v>
      </c>
      <c r="C2189" t="s">
        <v>7299</v>
      </c>
      <c r="D2189" t="s">
        <v>3394</v>
      </c>
      <c r="E2189" t="s">
        <v>3395</v>
      </c>
      <c r="F2189" t="s">
        <v>3396</v>
      </c>
      <c r="G2189" t="s">
        <v>124</v>
      </c>
      <c r="H2189" t="s">
        <v>7300</v>
      </c>
      <c r="I2189" t="s">
        <v>7301</v>
      </c>
      <c r="J2189" t="s">
        <v>7302</v>
      </c>
      <c r="K2189" t="s">
        <v>55</v>
      </c>
      <c r="L2189" t="s">
        <v>7303</v>
      </c>
      <c r="M2189" t="s">
        <v>57</v>
      </c>
      <c r="N2189" t="str">
        <f>"050492"</f>
        <v>050492</v>
      </c>
      <c r="O2189" t="s">
        <v>123</v>
      </c>
      <c r="P2189" t="s">
        <v>68</v>
      </c>
      <c r="Q2189">
        <v>24.4</v>
      </c>
      <c r="R2189">
        <v>3.4000000000000057</v>
      </c>
      <c r="S2189" t="s">
        <v>130</v>
      </c>
    </row>
    <row r="2190" spans="1:19" x14ac:dyDescent="0.35">
      <c r="A2190">
        <v>27102</v>
      </c>
      <c r="B2190" t="str">
        <f>"027102"</f>
        <v>027102</v>
      </c>
      <c r="C2190" t="s">
        <v>7304</v>
      </c>
      <c r="D2190" t="s">
        <v>3394</v>
      </c>
      <c r="E2190" t="s">
        <v>3395</v>
      </c>
      <c r="F2190" t="s">
        <v>3396</v>
      </c>
      <c r="G2190" t="s">
        <v>63</v>
      </c>
      <c r="H2190" t="s">
        <v>7305</v>
      </c>
      <c r="I2190" t="s">
        <v>7306</v>
      </c>
      <c r="J2190" t="s">
        <v>285</v>
      </c>
      <c r="K2190" t="s">
        <v>55</v>
      </c>
      <c r="L2190" t="s">
        <v>5375</v>
      </c>
      <c r="M2190" t="s">
        <v>57</v>
      </c>
      <c r="N2190" t="str">
        <f>"043786"</f>
        <v>043786</v>
      </c>
      <c r="O2190" t="s">
        <v>1340</v>
      </c>
      <c r="P2190" t="s">
        <v>68</v>
      </c>
      <c r="Q2190">
        <v>100</v>
      </c>
      <c r="R2190">
        <v>74.3</v>
      </c>
      <c r="S2190" t="s">
        <v>69</v>
      </c>
    </row>
    <row r="2191" spans="1:19" x14ac:dyDescent="0.35">
      <c r="A2191">
        <v>27110</v>
      </c>
      <c r="B2191" t="str">
        <f>"027110"</f>
        <v>027110</v>
      </c>
      <c r="C2191" t="s">
        <v>7307</v>
      </c>
      <c r="D2191" t="s">
        <v>3394</v>
      </c>
      <c r="E2191" t="s">
        <v>3395</v>
      </c>
      <c r="F2191" t="s">
        <v>3396</v>
      </c>
      <c r="G2191" t="s">
        <v>325</v>
      </c>
      <c r="H2191" t="s">
        <v>2625</v>
      </c>
      <c r="I2191" t="s">
        <v>2626</v>
      </c>
      <c r="J2191" t="s">
        <v>2627</v>
      </c>
      <c r="K2191" t="s">
        <v>55</v>
      </c>
      <c r="L2191" t="s">
        <v>2628</v>
      </c>
      <c r="M2191" t="s">
        <v>57</v>
      </c>
      <c r="N2191" t="str">
        <f>"048637"</f>
        <v>048637</v>
      </c>
      <c r="O2191" t="s">
        <v>2624</v>
      </c>
      <c r="P2191" t="s">
        <v>68</v>
      </c>
      <c r="Q2191">
        <v>12.1</v>
      </c>
      <c r="R2191">
        <v>3.7000000000000028</v>
      </c>
      <c r="S2191" t="s">
        <v>180</v>
      </c>
    </row>
    <row r="2192" spans="1:19" x14ac:dyDescent="0.35">
      <c r="A2192">
        <v>27136</v>
      </c>
      <c r="B2192" t="str">
        <f>"027136"</f>
        <v>027136</v>
      </c>
      <c r="C2192" t="s">
        <v>7307</v>
      </c>
      <c r="D2192" t="s">
        <v>3394</v>
      </c>
      <c r="E2192" t="s">
        <v>3395</v>
      </c>
      <c r="F2192" t="s">
        <v>3396</v>
      </c>
      <c r="G2192" t="s">
        <v>110</v>
      </c>
      <c r="H2192" t="s">
        <v>7308</v>
      </c>
      <c r="I2192" t="s">
        <v>7309</v>
      </c>
      <c r="J2192" t="s">
        <v>671</v>
      </c>
      <c r="K2192" t="s">
        <v>55</v>
      </c>
      <c r="L2192" t="s">
        <v>672</v>
      </c>
      <c r="M2192" t="s">
        <v>57</v>
      </c>
      <c r="N2192" t="str">
        <f>"048025"</f>
        <v>048025</v>
      </c>
      <c r="O2192" t="s">
        <v>1309</v>
      </c>
      <c r="P2192" t="s">
        <v>68</v>
      </c>
      <c r="Q2192">
        <v>39.200000000000003</v>
      </c>
      <c r="R2192">
        <v>7.7999999999999972</v>
      </c>
      <c r="S2192" t="s">
        <v>60</v>
      </c>
    </row>
    <row r="2193" spans="1:19" x14ac:dyDescent="0.35">
      <c r="A2193">
        <v>27151</v>
      </c>
      <c r="B2193" t="str">
        <f>"027151"</f>
        <v>027151</v>
      </c>
      <c r="C2193" t="s">
        <v>7310</v>
      </c>
      <c r="D2193" t="s">
        <v>3398</v>
      </c>
      <c r="E2193" t="s">
        <v>3395</v>
      </c>
      <c r="F2193" t="s">
        <v>3396</v>
      </c>
      <c r="G2193" t="s">
        <v>169</v>
      </c>
      <c r="H2193" t="s">
        <v>7311</v>
      </c>
      <c r="I2193" t="s">
        <v>7312</v>
      </c>
      <c r="J2193" t="s">
        <v>1811</v>
      </c>
      <c r="K2193" t="s">
        <v>55</v>
      </c>
      <c r="L2193" t="s">
        <v>1812</v>
      </c>
      <c r="M2193" t="s">
        <v>57</v>
      </c>
      <c r="N2193" t="str">
        <f>"045567"</f>
        <v>045567</v>
      </c>
      <c r="O2193" t="s">
        <v>1808</v>
      </c>
      <c r="P2193" t="s">
        <v>68</v>
      </c>
      <c r="Q2193">
        <v>44.4</v>
      </c>
      <c r="R2193">
        <v>5.7000000000000028</v>
      </c>
      <c r="S2193" t="s">
        <v>77</v>
      </c>
    </row>
    <row r="2194" spans="1:19" x14ac:dyDescent="0.35">
      <c r="A2194">
        <v>27169</v>
      </c>
      <c r="B2194" t="str">
        <f>"027169"</f>
        <v>027169</v>
      </c>
      <c r="C2194" t="s">
        <v>7313</v>
      </c>
      <c r="D2194" t="s">
        <v>3398</v>
      </c>
      <c r="E2194" t="s">
        <v>3395</v>
      </c>
      <c r="F2194" t="s">
        <v>3396</v>
      </c>
      <c r="G2194" t="s">
        <v>325</v>
      </c>
      <c r="H2194" t="s">
        <v>2625</v>
      </c>
      <c r="I2194" t="s">
        <v>2626</v>
      </c>
      <c r="J2194" t="s">
        <v>2627</v>
      </c>
      <c r="K2194" t="s">
        <v>55</v>
      </c>
      <c r="L2194" t="s">
        <v>2628</v>
      </c>
      <c r="M2194" t="s">
        <v>57</v>
      </c>
      <c r="N2194" t="str">
        <f>"048637"</f>
        <v>048637</v>
      </c>
      <c r="O2194" t="s">
        <v>2624</v>
      </c>
      <c r="P2194" t="s">
        <v>68</v>
      </c>
      <c r="Q2194">
        <v>11.7</v>
      </c>
      <c r="R2194">
        <v>2.9000000000000057</v>
      </c>
      <c r="S2194" t="s">
        <v>180</v>
      </c>
    </row>
    <row r="2195" spans="1:19" x14ac:dyDescent="0.35">
      <c r="A2195">
        <v>27185</v>
      </c>
      <c r="B2195" t="str">
        <f>"027185"</f>
        <v>027185</v>
      </c>
      <c r="C2195" t="s">
        <v>6874</v>
      </c>
      <c r="D2195" t="s">
        <v>3394</v>
      </c>
      <c r="E2195" t="s">
        <v>3395</v>
      </c>
      <c r="F2195" t="s">
        <v>3396</v>
      </c>
      <c r="G2195" t="s">
        <v>212</v>
      </c>
      <c r="H2195" t="s">
        <v>7314</v>
      </c>
      <c r="I2195" t="s">
        <v>7315</v>
      </c>
      <c r="J2195" t="s">
        <v>215</v>
      </c>
      <c r="K2195" t="s">
        <v>55</v>
      </c>
      <c r="L2195" t="s">
        <v>7316</v>
      </c>
      <c r="M2195" t="s">
        <v>57</v>
      </c>
      <c r="N2195" t="str">
        <f>"047340"</f>
        <v>047340</v>
      </c>
      <c r="O2195" t="s">
        <v>2511</v>
      </c>
      <c r="P2195" t="s">
        <v>68</v>
      </c>
      <c r="Q2195">
        <v>15</v>
      </c>
      <c r="R2195">
        <v>15.299999999999997</v>
      </c>
      <c r="S2195" t="s">
        <v>217</v>
      </c>
    </row>
    <row r="2196" spans="1:19" x14ac:dyDescent="0.35">
      <c r="A2196">
        <v>27193</v>
      </c>
      <c r="B2196" t="str">
        <f>"027193"</f>
        <v>027193</v>
      </c>
      <c r="C2196" t="s">
        <v>7317</v>
      </c>
      <c r="D2196" t="s">
        <v>3400</v>
      </c>
      <c r="E2196" t="s">
        <v>3395</v>
      </c>
      <c r="F2196" t="s">
        <v>3396</v>
      </c>
      <c r="G2196" t="s">
        <v>2304</v>
      </c>
      <c r="H2196" t="s">
        <v>2363</v>
      </c>
      <c r="I2196" t="s">
        <v>2364</v>
      </c>
      <c r="J2196" t="s">
        <v>2365</v>
      </c>
      <c r="K2196" t="s">
        <v>55</v>
      </c>
      <c r="L2196" t="s">
        <v>2366</v>
      </c>
      <c r="M2196" t="s">
        <v>57</v>
      </c>
      <c r="N2196" t="str">
        <f>"046714"</f>
        <v>046714</v>
      </c>
      <c r="O2196" t="s">
        <v>2362</v>
      </c>
      <c r="P2196" t="s">
        <v>68</v>
      </c>
      <c r="Q2196">
        <v>38.200000000000003</v>
      </c>
      <c r="R2196">
        <v>14.099999999999994</v>
      </c>
      <c r="S2196" t="s">
        <v>156</v>
      </c>
    </row>
    <row r="2197" spans="1:19" x14ac:dyDescent="0.35">
      <c r="A2197">
        <v>27201</v>
      </c>
      <c r="B2197" t="str">
        <f>"027201"</f>
        <v>027201</v>
      </c>
      <c r="C2197" t="s">
        <v>7318</v>
      </c>
      <c r="D2197" t="s">
        <v>3394</v>
      </c>
      <c r="E2197" t="s">
        <v>3395</v>
      </c>
      <c r="F2197" t="s">
        <v>3396</v>
      </c>
      <c r="G2197" t="s">
        <v>1567</v>
      </c>
      <c r="H2197" t="s">
        <v>7319</v>
      </c>
      <c r="I2197" t="s">
        <v>7320</v>
      </c>
      <c r="J2197" t="s">
        <v>1570</v>
      </c>
      <c r="K2197" t="s">
        <v>55</v>
      </c>
      <c r="L2197" t="s">
        <v>1571</v>
      </c>
      <c r="M2197" t="s">
        <v>57</v>
      </c>
      <c r="N2197" t="str">
        <f>"043760"</f>
        <v>043760</v>
      </c>
      <c r="O2197" t="s">
        <v>2197</v>
      </c>
      <c r="P2197" t="s">
        <v>68</v>
      </c>
      <c r="Q2197">
        <v>100</v>
      </c>
      <c r="R2197">
        <v>7.7999999999999972</v>
      </c>
      <c r="S2197" t="s">
        <v>60</v>
      </c>
    </row>
    <row r="2198" spans="1:19" x14ac:dyDescent="0.35">
      <c r="A2198">
        <v>27250</v>
      </c>
      <c r="B2198" t="str">
        <f>"027250"</f>
        <v>027250</v>
      </c>
      <c r="C2198" t="s">
        <v>7321</v>
      </c>
      <c r="D2198" t="s">
        <v>3394</v>
      </c>
      <c r="E2198" t="s">
        <v>3395</v>
      </c>
      <c r="F2198" t="s">
        <v>3396</v>
      </c>
      <c r="G2198" t="s">
        <v>63</v>
      </c>
      <c r="H2198" t="s">
        <v>7322</v>
      </c>
      <c r="I2198" t="s">
        <v>7323</v>
      </c>
      <c r="J2198" t="s">
        <v>1844</v>
      </c>
      <c r="K2198" t="s">
        <v>55</v>
      </c>
      <c r="L2198" t="s">
        <v>3424</v>
      </c>
      <c r="M2198" t="s">
        <v>57</v>
      </c>
      <c r="N2198" t="str">
        <f>"043794"</f>
        <v>043794</v>
      </c>
      <c r="O2198" t="s">
        <v>1912</v>
      </c>
      <c r="P2198" t="s">
        <v>68</v>
      </c>
      <c r="Q2198">
        <v>100</v>
      </c>
      <c r="R2198">
        <v>92.2</v>
      </c>
      <c r="S2198" t="s">
        <v>69</v>
      </c>
    </row>
    <row r="2199" spans="1:19" x14ac:dyDescent="0.35">
      <c r="A2199">
        <v>27268</v>
      </c>
      <c r="B2199" t="str">
        <f>"027268"</f>
        <v>027268</v>
      </c>
      <c r="C2199" t="s">
        <v>7324</v>
      </c>
      <c r="D2199" t="s">
        <v>3394</v>
      </c>
      <c r="E2199" t="s">
        <v>3395</v>
      </c>
      <c r="F2199" t="s">
        <v>3396</v>
      </c>
      <c r="G2199" t="s">
        <v>1296</v>
      </c>
      <c r="H2199" t="s">
        <v>7325</v>
      </c>
      <c r="I2199" t="s">
        <v>7326</v>
      </c>
      <c r="J2199" t="s">
        <v>1299</v>
      </c>
      <c r="K2199" t="s">
        <v>55</v>
      </c>
      <c r="L2199" t="s">
        <v>1300</v>
      </c>
      <c r="M2199" t="s">
        <v>57</v>
      </c>
      <c r="N2199" t="str">
        <f>"044891"</f>
        <v>044891</v>
      </c>
      <c r="O2199" t="s">
        <v>3295</v>
      </c>
      <c r="P2199" t="s">
        <v>68</v>
      </c>
      <c r="Q2199">
        <v>52.2</v>
      </c>
      <c r="R2199">
        <v>10.900000000000006</v>
      </c>
      <c r="S2199" t="s">
        <v>156</v>
      </c>
    </row>
    <row r="2200" spans="1:19" x14ac:dyDescent="0.35">
      <c r="A2200">
        <v>27318</v>
      </c>
      <c r="B2200" t="str">
        <f>"027318"</f>
        <v>027318</v>
      </c>
      <c r="C2200" t="s">
        <v>7327</v>
      </c>
      <c r="D2200" t="s">
        <v>3394</v>
      </c>
      <c r="E2200" t="s">
        <v>3395</v>
      </c>
      <c r="F2200" t="s">
        <v>3396</v>
      </c>
      <c r="G2200" t="s">
        <v>264</v>
      </c>
      <c r="H2200" t="s">
        <v>7328</v>
      </c>
      <c r="I2200" t="s">
        <v>7329</v>
      </c>
      <c r="J2200" t="s">
        <v>267</v>
      </c>
      <c r="K2200" t="s">
        <v>55</v>
      </c>
      <c r="L2200" t="s">
        <v>1318</v>
      </c>
      <c r="M2200" t="s">
        <v>57</v>
      </c>
      <c r="N2200" t="str">
        <f>"050005"</f>
        <v>050005</v>
      </c>
      <c r="O2200" t="s">
        <v>1687</v>
      </c>
      <c r="P2200" t="s">
        <v>68</v>
      </c>
      <c r="Q2200">
        <v>31.9</v>
      </c>
      <c r="R2200">
        <v>4.0999999999999943</v>
      </c>
      <c r="S2200" t="s">
        <v>77</v>
      </c>
    </row>
    <row r="2201" spans="1:19" x14ac:dyDescent="0.35">
      <c r="A2201">
        <v>27326</v>
      </c>
      <c r="B2201" t="str">
        <f>"027326"</f>
        <v>027326</v>
      </c>
      <c r="C2201" t="s">
        <v>7330</v>
      </c>
      <c r="D2201" t="s">
        <v>3400</v>
      </c>
      <c r="E2201" t="s">
        <v>3395</v>
      </c>
      <c r="F2201" t="s">
        <v>3396</v>
      </c>
      <c r="G2201" t="s">
        <v>264</v>
      </c>
      <c r="H2201" t="s">
        <v>7331</v>
      </c>
      <c r="I2201" t="s">
        <v>7332</v>
      </c>
      <c r="J2201" t="s">
        <v>886</v>
      </c>
      <c r="K2201" t="s">
        <v>55</v>
      </c>
      <c r="L2201" t="s">
        <v>887</v>
      </c>
      <c r="M2201" t="s">
        <v>57</v>
      </c>
      <c r="N2201" t="str">
        <f>"050047"</f>
        <v>050047</v>
      </c>
      <c r="O2201" t="s">
        <v>883</v>
      </c>
      <c r="P2201" t="s">
        <v>68</v>
      </c>
      <c r="Q2201">
        <v>13.9</v>
      </c>
      <c r="R2201">
        <v>25.400000000000006</v>
      </c>
      <c r="S2201" t="s">
        <v>77</v>
      </c>
    </row>
    <row r="2202" spans="1:19" x14ac:dyDescent="0.35">
      <c r="A2202">
        <v>27334</v>
      </c>
      <c r="B2202" t="str">
        <f>"027334"</f>
        <v>027334</v>
      </c>
      <c r="C2202" t="s">
        <v>7333</v>
      </c>
      <c r="D2202" t="s">
        <v>3398</v>
      </c>
      <c r="E2202" t="s">
        <v>3395</v>
      </c>
      <c r="F2202" t="s">
        <v>3396</v>
      </c>
      <c r="G2202" t="s">
        <v>264</v>
      </c>
      <c r="H2202" t="s">
        <v>7334</v>
      </c>
      <c r="I2202" t="s">
        <v>7335</v>
      </c>
      <c r="J2202" t="s">
        <v>6350</v>
      </c>
      <c r="K2202" t="s">
        <v>55</v>
      </c>
      <c r="L2202" t="s">
        <v>6351</v>
      </c>
      <c r="M2202" t="s">
        <v>57</v>
      </c>
      <c r="N2202" t="str">
        <f>"050047"</f>
        <v>050047</v>
      </c>
      <c r="O2202" t="s">
        <v>883</v>
      </c>
      <c r="P2202" t="s">
        <v>68</v>
      </c>
      <c r="Q2202">
        <v>13</v>
      </c>
      <c r="R2202">
        <v>24</v>
      </c>
      <c r="S2202" t="s">
        <v>77</v>
      </c>
    </row>
    <row r="2203" spans="1:19" x14ac:dyDescent="0.35">
      <c r="A2203">
        <v>27342</v>
      </c>
      <c r="B2203" t="str">
        <f>"027342"</f>
        <v>027342</v>
      </c>
      <c r="C2203" t="s">
        <v>7336</v>
      </c>
      <c r="D2203" t="s">
        <v>3394</v>
      </c>
      <c r="E2203" t="s">
        <v>3395</v>
      </c>
      <c r="F2203" t="s">
        <v>3396</v>
      </c>
      <c r="G2203" t="s">
        <v>543</v>
      </c>
      <c r="H2203" t="s">
        <v>7337</v>
      </c>
      <c r="I2203" t="s">
        <v>7338</v>
      </c>
      <c r="J2203" t="s">
        <v>687</v>
      </c>
      <c r="K2203" t="s">
        <v>55</v>
      </c>
      <c r="L2203" t="s">
        <v>4246</v>
      </c>
      <c r="M2203" t="s">
        <v>57</v>
      </c>
      <c r="N2203" t="str">
        <f>"043737"</f>
        <v>043737</v>
      </c>
      <c r="O2203" t="s">
        <v>1855</v>
      </c>
      <c r="P2203" t="s">
        <v>68</v>
      </c>
      <c r="Q2203">
        <v>23.9</v>
      </c>
      <c r="R2203">
        <v>40.700000000000003</v>
      </c>
      <c r="S2203" t="s">
        <v>180</v>
      </c>
    </row>
    <row r="2204" spans="1:19" x14ac:dyDescent="0.35">
      <c r="A2204">
        <v>27359</v>
      </c>
      <c r="B2204" t="str">
        <f>"027359"</f>
        <v>027359</v>
      </c>
      <c r="C2204" t="s">
        <v>7336</v>
      </c>
      <c r="D2204" t="s">
        <v>3394</v>
      </c>
      <c r="E2204" t="s">
        <v>3395</v>
      </c>
      <c r="F2204" t="s">
        <v>3396</v>
      </c>
      <c r="G2204" t="s">
        <v>63</v>
      </c>
      <c r="H2204" t="s">
        <v>7339</v>
      </c>
      <c r="I2204" t="s">
        <v>7340</v>
      </c>
      <c r="J2204" t="s">
        <v>1353</v>
      </c>
      <c r="K2204" t="s">
        <v>55</v>
      </c>
      <c r="L2204" t="s">
        <v>1354</v>
      </c>
      <c r="M2204" t="s">
        <v>57</v>
      </c>
      <c r="N2204" t="str">
        <f>"043547"</f>
        <v>043547</v>
      </c>
      <c r="O2204" t="s">
        <v>1350</v>
      </c>
      <c r="P2204" t="s">
        <v>68</v>
      </c>
      <c r="Q2204">
        <v>6.4</v>
      </c>
      <c r="R2204">
        <v>10.299999999999997</v>
      </c>
      <c r="S2204" t="s">
        <v>69</v>
      </c>
    </row>
    <row r="2205" spans="1:19" x14ac:dyDescent="0.35">
      <c r="A2205">
        <v>27367</v>
      </c>
      <c r="B2205" t="str">
        <f>"027367"</f>
        <v>027367</v>
      </c>
      <c r="C2205" t="s">
        <v>7341</v>
      </c>
      <c r="D2205" t="s">
        <v>3398</v>
      </c>
      <c r="E2205" t="s">
        <v>3395</v>
      </c>
      <c r="F2205" t="s">
        <v>3396</v>
      </c>
      <c r="G2205" t="s">
        <v>63</v>
      </c>
      <c r="H2205" t="s">
        <v>7342</v>
      </c>
      <c r="I2205" t="s">
        <v>7343</v>
      </c>
      <c r="J2205" t="s">
        <v>66</v>
      </c>
      <c r="K2205" t="s">
        <v>55</v>
      </c>
      <c r="L2205" t="s">
        <v>67</v>
      </c>
      <c r="M2205" t="s">
        <v>57</v>
      </c>
      <c r="N2205" t="str">
        <f>"044636"</f>
        <v>044636</v>
      </c>
      <c r="O2205" t="s">
        <v>1331</v>
      </c>
      <c r="P2205" t="s">
        <v>68</v>
      </c>
      <c r="Q2205">
        <v>38.1</v>
      </c>
      <c r="R2205">
        <v>22.5</v>
      </c>
      <c r="S2205" t="s">
        <v>69</v>
      </c>
    </row>
    <row r="2206" spans="1:19" x14ac:dyDescent="0.35">
      <c r="A2206">
        <v>27383</v>
      </c>
      <c r="B2206" t="str">
        <f>"027383"</f>
        <v>027383</v>
      </c>
      <c r="C2206" t="s">
        <v>7344</v>
      </c>
      <c r="D2206" t="s">
        <v>3394</v>
      </c>
      <c r="E2206" t="s">
        <v>3395</v>
      </c>
      <c r="F2206" t="s">
        <v>3396</v>
      </c>
      <c r="G2206" t="s">
        <v>244</v>
      </c>
      <c r="H2206" t="s">
        <v>7345</v>
      </c>
      <c r="I2206" t="s">
        <v>7346</v>
      </c>
      <c r="J2206" t="s">
        <v>212</v>
      </c>
      <c r="K2206" t="s">
        <v>55</v>
      </c>
      <c r="L2206" t="s">
        <v>374</v>
      </c>
      <c r="M2206" t="s">
        <v>57</v>
      </c>
      <c r="N2206" t="str">
        <f>"046102"</f>
        <v>046102</v>
      </c>
      <c r="O2206" t="s">
        <v>2420</v>
      </c>
      <c r="P2206" t="s">
        <v>68</v>
      </c>
      <c r="Q2206">
        <v>35.4</v>
      </c>
      <c r="R2206">
        <v>46.5</v>
      </c>
      <c r="S2206" t="s">
        <v>217</v>
      </c>
    </row>
    <row r="2207" spans="1:19" x14ac:dyDescent="0.35">
      <c r="A2207">
        <v>27425</v>
      </c>
      <c r="B2207" t="str">
        <f>"027425"</f>
        <v>027425</v>
      </c>
      <c r="C2207" t="s">
        <v>7347</v>
      </c>
      <c r="D2207" t="s">
        <v>3506</v>
      </c>
      <c r="E2207" t="s">
        <v>3395</v>
      </c>
      <c r="F2207" t="s">
        <v>3396</v>
      </c>
      <c r="G2207" t="s">
        <v>194</v>
      </c>
      <c r="H2207" t="s">
        <v>7348</v>
      </c>
      <c r="I2207" t="s">
        <v>7349</v>
      </c>
      <c r="J2207" t="s">
        <v>1225</v>
      </c>
      <c r="K2207" t="s">
        <v>55</v>
      </c>
      <c r="L2207" t="s">
        <v>1226</v>
      </c>
      <c r="M2207" t="s">
        <v>57</v>
      </c>
      <c r="N2207" t="str">
        <f>"049148"</f>
        <v>049148</v>
      </c>
      <c r="O2207" t="s">
        <v>1222</v>
      </c>
      <c r="P2207" t="s">
        <v>68</v>
      </c>
      <c r="Q2207">
        <v>100</v>
      </c>
      <c r="R2207">
        <v>4.4000000000000057</v>
      </c>
      <c r="S2207" t="s">
        <v>130</v>
      </c>
    </row>
    <row r="2208" spans="1:19" x14ac:dyDescent="0.35">
      <c r="A2208">
        <v>27433</v>
      </c>
      <c r="B2208" t="str">
        <f>"027433"</f>
        <v>027433</v>
      </c>
      <c r="C2208" t="s">
        <v>7184</v>
      </c>
      <c r="D2208" t="s">
        <v>3394</v>
      </c>
      <c r="E2208" t="s">
        <v>3395</v>
      </c>
      <c r="F2208" t="s">
        <v>3396</v>
      </c>
      <c r="G2208" t="s">
        <v>536</v>
      </c>
      <c r="H2208" t="s">
        <v>7350</v>
      </c>
      <c r="I2208" t="s">
        <v>7351</v>
      </c>
      <c r="J2208" t="s">
        <v>539</v>
      </c>
      <c r="K2208" t="s">
        <v>55</v>
      </c>
      <c r="L2208" t="s">
        <v>540</v>
      </c>
      <c r="M2208" t="s">
        <v>57</v>
      </c>
      <c r="N2208" t="str">
        <f>"043919"</f>
        <v>043919</v>
      </c>
      <c r="O2208" t="s">
        <v>1578</v>
      </c>
      <c r="P2208" t="s">
        <v>68</v>
      </c>
      <c r="Q2208">
        <v>95.8</v>
      </c>
      <c r="R2208">
        <v>18.5</v>
      </c>
      <c r="S2208" t="s">
        <v>77</v>
      </c>
    </row>
    <row r="2209" spans="1:19" x14ac:dyDescent="0.35">
      <c r="A2209">
        <v>27458</v>
      </c>
      <c r="B2209" t="str">
        <f>"027458"</f>
        <v>027458</v>
      </c>
      <c r="C2209" t="s">
        <v>7352</v>
      </c>
      <c r="D2209" t="s">
        <v>3394</v>
      </c>
      <c r="E2209" t="s">
        <v>3395</v>
      </c>
      <c r="F2209" t="s">
        <v>3396</v>
      </c>
      <c r="G2209" t="s">
        <v>187</v>
      </c>
      <c r="H2209" t="s">
        <v>7353</v>
      </c>
      <c r="I2209" t="s">
        <v>7354</v>
      </c>
      <c r="J2209" t="s">
        <v>2039</v>
      </c>
      <c r="K2209" t="s">
        <v>55</v>
      </c>
      <c r="L2209" t="s">
        <v>2040</v>
      </c>
      <c r="M2209" t="s">
        <v>57</v>
      </c>
      <c r="N2209" t="str">
        <f>"044610"</f>
        <v>044610</v>
      </c>
      <c r="O2209" t="s">
        <v>2036</v>
      </c>
      <c r="P2209" t="s">
        <v>68</v>
      </c>
      <c r="Q2209">
        <v>46.4</v>
      </c>
      <c r="R2209">
        <v>27.700000000000003</v>
      </c>
      <c r="S2209" t="s">
        <v>77</v>
      </c>
    </row>
    <row r="2210" spans="1:19" x14ac:dyDescent="0.35">
      <c r="A2210">
        <v>27508</v>
      </c>
      <c r="B2210" t="str">
        <f>"027508"</f>
        <v>027508</v>
      </c>
      <c r="C2210" t="s">
        <v>7355</v>
      </c>
      <c r="D2210" t="s">
        <v>3394</v>
      </c>
      <c r="E2210" t="s">
        <v>3395</v>
      </c>
      <c r="F2210" t="s">
        <v>3396</v>
      </c>
      <c r="G2210" t="s">
        <v>1020</v>
      </c>
      <c r="H2210" t="s">
        <v>3233</v>
      </c>
      <c r="I2210" t="s">
        <v>3234</v>
      </c>
      <c r="J2210" t="s">
        <v>1020</v>
      </c>
      <c r="K2210" t="s">
        <v>55</v>
      </c>
      <c r="L2210" t="s">
        <v>1023</v>
      </c>
      <c r="M2210" t="s">
        <v>57</v>
      </c>
      <c r="N2210" t="str">
        <f>"050369"</f>
        <v>050369</v>
      </c>
      <c r="O2210" t="s">
        <v>3232</v>
      </c>
      <c r="P2210" t="s">
        <v>68</v>
      </c>
      <c r="Q2210">
        <v>30.1</v>
      </c>
      <c r="R2210">
        <v>5.0999999999999943</v>
      </c>
      <c r="S2210" t="s">
        <v>156</v>
      </c>
    </row>
    <row r="2211" spans="1:19" x14ac:dyDescent="0.35">
      <c r="A2211">
        <v>27516</v>
      </c>
      <c r="B2211" t="str">
        <f>"027516"</f>
        <v>027516</v>
      </c>
      <c r="C2211" t="s">
        <v>7356</v>
      </c>
      <c r="D2211" t="s">
        <v>3394</v>
      </c>
      <c r="E2211" t="s">
        <v>3395</v>
      </c>
      <c r="F2211" t="s">
        <v>3396</v>
      </c>
      <c r="G2211" t="s">
        <v>331</v>
      </c>
      <c r="H2211" t="s">
        <v>4587</v>
      </c>
      <c r="I2211" t="s">
        <v>4588</v>
      </c>
      <c r="J2211" t="s">
        <v>334</v>
      </c>
      <c r="K2211" t="s">
        <v>55</v>
      </c>
      <c r="L2211" t="s">
        <v>335</v>
      </c>
      <c r="M2211" t="s">
        <v>57</v>
      </c>
      <c r="N2211" t="str">
        <f>"045344"</f>
        <v>045344</v>
      </c>
      <c r="O2211" t="s">
        <v>330</v>
      </c>
      <c r="P2211" t="s">
        <v>68</v>
      </c>
      <c r="Q2211" t="s">
        <v>68</v>
      </c>
      <c r="R2211" t="s">
        <v>68</v>
      </c>
      <c r="S2211" t="s">
        <v>156</v>
      </c>
    </row>
    <row r="2212" spans="1:19" x14ac:dyDescent="0.35">
      <c r="A2212">
        <v>27532</v>
      </c>
      <c r="B2212" t="str">
        <f>"027532"</f>
        <v>027532</v>
      </c>
      <c r="C2212" t="s">
        <v>7357</v>
      </c>
      <c r="D2212" t="s">
        <v>3394</v>
      </c>
      <c r="E2212" t="s">
        <v>3395</v>
      </c>
      <c r="F2212" t="s">
        <v>3396</v>
      </c>
      <c r="G2212" t="s">
        <v>117</v>
      </c>
      <c r="H2212" t="s">
        <v>7358</v>
      </c>
      <c r="I2212" t="s">
        <v>7359</v>
      </c>
      <c r="J2212" t="s">
        <v>977</v>
      </c>
      <c r="K2212" t="s">
        <v>55</v>
      </c>
      <c r="L2212" t="s">
        <v>1779</v>
      </c>
      <c r="M2212" t="s">
        <v>57</v>
      </c>
      <c r="N2212" t="str">
        <f>"049957"</f>
        <v>049957</v>
      </c>
      <c r="O2212" t="s">
        <v>1776</v>
      </c>
      <c r="P2212" t="s">
        <v>68</v>
      </c>
      <c r="Q2212">
        <v>23.2</v>
      </c>
      <c r="R2212">
        <v>6.2000000000000028</v>
      </c>
      <c r="S2212" t="s">
        <v>77</v>
      </c>
    </row>
    <row r="2213" spans="1:19" x14ac:dyDescent="0.35">
      <c r="A2213">
        <v>27565</v>
      </c>
      <c r="B2213" t="str">
        <f>"027565"</f>
        <v>027565</v>
      </c>
      <c r="C2213" t="s">
        <v>7360</v>
      </c>
      <c r="D2213" t="s">
        <v>3398</v>
      </c>
      <c r="E2213" t="s">
        <v>3395</v>
      </c>
      <c r="F2213" t="s">
        <v>3396</v>
      </c>
      <c r="G2213" t="s">
        <v>264</v>
      </c>
      <c r="H2213" t="s">
        <v>7361</v>
      </c>
      <c r="I2213" t="s">
        <v>7362</v>
      </c>
      <c r="J2213" t="s">
        <v>267</v>
      </c>
      <c r="K2213" t="s">
        <v>55</v>
      </c>
      <c r="L2213" t="s">
        <v>5205</v>
      </c>
      <c r="M2213" t="s">
        <v>57</v>
      </c>
      <c r="N2213" t="str">
        <f>"043489"</f>
        <v>043489</v>
      </c>
      <c r="O2213" t="s">
        <v>3176</v>
      </c>
      <c r="P2213" t="s">
        <v>68</v>
      </c>
      <c r="Q2213">
        <v>100</v>
      </c>
      <c r="R2213">
        <v>87.8</v>
      </c>
      <c r="S2213" t="s">
        <v>77</v>
      </c>
    </row>
    <row r="2214" spans="1:19" x14ac:dyDescent="0.35">
      <c r="A2214">
        <v>27573</v>
      </c>
      <c r="B2214" t="str">
        <f>"027573"</f>
        <v>027573</v>
      </c>
      <c r="C2214" t="s">
        <v>7360</v>
      </c>
      <c r="D2214" t="s">
        <v>3398</v>
      </c>
      <c r="E2214" t="s">
        <v>3395</v>
      </c>
      <c r="F2214" t="s">
        <v>3396</v>
      </c>
      <c r="G2214" t="s">
        <v>481</v>
      </c>
      <c r="H2214" t="s">
        <v>7363</v>
      </c>
      <c r="I2214" t="s">
        <v>7364</v>
      </c>
      <c r="J2214" t="s">
        <v>774</v>
      </c>
      <c r="K2214" t="s">
        <v>55</v>
      </c>
      <c r="L2214" t="s">
        <v>775</v>
      </c>
      <c r="M2214" t="s">
        <v>57</v>
      </c>
      <c r="N2214" t="str">
        <f>"045104"</f>
        <v>045104</v>
      </c>
      <c r="O2214" t="s">
        <v>771</v>
      </c>
      <c r="P2214" t="s">
        <v>68</v>
      </c>
      <c r="Q2214">
        <v>33.9</v>
      </c>
      <c r="R2214">
        <v>19.200000000000003</v>
      </c>
      <c r="S2214" t="s">
        <v>69</v>
      </c>
    </row>
    <row r="2215" spans="1:19" x14ac:dyDescent="0.35">
      <c r="A2215">
        <v>27599</v>
      </c>
      <c r="B2215" t="str">
        <f>"027599"</f>
        <v>027599</v>
      </c>
      <c r="C2215" t="s">
        <v>7365</v>
      </c>
      <c r="D2215" t="s">
        <v>3394</v>
      </c>
      <c r="E2215" t="s">
        <v>3395</v>
      </c>
      <c r="F2215" t="s">
        <v>3396</v>
      </c>
      <c r="G2215" t="s">
        <v>383</v>
      </c>
      <c r="H2215" t="s">
        <v>7366</v>
      </c>
      <c r="I2215" t="s">
        <v>7367</v>
      </c>
      <c r="J2215" t="s">
        <v>1215</v>
      </c>
      <c r="K2215" t="s">
        <v>55</v>
      </c>
      <c r="L2215" t="s">
        <v>1738</v>
      </c>
      <c r="M2215" t="s">
        <v>57</v>
      </c>
      <c r="N2215" t="str">
        <f>"045161"</f>
        <v>045161</v>
      </c>
      <c r="O2215" t="s">
        <v>1212</v>
      </c>
      <c r="P2215" t="s">
        <v>68</v>
      </c>
      <c r="Q2215">
        <v>100</v>
      </c>
      <c r="R2215">
        <v>92.3</v>
      </c>
      <c r="S2215" t="s">
        <v>77</v>
      </c>
    </row>
    <row r="2216" spans="1:19" x14ac:dyDescent="0.35">
      <c r="A2216">
        <v>27656</v>
      </c>
      <c r="B2216" t="str">
        <f>"027656"</f>
        <v>027656</v>
      </c>
      <c r="C2216" t="s">
        <v>7368</v>
      </c>
      <c r="D2216" t="s">
        <v>3398</v>
      </c>
      <c r="E2216" t="s">
        <v>3395</v>
      </c>
      <c r="F2216" t="s">
        <v>3396</v>
      </c>
      <c r="G2216" t="s">
        <v>777</v>
      </c>
      <c r="H2216" t="s">
        <v>7369</v>
      </c>
      <c r="I2216" t="s">
        <v>7370</v>
      </c>
      <c r="J2216" t="s">
        <v>7371</v>
      </c>
      <c r="K2216" t="s">
        <v>55</v>
      </c>
      <c r="L2216" t="s">
        <v>7372</v>
      </c>
      <c r="M2216" t="s">
        <v>57</v>
      </c>
      <c r="N2216" t="str">
        <f>"046250"</f>
        <v>046250</v>
      </c>
      <c r="O2216" t="s">
        <v>776</v>
      </c>
      <c r="P2216" t="s">
        <v>68</v>
      </c>
      <c r="Q2216">
        <v>32</v>
      </c>
      <c r="R2216">
        <v>7.2999999999999972</v>
      </c>
      <c r="S2216" t="s">
        <v>180</v>
      </c>
    </row>
    <row r="2217" spans="1:19" x14ac:dyDescent="0.35">
      <c r="A2217">
        <v>27664</v>
      </c>
      <c r="B2217" t="str">
        <f>"027664"</f>
        <v>027664</v>
      </c>
      <c r="C2217" t="s">
        <v>7373</v>
      </c>
      <c r="D2217" t="s">
        <v>3400</v>
      </c>
      <c r="E2217" t="s">
        <v>3395</v>
      </c>
      <c r="F2217" t="s">
        <v>3396</v>
      </c>
      <c r="G2217" t="s">
        <v>1041</v>
      </c>
      <c r="H2217" t="s">
        <v>7374</v>
      </c>
      <c r="I2217" t="s">
        <v>7375</v>
      </c>
      <c r="J2217" t="s">
        <v>2025</v>
      </c>
      <c r="K2217" t="s">
        <v>55</v>
      </c>
      <c r="L2217" t="s">
        <v>2026</v>
      </c>
      <c r="M2217" t="s">
        <v>57</v>
      </c>
      <c r="N2217" t="str">
        <f>"046326"</f>
        <v>046326</v>
      </c>
      <c r="O2217" t="s">
        <v>2022</v>
      </c>
      <c r="P2217" t="s">
        <v>68</v>
      </c>
      <c r="Q2217">
        <v>42.1</v>
      </c>
      <c r="R2217">
        <v>7.2000000000000028</v>
      </c>
      <c r="S2217" t="s">
        <v>217</v>
      </c>
    </row>
    <row r="2218" spans="1:19" x14ac:dyDescent="0.35">
      <c r="A2218">
        <v>27672</v>
      </c>
      <c r="B2218" t="str">
        <f>"027672"</f>
        <v>027672</v>
      </c>
      <c r="C2218" t="s">
        <v>7376</v>
      </c>
      <c r="D2218" t="s">
        <v>3394</v>
      </c>
      <c r="E2218" t="s">
        <v>3395</v>
      </c>
      <c r="F2218" t="s">
        <v>3396</v>
      </c>
      <c r="G2218" t="s">
        <v>264</v>
      </c>
      <c r="H2218" t="s">
        <v>7377</v>
      </c>
      <c r="I2218" t="s">
        <v>7378</v>
      </c>
      <c r="J2218" t="s">
        <v>886</v>
      </c>
      <c r="K2218" t="s">
        <v>55</v>
      </c>
      <c r="L2218" t="s">
        <v>887</v>
      </c>
      <c r="M2218" t="s">
        <v>57</v>
      </c>
      <c r="N2218" t="str">
        <f>"050047"</f>
        <v>050047</v>
      </c>
      <c r="O2218" t="s">
        <v>883</v>
      </c>
      <c r="P2218" t="s">
        <v>68</v>
      </c>
      <c r="Q2218">
        <v>16.7</v>
      </c>
      <c r="R2218">
        <v>31.799999999999997</v>
      </c>
      <c r="S2218" t="s">
        <v>77</v>
      </c>
    </row>
    <row r="2219" spans="1:19" x14ac:dyDescent="0.35">
      <c r="A2219">
        <v>27680</v>
      </c>
      <c r="B2219" t="str">
        <f>"027680"</f>
        <v>027680</v>
      </c>
      <c r="C2219" t="s">
        <v>7379</v>
      </c>
      <c r="D2219" t="s">
        <v>3398</v>
      </c>
      <c r="E2219" t="s">
        <v>3395</v>
      </c>
      <c r="F2219" t="s">
        <v>3396</v>
      </c>
      <c r="G2219" t="s">
        <v>600</v>
      </c>
      <c r="H2219" t="s">
        <v>7380</v>
      </c>
      <c r="I2219" t="s">
        <v>7381</v>
      </c>
      <c r="J2219" t="s">
        <v>1348</v>
      </c>
      <c r="K2219" t="s">
        <v>55</v>
      </c>
      <c r="L2219" t="s">
        <v>3462</v>
      </c>
      <c r="M2219" t="s">
        <v>57</v>
      </c>
      <c r="N2219" t="str">
        <f>"043802"</f>
        <v>043802</v>
      </c>
      <c r="O2219" t="s">
        <v>3171</v>
      </c>
      <c r="P2219" t="s">
        <v>68</v>
      </c>
      <c r="Q2219">
        <v>100</v>
      </c>
      <c r="R2219">
        <v>91.9</v>
      </c>
      <c r="S2219" t="s">
        <v>60</v>
      </c>
    </row>
    <row r="2220" spans="1:19" x14ac:dyDescent="0.35">
      <c r="A2220">
        <v>27698</v>
      </c>
      <c r="B2220" t="str">
        <f>"027698"</f>
        <v>027698</v>
      </c>
      <c r="C2220" t="s">
        <v>7382</v>
      </c>
      <c r="D2220" t="s">
        <v>3398</v>
      </c>
      <c r="E2220" t="s">
        <v>3395</v>
      </c>
      <c r="F2220" t="s">
        <v>3396</v>
      </c>
      <c r="G2220" t="s">
        <v>543</v>
      </c>
      <c r="H2220" t="s">
        <v>7383</v>
      </c>
      <c r="I2220" t="s">
        <v>7384</v>
      </c>
      <c r="J2220" t="s">
        <v>7385</v>
      </c>
      <c r="K2220" t="s">
        <v>55</v>
      </c>
      <c r="L2220" t="s">
        <v>1448</v>
      </c>
      <c r="M2220" t="s">
        <v>57</v>
      </c>
      <c r="N2220" t="str">
        <f>"048728"</f>
        <v>048728</v>
      </c>
      <c r="O2220" t="s">
        <v>2876</v>
      </c>
      <c r="P2220" t="s">
        <v>68</v>
      </c>
      <c r="Q2220">
        <v>34.799999999999997</v>
      </c>
      <c r="R2220">
        <v>39.9</v>
      </c>
      <c r="S2220" t="s">
        <v>180</v>
      </c>
    </row>
    <row r="2221" spans="1:19" x14ac:dyDescent="0.35">
      <c r="A2221">
        <v>27706</v>
      </c>
      <c r="B2221" t="str">
        <f>"027706"</f>
        <v>027706</v>
      </c>
      <c r="C2221" t="s">
        <v>7386</v>
      </c>
      <c r="D2221" t="s">
        <v>3400</v>
      </c>
      <c r="E2221" t="s">
        <v>3395</v>
      </c>
      <c r="F2221" t="s">
        <v>3396</v>
      </c>
      <c r="G2221" t="s">
        <v>543</v>
      </c>
      <c r="H2221" t="s">
        <v>7387</v>
      </c>
      <c r="I2221" t="s">
        <v>7388</v>
      </c>
      <c r="J2221" t="s">
        <v>7385</v>
      </c>
      <c r="K2221" t="s">
        <v>55</v>
      </c>
      <c r="L2221" t="s">
        <v>1448</v>
      </c>
      <c r="M2221" t="s">
        <v>57</v>
      </c>
      <c r="N2221" t="str">
        <f>"048728"</f>
        <v>048728</v>
      </c>
      <c r="O2221" t="s">
        <v>2876</v>
      </c>
      <c r="P2221" t="s">
        <v>68</v>
      </c>
      <c r="Q2221">
        <v>39.5</v>
      </c>
      <c r="R2221">
        <v>38.200000000000003</v>
      </c>
      <c r="S2221" t="s">
        <v>180</v>
      </c>
    </row>
    <row r="2222" spans="1:19" x14ac:dyDescent="0.35">
      <c r="A2222">
        <v>27714</v>
      </c>
      <c r="B2222" t="str">
        <f>"027714"</f>
        <v>027714</v>
      </c>
      <c r="C2222" t="s">
        <v>7389</v>
      </c>
      <c r="D2222" t="s">
        <v>3394</v>
      </c>
      <c r="E2222" t="s">
        <v>3395</v>
      </c>
      <c r="F2222" t="s">
        <v>3396</v>
      </c>
      <c r="G2222" t="s">
        <v>543</v>
      </c>
      <c r="H2222" t="s">
        <v>7390</v>
      </c>
      <c r="I2222" t="s">
        <v>7391</v>
      </c>
      <c r="J2222" t="s">
        <v>1447</v>
      </c>
      <c r="K2222" t="s">
        <v>55</v>
      </c>
      <c r="L2222" t="s">
        <v>2879</v>
      </c>
      <c r="M2222" t="s">
        <v>57</v>
      </c>
      <c r="N2222" t="str">
        <f>"048728"</f>
        <v>048728</v>
      </c>
      <c r="O2222" t="s">
        <v>2876</v>
      </c>
      <c r="P2222" t="s">
        <v>68</v>
      </c>
      <c r="Q2222">
        <v>37.700000000000003</v>
      </c>
      <c r="R2222">
        <v>36.200000000000003</v>
      </c>
      <c r="S2222" t="s">
        <v>180</v>
      </c>
    </row>
    <row r="2223" spans="1:19" x14ac:dyDescent="0.35">
      <c r="A2223">
        <v>27722</v>
      </c>
      <c r="B2223" t="str">
        <f>"027722"</f>
        <v>027722</v>
      </c>
      <c r="C2223" t="s">
        <v>7392</v>
      </c>
      <c r="D2223" t="s">
        <v>3398</v>
      </c>
      <c r="E2223" t="s">
        <v>3395</v>
      </c>
      <c r="F2223" t="s">
        <v>3396</v>
      </c>
      <c r="G2223" t="s">
        <v>1359</v>
      </c>
      <c r="H2223" t="s">
        <v>5968</v>
      </c>
      <c r="I2223" t="s">
        <v>5969</v>
      </c>
      <c r="J2223" t="s">
        <v>1733</v>
      </c>
      <c r="K2223" t="s">
        <v>55</v>
      </c>
      <c r="L2223" t="s">
        <v>1734</v>
      </c>
      <c r="M2223" t="s">
        <v>57</v>
      </c>
      <c r="N2223" t="str">
        <f>"048819"</f>
        <v>048819</v>
      </c>
      <c r="O2223" t="s">
        <v>1730</v>
      </c>
      <c r="P2223" t="s">
        <v>68</v>
      </c>
      <c r="Q2223">
        <v>26.6</v>
      </c>
      <c r="R2223">
        <v>4</v>
      </c>
      <c r="S2223" t="s">
        <v>60</v>
      </c>
    </row>
    <row r="2224" spans="1:19" x14ac:dyDescent="0.35">
      <c r="A2224">
        <v>27763</v>
      </c>
      <c r="B2224" t="str">
        <f>"027763"</f>
        <v>027763</v>
      </c>
      <c r="C2224" t="s">
        <v>7393</v>
      </c>
      <c r="D2224" t="s">
        <v>3398</v>
      </c>
      <c r="E2224" t="s">
        <v>3395</v>
      </c>
      <c r="F2224" t="s">
        <v>3396</v>
      </c>
      <c r="G2224" t="s">
        <v>543</v>
      </c>
      <c r="H2224" t="s">
        <v>5531</v>
      </c>
      <c r="I2224" t="s">
        <v>5532</v>
      </c>
      <c r="J2224" t="s">
        <v>687</v>
      </c>
      <c r="K2224" t="s">
        <v>55</v>
      </c>
      <c r="L2224" t="s">
        <v>2578</v>
      </c>
      <c r="M2224" t="s">
        <v>57</v>
      </c>
      <c r="N2224" t="str">
        <f>"048736"</f>
        <v>048736</v>
      </c>
      <c r="O2224" t="s">
        <v>109</v>
      </c>
      <c r="P2224" t="s">
        <v>68</v>
      </c>
      <c r="Q2224">
        <v>100</v>
      </c>
      <c r="R2224">
        <v>40.200000000000003</v>
      </c>
      <c r="S2224" t="s">
        <v>180</v>
      </c>
    </row>
    <row r="2225" spans="1:19" x14ac:dyDescent="0.35">
      <c r="A2225">
        <v>27771</v>
      </c>
      <c r="B2225" t="str">
        <f>"027771"</f>
        <v>027771</v>
      </c>
      <c r="C2225" t="s">
        <v>7393</v>
      </c>
      <c r="D2225" t="s">
        <v>3398</v>
      </c>
      <c r="E2225" t="s">
        <v>3395</v>
      </c>
      <c r="F2225" t="s">
        <v>3396</v>
      </c>
      <c r="G2225" t="s">
        <v>110</v>
      </c>
      <c r="H2225" t="s">
        <v>7394</v>
      </c>
      <c r="I2225" t="s">
        <v>7395</v>
      </c>
      <c r="J2225" t="s">
        <v>113</v>
      </c>
      <c r="K2225" t="s">
        <v>55</v>
      </c>
      <c r="L2225" t="s">
        <v>114</v>
      </c>
      <c r="M2225" t="s">
        <v>57</v>
      </c>
      <c r="N2225" t="str">
        <f>"048033"</f>
        <v>048033</v>
      </c>
      <c r="O2225" t="s">
        <v>109</v>
      </c>
      <c r="P2225" t="s">
        <v>68</v>
      </c>
      <c r="Q2225">
        <v>25</v>
      </c>
      <c r="R2225">
        <v>3.7999999999999972</v>
      </c>
      <c r="S2225" t="s">
        <v>60</v>
      </c>
    </row>
    <row r="2226" spans="1:19" x14ac:dyDescent="0.35">
      <c r="A2226">
        <v>27805</v>
      </c>
      <c r="B2226" t="str">
        <f>"027805"</f>
        <v>027805</v>
      </c>
      <c r="C2226" t="s">
        <v>7396</v>
      </c>
      <c r="D2226" t="s">
        <v>3394</v>
      </c>
      <c r="E2226" t="s">
        <v>3395</v>
      </c>
      <c r="F2226" t="s">
        <v>3396</v>
      </c>
      <c r="G2226" t="s">
        <v>71</v>
      </c>
      <c r="H2226" t="s">
        <v>7397</v>
      </c>
      <c r="I2226" t="s">
        <v>7398</v>
      </c>
      <c r="J2226" t="s">
        <v>74</v>
      </c>
      <c r="K2226" t="s">
        <v>55</v>
      </c>
      <c r="L2226" t="s">
        <v>75</v>
      </c>
      <c r="M2226" t="s">
        <v>57</v>
      </c>
      <c r="N2226" t="str">
        <f>"043778"</f>
        <v>043778</v>
      </c>
      <c r="O2226" t="s">
        <v>70</v>
      </c>
      <c r="P2226" t="s">
        <v>68</v>
      </c>
      <c r="Q2226">
        <v>100</v>
      </c>
      <c r="R2226">
        <v>8</v>
      </c>
      <c r="S2226" t="s">
        <v>77</v>
      </c>
    </row>
    <row r="2227" spans="1:19" x14ac:dyDescent="0.35">
      <c r="A2227">
        <v>27813</v>
      </c>
      <c r="B2227" t="str">
        <f>"027813"</f>
        <v>027813</v>
      </c>
      <c r="C2227" t="s">
        <v>7399</v>
      </c>
      <c r="D2227" t="s">
        <v>3394</v>
      </c>
      <c r="E2227" t="s">
        <v>3395</v>
      </c>
      <c r="F2227" t="s">
        <v>3396</v>
      </c>
      <c r="G2227" t="s">
        <v>600</v>
      </c>
      <c r="H2227" t="s">
        <v>7400</v>
      </c>
      <c r="I2227" t="s">
        <v>7401</v>
      </c>
      <c r="J2227" t="s">
        <v>1348</v>
      </c>
      <c r="K2227" t="s">
        <v>55</v>
      </c>
      <c r="L2227" t="s">
        <v>3462</v>
      </c>
      <c r="M2227" t="s">
        <v>57</v>
      </c>
      <c r="N2227" t="str">
        <f>"043802"</f>
        <v>043802</v>
      </c>
      <c r="O2227" t="s">
        <v>3171</v>
      </c>
      <c r="P2227" t="s">
        <v>68</v>
      </c>
      <c r="Q2227">
        <v>100</v>
      </c>
      <c r="R2227">
        <v>93.5</v>
      </c>
      <c r="S2227" t="s">
        <v>60</v>
      </c>
    </row>
    <row r="2228" spans="1:19" x14ac:dyDescent="0.35">
      <c r="A2228">
        <v>27821</v>
      </c>
      <c r="B2228" t="str">
        <f>"027821"</f>
        <v>027821</v>
      </c>
      <c r="C2228" t="s">
        <v>7402</v>
      </c>
      <c r="D2228" t="s">
        <v>3394</v>
      </c>
      <c r="E2228" t="s">
        <v>3395</v>
      </c>
      <c r="F2228" t="s">
        <v>3396</v>
      </c>
      <c r="G2228" t="s">
        <v>511</v>
      </c>
      <c r="H2228" t="s">
        <v>7403</v>
      </c>
      <c r="I2228" t="s">
        <v>7404</v>
      </c>
      <c r="J2228" t="s">
        <v>2044</v>
      </c>
      <c r="K2228" t="s">
        <v>55</v>
      </c>
      <c r="L2228" t="s">
        <v>2045</v>
      </c>
      <c r="M2228" t="s">
        <v>57</v>
      </c>
      <c r="N2228" t="str">
        <f>"047225"</f>
        <v>047225</v>
      </c>
      <c r="O2228" t="s">
        <v>2041</v>
      </c>
      <c r="P2228" t="s">
        <v>68</v>
      </c>
      <c r="Q2228">
        <v>10.5</v>
      </c>
      <c r="R2228">
        <v>7.7999999999999972</v>
      </c>
      <c r="S2228" t="s">
        <v>69</v>
      </c>
    </row>
    <row r="2229" spans="1:19" x14ac:dyDescent="0.35">
      <c r="A2229">
        <v>27839</v>
      </c>
      <c r="B2229" t="str">
        <f>"027839"</f>
        <v>027839</v>
      </c>
      <c r="C2229" t="s">
        <v>7405</v>
      </c>
      <c r="D2229" t="s">
        <v>3394</v>
      </c>
      <c r="E2229" t="s">
        <v>3395</v>
      </c>
      <c r="F2229" t="s">
        <v>3396</v>
      </c>
      <c r="G2229" t="s">
        <v>821</v>
      </c>
      <c r="H2229" t="s">
        <v>7406</v>
      </c>
      <c r="I2229" t="s">
        <v>7407</v>
      </c>
      <c r="J2229" t="s">
        <v>1427</v>
      </c>
      <c r="K2229" t="s">
        <v>55</v>
      </c>
      <c r="L2229" t="s">
        <v>1428</v>
      </c>
      <c r="M2229" t="s">
        <v>57</v>
      </c>
      <c r="N2229" t="str">
        <f>"043984"</f>
        <v>043984</v>
      </c>
      <c r="O2229" t="s">
        <v>1424</v>
      </c>
      <c r="P2229" t="s">
        <v>68</v>
      </c>
      <c r="Q2229">
        <v>55.2</v>
      </c>
      <c r="R2229">
        <v>30.5</v>
      </c>
      <c r="S2229" t="s">
        <v>156</v>
      </c>
    </row>
    <row r="2230" spans="1:19" x14ac:dyDescent="0.35">
      <c r="A2230">
        <v>27854</v>
      </c>
      <c r="B2230" t="str">
        <f>"027854"</f>
        <v>027854</v>
      </c>
      <c r="C2230" t="s">
        <v>7408</v>
      </c>
      <c r="D2230" t="s">
        <v>3398</v>
      </c>
      <c r="E2230" t="s">
        <v>3395</v>
      </c>
      <c r="F2230" t="s">
        <v>3396</v>
      </c>
      <c r="G2230" t="s">
        <v>219</v>
      </c>
      <c r="H2230" t="s">
        <v>7409</v>
      </c>
      <c r="I2230" t="s">
        <v>7410</v>
      </c>
      <c r="J2230" t="s">
        <v>1422</v>
      </c>
      <c r="K2230" t="s">
        <v>55</v>
      </c>
      <c r="L2230" t="s">
        <v>1423</v>
      </c>
      <c r="M2230" t="s">
        <v>57</v>
      </c>
      <c r="N2230" t="str">
        <f>"049635"</f>
        <v>049635</v>
      </c>
      <c r="O2230" t="s">
        <v>1419</v>
      </c>
      <c r="P2230" t="s">
        <v>68</v>
      </c>
      <c r="Q2230">
        <v>54.3</v>
      </c>
      <c r="R2230">
        <v>2.2000000000000028</v>
      </c>
      <c r="S2230" t="s">
        <v>130</v>
      </c>
    </row>
    <row r="2231" spans="1:19" x14ac:dyDescent="0.35">
      <c r="A2231">
        <v>27862</v>
      </c>
      <c r="B2231" t="str">
        <f>"027862"</f>
        <v>027862</v>
      </c>
      <c r="C2231" t="s">
        <v>7408</v>
      </c>
      <c r="D2231" t="s">
        <v>3398</v>
      </c>
      <c r="E2231" t="s">
        <v>3395</v>
      </c>
      <c r="F2231" t="s">
        <v>3396</v>
      </c>
      <c r="G2231" t="s">
        <v>117</v>
      </c>
      <c r="H2231" t="s">
        <v>7411</v>
      </c>
      <c r="I2231" t="s">
        <v>7412</v>
      </c>
      <c r="J2231" t="s">
        <v>1806</v>
      </c>
      <c r="K2231" t="s">
        <v>55</v>
      </c>
      <c r="L2231" t="s">
        <v>1807</v>
      </c>
      <c r="M2231" t="s">
        <v>57</v>
      </c>
      <c r="N2231" t="str">
        <f>"049908"</f>
        <v>049908</v>
      </c>
      <c r="O2231" t="s">
        <v>1419</v>
      </c>
      <c r="P2231" t="s">
        <v>68</v>
      </c>
      <c r="Q2231">
        <v>24.1</v>
      </c>
      <c r="R2231">
        <v>4.2000000000000028</v>
      </c>
      <c r="S2231" t="s">
        <v>77</v>
      </c>
    </row>
    <row r="2232" spans="1:19" x14ac:dyDescent="0.35">
      <c r="A2232">
        <v>27870</v>
      </c>
      <c r="B2232" t="str">
        <f>"027870"</f>
        <v>027870</v>
      </c>
      <c r="C2232" t="s">
        <v>7413</v>
      </c>
      <c r="D2232" t="s">
        <v>3394</v>
      </c>
      <c r="E2232" t="s">
        <v>3395</v>
      </c>
      <c r="F2232" t="s">
        <v>3396</v>
      </c>
      <c r="G2232" t="s">
        <v>777</v>
      </c>
      <c r="H2232" t="s">
        <v>1343</v>
      </c>
      <c r="I2232" t="s">
        <v>1344</v>
      </c>
      <c r="J2232" t="s">
        <v>780</v>
      </c>
      <c r="K2232" t="s">
        <v>55</v>
      </c>
      <c r="L2232" t="s">
        <v>781</v>
      </c>
      <c r="M2232" t="s">
        <v>57</v>
      </c>
      <c r="N2232" t="str">
        <f>"046268"</f>
        <v>046268</v>
      </c>
      <c r="O2232" t="s">
        <v>895</v>
      </c>
      <c r="P2232" t="s">
        <v>68</v>
      </c>
      <c r="Q2232">
        <v>37.799999999999997</v>
      </c>
      <c r="R2232">
        <v>9.5</v>
      </c>
      <c r="S2232" t="s">
        <v>180</v>
      </c>
    </row>
    <row r="2233" spans="1:19" x14ac:dyDescent="0.35">
      <c r="A2233">
        <v>27888</v>
      </c>
      <c r="B2233" t="str">
        <f>"027888"</f>
        <v>027888</v>
      </c>
      <c r="C2233" t="s">
        <v>7414</v>
      </c>
      <c r="D2233" t="s">
        <v>3398</v>
      </c>
      <c r="E2233" t="s">
        <v>3395</v>
      </c>
      <c r="F2233" t="s">
        <v>3396</v>
      </c>
      <c r="G2233" t="s">
        <v>187</v>
      </c>
      <c r="H2233" t="s">
        <v>7415</v>
      </c>
      <c r="I2233" t="s">
        <v>7416</v>
      </c>
      <c r="J2233" t="s">
        <v>898</v>
      </c>
      <c r="K2233" t="s">
        <v>55</v>
      </c>
      <c r="L2233" t="s">
        <v>899</v>
      </c>
      <c r="M2233" t="s">
        <v>57</v>
      </c>
      <c r="N2233" t="str">
        <f>"050575"</f>
        <v>050575</v>
      </c>
      <c r="O2233" t="s">
        <v>895</v>
      </c>
      <c r="P2233" t="s">
        <v>68</v>
      </c>
      <c r="Q2233">
        <v>34.4</v>
      </c>
      <c r="R2233">
        <v>3.5</v>
      </c>
      <c r="S2233" t="s">
        <v>77</v>
      </c>
    </row>
    <row r="2234" spans="1:19" x14ac:dyDescent="0.35">
      <c r="A2234">
        <v>27888</v>
      </c>
      <c r="B2234" t="str">
        <f>"027888"</f>
        <v>027888</v>
      </c>
      <c r="C2234" t="s">
        <v>7414</v>
      </c>
      <c r="D2234" t="s">
        <v>3929</v>
      </c>
      <c r="E2234" t="s">
        <v>3395</v>
      </c>
      <c r="F2234" t="s">
        <v>3396</v>
      </c>
      <c r="G2234" t="s">
        <v>187</v>
      </c>
      <c r="H2234" t="s">
        <v>7415</v>
      </c>
      <c r="I2234" t="s">
        <v>7416</v>
      </c>
      <c r="J2234" t="s">
        <v>898</v>
      </c>
      <c r="K2234" t="s">
        <v>55</v>
      </c>
      <c r="L2234" t="s">
        <v>899</v>
      </c>
      <c r="M2234" t="s">
        <v>57</v>
      </c>
      <c r="N2234" t="str">
        <f>"050575"</f>
        <v>050575</v>
      </c>
      <c r="O2234" t="s">
        <v>895</v>
      </c>
      <c r="P2234" t="s">
        <v>68</v>
      </c>
      <c r="Q2234">
        <v>34.4</v>
      </c>
      <c r="R2234">
        <v>3.5</v>
      </c>
      <c r="S2234" t="s">
        <v>77</v>
      </c>
    </row>
    <row r="2235" spans="1:19" x14ac:dyDescent="0.35">
      <c r="A2235">
        <v>27896</v>
      </c>
      <c r="B2235" t="str">
        <f>"027896"</f>
        <v>027896</v>
      </c>
      <c r="C2235" t="s">
        <v>7417</v>
      </c>
      <c r="D2235" t="s">
        <v>3398</v>
      </c>
      <c r="E2235" t="s">
        <v>3395</v>
      </c>
      <c r="F2235" t="s">
        <v>3396</v>
      </c>
      <c r="G2235" t="s">
        <v>777</v>
      </c>
      <c r="H2235" t="s">
        <v>7418</v>
      </c>
      <c r="I2235" t="s">
        <v>7419</v>
      </c>
      <c r="J2235" t="s">
        <v>780</v>
      </c>
      <c r="K2235" t="s">
        <v>55</v>
      </c>
      <c r="L2235" t="s">
        <v>781</v>
      </c>
      <c r="M2235" t="s">
        <v>57</v>
      </c>
      <c r="N2235" t="str">
        <f>"046268"</f>
        <v>046268</v>
      </c>
      <c r="O2235" t="s">
        <v>895</v>
      </c>
      <c r="P2235" t="s">
        <v>68</v>
      </c>
      <c r="Q2235">
        <v>31.7</v>
      </c>
      <c r="R2235">
        <v>8.4000000000000057</v>
      </c>
      <c r="S2235" t="s">
        <v>180</v>
      </c>
    </row>
    <row r="2236" spans="1:19" x14ac:dyDescent="0.35">
      <c r="A2236">
        <v>27946</v>
      </c>
      <c r="B2236" t="str">
        <f>"027946"</f>
        <v>027946</v>
      </c>
      <c r="C2236" t="s">
        <v>7420</v>
      </c>
      <c r="D2236" t="s">
        <v>3394</v>
      </c>
      <c r="E2236" t="s">
        <v>3395</v>
      </c>
      <c r="F2236" t="s">
        <v>3396</v>
      </c>
      <c r="G2236" t="s">
        <v>200</v>
      </c>
      <c r="H2236" t="s">
        <v>7421</v>
      </c>
      <c r="I2236" t="s">
        <v>7422</v>
      </c>
      <c r="J2236" t="s">
        <v>304</v>
      </c>
      <c r="K2236" t="s">
        <v>55</v>
      </c>
      <c r="L2236" t="s">
        <v>6329</v>
      </c>
      <c r="M2236" t="s">
        <v>57</v>
      </c>
      <c r="N2236" t="str">
        <f>"048231"</f>
        <v>048231</v>
      </c>
      <c r="O2236" t="s">
        <v>1553</v>
      </c>
      <c r="P2236" t="s">
        <v>68</v>
      </c>
      <c r="Q2236">
        <v>71.5</v>
      </c>
      <c r="R2236">
        <v>52.4</v>
      </c>
      <c r="S2236" t="s">
        <v>156</v>
      </c>
    </row>
    <row r="2237" spans="1:19" x14ac:dyDescent="0.35">
      <c r="A2237">
        <v>27953</v>
      </c>
      <c r="B2237" t="str">
        <f>"027953"</f>
        <v>027953</v>
      </c>
      <c r="C2237" t="s">
        <v>7423</v>
      </c>
      <c r="D2237" t="s">
        <v>3394</v>
      </c>
      <c r="E2237" t="s">
        <v>3395</v>
      </c>
      <c r="F2237" t="s">
        <v>3396</v>
      </c>
      <c r="G2237" t="s">
        <v>226</v>
      </c>
      <c r="H2237" t="s">
        <v>7424</v>
      </c>
      <c r="I2237" t="s">
        <v>7425</v>
      </c>
      <c r="J2237" t="s">
        <v>618</v>
      </c>
      <c r="K2237" t="s">
        <v>55</v>
      </c>
      <c r="L2237" t="s">
        <v>619</v>
      </c>
      <c r="M2237" t="s">
        <v>57</v>
      </c>
      <c r="N2237" t="str">
        <f>"050716"</f>
        <v>050716</v>
      </c>
      <c r="O2237" t="s">
        <v>615</v>
      </c>
      <c r="P2237" t="s">
        <v>68</v>
      </c>
      <c r="Q2237">
        <v>44.1</v>
      </c>
      <c r="R2237">
        <v>27</v>
      </c>
      <c r="S2237" t="s">
        <v>156</v>
      </c>
    </row>
    <row r="2238" spans="1:19" x14ac:dyDescent="0.35">
      <c r="A2238">
        <v>27961</v>
      </c>
      <c r="B2238" t="str">
        <f>"027961"</f>
        <v>027961</v>
      </c>
      <c r="C2238" t="s">
        <v>7426</v>
      </c>
      <c r="D2238" t="s">
        <v>3398</v>
      </c>
      <c r="E2238" t="s">
        <v>3395</v>
      </c>
      <c r="F2238" t="s">
        <v>3396</v>
      </c>
      <c r="G2238" t="s">
        <v>226</v>
      </c>
      <c r="H2238" t="s">
        <v>7424</v>
      </c>
      <c r="I2238" t="s">
        <v>7425</v>
      </c>
      <c r="J2238" t="s">
        <v>618</v>
      </c>
      <c r="K2238" t="s">
        <v>55</v>
      </c>
      <c r="L2238" t="s">
        <v>619</v>
      </c>
      <c r="M2238" t="s">
        <v>57</v>
      </c>
      <c r="N2238" t="str">
        <f>"050716"</f>
        <v>050716</v>
      </c>
      <c r="O2238" t="s">
        <v>615</v>
      </c>
      <c r="P2238" t="s">
        <v>68</v>
      </c>
      <c r="Q2238">
        <v>38.1</v>
      </c>
      <c r="R2238">
        <v>23.299999999999997</v>
      </c>
      <c r="S2238" t="s">
        <v>156</v>
      </c>
    </row>
    <row r="2239" spans="1:19" x14ac:dyDescent="0.35">
      <c r="A2239">
        <v>27979</v>
      </c>
      <c r="B2239" t="str">
        <f>"027979"</f>
        <v>027979</v>
      </c>
      <c r="C2239" t="s">
        <v>7427</v>
      </c>
      <c r="D2239" t="s">
        <v>3400</v>
      </c>
      <c r="E2239" t="s">
        <v>3395</v>
      </c>
      <c r="F2239" t="s">
        <v>3396</v>
      </c>
      <c r="G2239" t="s">
        <v>143</v>
      </c>
      <c r="H2239" t="s">
        <v>7428</v>
      </c>
      <c r="I2239" t="s">
        <v>7429</v>
      </c>
      <c r="J2239" t="s">
        <v>528</v>
      </c>
      <c r="K2239" t="s">
        <v>55</v>
      </c>
      <c r="L2239" t="s">
        <v>529</v>
      </c>
      <c r="M2239" t="s">
        <v>57</v>
      </c>
      <c r="N2239" t="str">
        <f>"043943"</f>
        <v>043943</v>
      </c>
      <c r="O2239" t="s">
        <v>525</v>
      </c>
      <c r="P2239" t="s">
        <v>68</v>
      </c>
      <c r="Q2239">
        <v>66.2</v>
      </c>
      <c r="R2239">
        <v>46.3</v>
      </c>
      <c r="S2239" t="s">
        <v>69</v>
      </c>
    </row>
    <row r="2240" spans="1:19" x14ac:dyDescent="0.35">
      <c r="A2240">
        <v>27995</v>
      </c>
      <c r="B2240" t="str">
        <f>"027995"</f>
        <v>027995</v>
      </c>
      <c r="C2240" t="s">
        <v>7430</v>
      </c>
      <c r="D2240" t="s">
        <v>3398</v>
      </c>
      <c r="E2240" t="s">
        <v>3395</v>
      </c>
      <c r="F2240" t="s">
        <v>3396</v>
      </c>
      <c r="G2240" t="s">
        <v>264</v>
      </c>
      <c r="H2240" t="s">
        <v>7431</v>
      </c>
      <c r="I2240" t="s">
        <v>7432</v>
      </c>
      <c r="J2240" t="s">
        <v>3317</v>
      </c>
      <c r="K2240" t="s">
        <v>55</v>
      </c>
      <c r="L2240" t="s">
        <v>2559</v>
      </c>
      <c r="M2240" t="s">
        <v>57</v>
      </c>
      <c r="N2240" t="str">
        <f>"044552"</f>
        <v>044552</v>
      </c>
      <c r="O2240" t="s">
        <v>3314</v>
      </c>
      <c r="P2240" t="s">
        <v>68</v>
      </c>
      <c r="Q2240">
        <v>29.8</v>
      </c>
      <c r="R2240">
        <v>7.5</v>
      </c>
      <c r="S2240" t="s">
        <v>77</v>
      </c>
    </row>
    <row r="2241" spans="1:19" x14ac:dyDescent="0.35">
      <c r="A2241">
        <v>28001</v>
      </c>
      <c r="B2241" t="str">
        <f>"028001"</f>
        <v>028001</v>
      </c>
      <c r="C2241" t="s">
        <v>7433</v>
      </c>
      <c r="D2241" t="s">
        <v>3394</v>
      </c>
      <c r="E2241" t="s">
        <v>3395</v>
      </c>
      <c r="F2241" t="s">
        <v>3396</v>
      </c>
      <c r="G2241" t="s">
        <v>264</v>
      </c>
      <c r="H2241" t="s">
        <v>7434</v>
      </c>
      <c r="I2241" t="s">
        <v>7435</v>
      </c>
      <c r="J2241" t="s">
        <v>3317</v>
      </c>
      <c r="K2241" t="s">
        <v>55</v>
      </c>
      <c r="L2241" t="s">
        <v>2559</v>
      </c>
      <c r="M2241" t="s">
        <v>57</v>
      </c>
      <c r="N2241" t="str">
        <f>"044552"</f>
        <v>044552</v>
      </c>
      <c r="O2241" t="s">
        <v>3314</v>
      </c>
      <c r="P2241" t="s">
        <v>68</v>
      </c>
      <c r="Q2241">
        <v>40.9</v>
      </c>
      <c r="R2241">
        <v>9</v>
      </c>
      <c r="S2241" t="s">
        <v>77</v>
      </c>
    </row>
    <row r="2242" spans="1:19" x14ac:dyDescent="0.35">
      <c r="A2242">
        <v>28027</v>
      </c>
      <c r="B2242" t="str">
        <f>"028027"</f>
        <v>028027</v>
      </c>
      <c r="C2242" t="s">
        <v>7436</v>
      </c>
      <c r="D2242" t="s">
        <v>3400</v>
      </c>
      <c r="E2242" t="s">
        <v>3395</v>
      </c>
      <c r="F2242" t="s">
        <v>3396</v>
      </c>
      <c r="G2242" t="s">
        <v>264</v>
      </c>
      <c r="H2242" t="s">
        <v>7437</v>
      </c>
      <c r="I2242" t="s">
        <v>7438</v>
      </c>
      <c r="J2242" t="s">
        <v>3317</v>
      </c>
      <c r="K2242" t="s">
        <v>55</v>
      </c>
      <c r="L2242" t="s">
        <v>2559</v>
      </c>
      <c r="M2242" t="s">
        <v>57</v>
      </c>
      <c r="N2242" t="str">
        <f>"044552"</f>
        <v>044552</v>
      </c>
      <c r="O2242" t="s">
        <v>3314</v>
      </c>
      <c r="P2242" t="s">
        <v>68</v>
      </c>
      <c r="Q2242">
        <v>39.1</v>
      </c>
      <c r="R2242">
        <v>8.7999999999999972</v>
      </c>
      <c r="S2242" t="s">
        <v>77</v>
      </c>
    </row>
    <row r="2243" spans="1:19" x14ac:dyDescent="0.35">
      <c r="A2243">
        <v>28035</v>
      </c>
      <c r="B2243" t="str">
        <f>"028035"</f>
        <v>028035</v>
      </c>
      <c r="C2243" t="s">
        <v>7439</v>
      </c>
      <c r="D2243" t="s">
        <v>3394</v>
      </c>
      <c r="E2243" t="s">
        <v>3395</v>
      </c>
      <c r="F2243" t="s">
        <v>3396</v>
      </c>
      <c r="G2243" t="s">
        <v>264</v>
      </c>
      <c r="H2243" t="s">
        <v>7440</v>
      </c>
      <c r="I2243" t="s">
        <v>7441</v>
      </c>
      <c r="J2243" t="s">
        <v>3317</v>
      </c>
      <c r="K2243" t="s">
        <v>55</v>
      </c>
      <c r="L2243" t="s">
        <v>2559</v>
      </c>
      <c r="M2243" t="s">
        <v>57</v>
      </c>
      <c r="N2243" t="str">
        <f>"044552"</f>
        <v>044552</v>
      </c>
      <c r="O2243" t="s">
        <v>3314</v>
      </c>
      <c r="P2243" t="s">
        <v>68</v>
      </c>
      <c r="Q2243">
        <v>46.1</v>
      </c>
      <c r="R2243">
        <v>7.4000000000000057</v>
      </c>
      <c r="S2243" t="s">
        <v>77</v>
      </c>
    </row>
    <row r="2244" spans="1:19" x14ac:dyDescent="0.35">
      <c r="A2244">
        <v>28050</v>
      </c>
      <c r="B2244" t="str">
        <f>"028050"</f>
        <v>028050</v>
      </c>
      <c r="C2244" t="s">
        <v>7442</v>
      </c>
      <c r="D2244" t="s">
        <v>3400</v>
      </c>
      <c r="E2244" t="s">
        <v>3395</v>
      </c>
      <c r="F2244" t="s">
        <v>3396</v>
      </c>
      <c r="G2244" t="s">
        <v>79</v>
      </c>
      <c r="H2244" t="s">
        <v>7443</v>
      </c>
      <c r="I2244" t="s">
        <v>7444</v>
      </c>
      <c r="J2244" t="s">
        <v>1802</v>
      </c>
      <c r="K2244" t="s">
        <v>55</v>
      </c>
      <c r="L2244" t="s">
        <v>1803</v>
      </c>
      <c r="M2244" t="s">
        <v>57</v>
      </c>
      <c r="N2244" t="str">
        <f>"044560"</f>
        <v>044560</v>
      </c>
      <c r="O2244" t="s">
        <v>1799</v>
      </c>
      <c r="P2244" t="s">
        <v>68</v>
      </c>
      <c r="Q2244">
        <v>44.7</v>
      </c>
      <c r="R2244">
        <v>22.700000000000003</v>
      </c>
      <c r="S2244" t="s">
        <v>69</v>
      </c>
    </row>
    <row r="2245" spans="1:19" x14ac:dyDescent="0.35">
      <c r="A2245">
        <v>28068</v>
      </c>
      <c r="B2245" t="str">
        <f>"028068"</f>
        <v>028068</v>
      </c>
      <c r="C2245" t="s">
        <v>7445</v>
      </c>
      <c r="D2245" t="s">
        <v>3398</v>
      </c>
      <c r="E2245" t="s">
        <v>3395</v>
      </c>
      <c r="F2245" t="s">
        <v>3396</v>
      </c>
      <c r="G2245" t="s">
        <v>79</v>
      </c>
      <c r="H2245" t="s">
        <v>7446</v>
      </c>
      <c r="I2245" t="s">
        <v>7447</v>
      </c>
      <c r="J2245" t="s">
        <v>1802</v>
      </c>
      <c r="K2245" t="s">
        <v>55</v>
      </c>
      <c r="L2245" t="s">
        <v>1803</v>
      </c>
      <c r="M2245" t="s">
        <v>57</v>
      </c>
      <c r="N2245" t="str">
        <f>"044560"</f>
        <v>044560</v>
      </c>
      <c r="O2245" t="s">
        <v>1799</v>
      </c>
      <c r="P2245" t="s">
        <v>68</v>
      </c>
      <c r="Q2245">
        <v>37.1</v>
      </c>
      <c r="R2245">
        <v>22.599999999999994</v>
      </c>
      <c r="S2245" t="s">
        <v>69</v>
      </c>
    </row>
    <row r="2246" spans="1:19" x14ac:dyDescent="0.35">
      <c r="A2246">
        <v>28076</v>
      </c>
      <c r="B2246" t="str">
        <f>"028076"</f>
        <v>028076</v>
      </c>
      <c r="C2246" t="s">
        <v>7448</v>
      </c>
      <c r="D2246" t="s">
        <v>3398</v>
      </c>
      <c r="E2246" t="s">
        <v>3395</v>
      </c>
      <c r="F2246" t="s">
        <v>3396</v>
      </c>
      <c r="G2246" t="s">
        <v>187</v>
      </c>
      <c r="H2246" t="s">
        <v>3212</v>
      </c>
      <c r="I2246" t="s">
        <v>3213</v>
      </c>
      <c r="J2246" t="s">
        <v>3214</v>
      </c>
      <c r="K2246" t="s">
        <v>55</v>
      </c>
      <c r="L2246" t="s">
        <v>3215</v>
      </c>
      <c r="M2246" t="s">
        <v>57</v>
      </c>
      <c r="N2246" t="str">
        <f>"050567"</f>
        <v>050567</v>
      </c>
      <c r="O2246" t="s">
        <v>3211</v>
      </c>
      <c r="P2246" t="s">
        <v>68</v>
      </c>
      <c r="Q2246">
        <v>20.5</v>
      </c>
      <c r="R2246">
        <v>5.2999999999999972</v>
      </c>
      <c r="S2246" t="s">
        <v>77</v>
      </c>
    </row>
    <row r="2247" spans="1:19" x14ac:dyDescent="0.35">
      <c r="A2247">
        <v>28100</v>
      </c>
      <c r="B2247" t="str">
        <f>"028100"</f>
        <v>028100</v>
      </c>
      <c r="C2247" t="s">
        <v>7449</v>
      </c>
      <c r="D2247" t="s">
        <v>3398</v>
      </c>
      <c r="E2247" t="s">
        <v>3395</v>
      </c>
      <c r="F2247" t="s">
        <v>3396</v>
      </c>
      <c r="G2247" t="s">
        <v>212</v>
      </c>
      <c r="H2247" t="s">
        <v>7450</v>
      </c>
      <c r="I2247" t="s">
        <v>7451</v>
      </c>
      <c r="J2247" t="s">
        <v>2325</v>
      </c>
      <c r="K2247" t="s">
        <v>55</v>
      </c>
      <c r="L2247" t="s">
        <v>2326</v>
      </c>
      <c r="M2247" t="s">
        <v>57</v>
      </c>
      <c r="N2247" t="str">
        <f>"044578"</f>
        <v>044578</v>
      </c>
      <c r="O2247" t="s">
        <v>2322</v>
      </c>
      <c r="P2247" t="s">
        <v>68</v>
      </c>
      <c r="Q2247">
        <v>98.6</v>
      </c>
      <c r="R2247">
        <v>36.6</v>
      </c>
      <c r="S2247" t="s">
        <v>217</v>
      </c>
    </row>
    <row r="2248" spans="1:19" x14ac:dyDescent="0.35">
      <c r="A2248">
        <v>28118</v>
      </c>
      <c r="B2248" t="str">
        <f>"028118"</f>
        <v>028118</v>
      </c>
      <c r="C2248" t="s">
        <v>7452</v>
      </c>
      <c r="D2248" t="s">
        <v>3394</v>
      </c>
      <c r="E2248" t="s">
        <v>3395</v>
      </c>
      <c r="F2248" t="s">
        <v>3396</v>
      </c>
      <c r="G2248" t="s">
        <v>212</v>
      </c>
      <c r="H2248" t="s">
        <v>7453</v>
      </c>
      <c r="I2248" t="s">
        <v>7454</v>
      </c>
      <c r="J2248" t="s">
        <v>2325</v>
      </c>
      <c r="K2248" t="s">
        <v>55</v>
      </c>
      <c r="L2248" t="s">
        <v>2326</v>
      </c>
      <c r="M2248" t="s">
        <v>57</v>
      </c>
      <c r="N2248" t="str">
        <f>"044578"</f>
        <v>044578</v>
      </c>
      <c r="O2248" t="s">
        <v>2322</v>
      </c>
      <c r="P2248" t="s">
        <v>68</v>
      </c>
      <c r="Q2248">
        <v>97.5</v>
      </c>
      <c r="R2248">
        <v>37.799999999999997</v>
      </c>
      <c r="S2248" t="s">
        <v>217</v>
      </c>
    </row>
    <row r="2249" spans="1:19" x14ac:dyDescent="0.35">
      <c r="A2249">
        <v>28134</v>
      </c>
      <c r="B2249" t="str">
        <f>"028134"</f>
        <v>028134</v>
      </c>
      <c r="C2249" t="s">
        <v>7455</v>
      </c>
      <c r="D2249" t="s">
        <v>3400</v>
      </c>
      <c r="E2249" t="s">
        <v>3395</v>
      </c>
      <c r="F2249" t="s">
        <v>3396</v>
      </c>
      <c r="G2249" t="s">
        <v>117</v>
      </c>
      <c r="H2249" t="s">
        <v>7456</v>
      </c>
      <c r="I2249" t="s">
        <v>7457</v>
      </c>
      <c r="J2249" t="s">
        <v>1806</v>
      </c>
      <c r="K2249" t="s">
        <v>55</v>
      </c>
      <c r="L2249" t="s">
        <v>1807</v>
      </c>
      <c r="M2249" t="s">
        <v>57</v>
      </c>
      <c r="N2249" t="str">
        <f>"049908"</f>
        <v>049908</v>
      </c>
      <c r="O2249" t="s">
        <v>1419</v>
      </c>
      <c r="P2249" t="s">
        <v>68</v>
      </c>
      <c r="Q2249">
        <v>28.9</v>
      </c>
      <c r="R2249">
        <v>6.5</v>
      </c>
      <c r="S2249" t="s">
        <v>77</v>
      </c>
    </row>
    <row r="2250" spans="1:19" x14ac:dyDescent="0.35">
      <c r="A2250">
        <v>28159</v>
      </c>
      <c r="B2250" t="str">
        <f>"028159"</f>
        <v>028159</v>
      </c>
      <c r="C2250" t="s">
        <v>7458</v>
      </c>
      <c r="D2250" t="s">
        <v>3394</v>
      </c>
      <c r="E2250" t="s">
        <v>3395</v>
      </c>
      <c r="F2250" t="s">
        <v>3396</v>
      </c>
      <c r="G2250" t="s">
        <v>219</v>
      </c>
      <c r="H2250" t="s">
        <v>947</v>
      </c>
      <c r="I2250" t="s">
        <v>948</v>
      </c>
      <c r="J2250" t="s">
        <v>949</v>
      </c>
      <c r="K2250" t="s">
        <v>55</v>
      </c>
      <c r="L2250" t="s">
        <v>223</v>
      </c>
      <c r="M2250" t="s">
        <v>57</v>
      </c>
      <c r="N2250" t="str">
        <f>"044461"</f>
        <v>044461</v>
      </c>
      <c r="O2250" t="s">
        <v>946</v>
      </c>
      <c r="P2250" t="s">
        <v>68</v>
      </c>
      <c r="Q2250">
        <v>100</v>
      </c>
      <c r="R2250">
        <v>7.4000000000000057</v>
      </c>
      <c r="S2250" t="s">
        <v>130</v>
      </c>
    </row>
    <row r="2251" spans="1:19" x14ac:dyDescent="0.35">
      <c r="A2251">
        <v>28183</v>
      </c>
      <c r="B2251" t="str">
        <f>"028183"</f>
        <v>028183</v>
      </c>
      <c r="C2251" t="s">
        <v>7459</v>
      </c>
      <c r="D2251" t="s">
        <v>3398</v>
      </c>
      <c r="E2251" t="s">
        <v>3395</v>
      </c>
      <c r="F2251" t="s">
        <v>3396</v>
      </c>
      <c r="G2251" t="s">
        <v>257</v>
      </c>
      <c r="H2251" t="s">
        <v>7460</v>
      </c>
      <c r="I2251" t="s">
        <v>7461</v>
      </c>
      <c r="J2251" t="s">
        <v>2531</v>
      </c>
      <c r="K2251" t="s">
        <v>55</v>
      </c>
      <c r="L2251" t="s">
        <v>2532</v>
      </c>
      <c r="M2251" t="s">
        <v>57</v>
      </c>
      <c r="N2251" t="str">
        <f>"048926"</f>
        <v>048926</v>
      </c>
      <c r="O2251" t="s">
        <v>2528</v>
      </c>
      <c r="P2251" t="s">
        <v>68</v>
      </c>
      <c r="Q2251">
        <v>28.2</v>
      </c>
      <c r="R2251">
        <v>8.5</v>
      </c>
      <c r="S2251" t="s">
        <v>156</v>
      </c>
    </row>
    <row r="2252" spans="1:19" x14ac:dyDescent="0.35">
      <c r="A2252">
        <v>28217</v>
      </c>
      <c r="B2252" t="str">
        <f>"028217"</f>
        <v>028217</v>
      </c>
      <c r="C2252" t="s">
        <v>7462</v>
      </c>
      <c r="D2252" t="s">
        <v>3398</v>
      </c>
      <c r="E2252" t="s">
        <v>3395</v>
      </c>
      <c r="F2252" t="s">
        <v>3396</v>
      </c>
      <c r="G2252" t="s">
        <v>212</v>
      </c>
      <c r="H2252" t="s">
        <v>7463</v>
      </c>
      <c r="I2252" t="s">
        <v>7464</v>
      </c>
      <c r="J2252" t="s">
        <v>215</v>
      </c>
      <c r="K2252" t="s">
        <v>55</v>
      </c>
      <c r="L2252" t="s">
        <v>4346</v>
      </c>
      <c r="M2252" t="s">
        <v>57</v>
      </c>
      <c r="N2252" t="str">
        <f>"047373"</f>
        <v>047373</v>
      </c>
      <c r="O2252" t="s">
        <v>1509</v>
      </c>
      <c r="P2252" t="s">
        <v>68</v>
      </c>
      <c r="Q2252">
        <v>19.7</v>
      </c>
      <c r="R2252">
        <v>17.900000000000006</v>
      </c>
      <c r="S2252" t="s">
        <v>217</v>
      </c>
    </row>
    <row r="2253" spans="1:19" x14ac:dyDescent="0.35">
      <c r="A2253">
        <v>28258</v>
      </c>
      <c r="B2253" t="str">
        <f>"028258"</f>
        <v>028258</v>
      </c>
      <c r="C2253" t="s">
        <v>7465</v>
      </c>
      <c r="D2253" t="s">
        <v>3394</v>
      </c>
      <c r="E2253" t="s">
        <v>3395</v>
      </c>
      <c r="F2253" t="s">
        <v>3396</v>
      </c>
      <c r="G2253" t="s">
        <v>200</v>
      </c>
      <c r="H2253" t="s">
        <v>7466</v>
      </c>
      <c r="I2253" t="s">
        <v>7467</v>
      </c>
      <c r="J2253" t="s">
        <v>304</v>
      </c>
      <c r="K2253" t="s">
        <v>55</v>
      </c>
      <c r="L2253" t="s">
        <v>3858</v>
      </c>
      <c r="M2253" t="s">
        <v>57</v>
      </c>
      <c r="N2253" t="str">
        <f>"044909"</f>
        <v>044909</v>
      </c>
      <c r="O2253" t="s">
        <v>3318</v>
      </c>
      <c r="P2253" t="s">
        <v>68</v>
      </c>
      <c r="Q2253">
        <v>94.1</v>
      </c>
      <c r="R2253">
        <v>55.2</v>
      </c>
      <c r="S2253" t="s">
        <v>156</v>
      </c>
    </row>
    <row r="2254" spans="1:19" x14ac:dyDescent="0.35">
      <c r="A2254">
        <v>28290</v>
      </c>
      <c r="B2254" t="str">
        <f>"028290"</f>
        <v>028290</v>
      </c>
      <c r="C2254" t="s">
        <v>7468</v>
      </c>
      <c r="D2254" t="s">
        <v>3394</v>
      </c>
      <c r="E2254" t="s">
        <v>3395</v>
      </c>
      <c r="F2254" t="s">
        <v>3396</v>
      </c>
      <c r="G2254" t="s">
        <v>600</v>
      </c>
      <c r="H2254" t="s">
        <v>7469</v>
      </c>
      <c r="I2254" t="s">
        <v>7470</v>
      </c>
      <c r="J2254" t="s">
        <v>1348</v>
      </c>
      <c r="K2254" t="s">
        <v>55</v>
      </c>
      <c r="L2254" t="s">
        <v>3736</v>
      </c>
      <c r="M2254" t="s">
        <v>57</v>
      </c>
      <c r="N2254" t="str">
        <f>"043802"</f>
        <v>043802</v>
      </c>
      <c r="O2254" t="s">
        <v>3171</v>
      </c>
      <c r="P2254" t="s">
        <v>68</v>
      </c>
      <c r="Q2254">
        <v>100</v>
      </c>
      <c r="R2254">
        <v>72.7</v>
      </c>
      <c r="S2254" t="s">
        <v>60</v>
      </c>
    </row>
    <row r="2255" spans="1:19" x14ac:dyDescent="0.35">
      <c r="A2255">
        <v>28316</v>
      </c>
      <c r="B2255" t="str">
        <f>"028316"</f>
        <v>028316</v>
      </c>
      <c r="C2255" t="s">
        <v>7471</v>
      </c>
      <c r="D2255" t="s">
        <v>3394</v>
      </c>
      <c r="E2255" t="s">
        <v>3395</v>
      </c>
      <c r="F2255" t="s">
        <v>3396</v>
      </c>
      <c r="G2255" t="s">
        <v>600</v>
      </c>
      <c r="H2255" t="s">
        <v>7472</v>
      </c>
      <c r="I2255" t="s">
        <v>7473</v>
      </c>
      <c r="J2255" t="s">
        <v>1348</v>
      </c>
      <c r="K2255" t="s">
        <v>55</v>
      </c>
      <c r="L2255" t="s">
        <v>3568</v>
      </c>
      <c r="M2255" t="s">
        <v>57</v>
      </c>
      <c r="N2255" t="str">
        <f>"043802"</f>
        <v>043802</v>
      </c>
      <c r="O2255" t="s">
        <v>3171</v>
      </c>
      <c r="P2255" t="s">
        <v>68</v>
      </c>
      <c r="Q2255">
        <v>100</v>
      </c>
      <c r="R2255">
        <v>96.5</v>
      </c>
      <c r="S2255" t="s">
        <v>60</v>
      </c>
    </row>
    <row r="2256" spans="1:19" x14ac:dyDescent="0.35">
      <c r="A2256">
        <v>28324</v>
      </c>
      <c r="B2256" t="str">
        <f>"028324"</f>
        <v>028324</v>
      </c>
      <c r="C2256" t="s">
        <v>7474</v>
      </c>
      <c r="D2256" t="s">
        <v>3394</v>
      </c>
      <c r="E2256" t="s">
        <v>3395</v>
      </c>
      <c r="F2256" t="s">
        <v>3396</v>
      </c>
      <c r="G2256" t="s">
        <v>543</v>
      </c>
      <c r="H2256" t="s">
        <v>7475</v>
      </c>
      <c r="I2256" t="s">
        <v>7476</v>
      </c>
      <c r="J2256" t="s">
        <v>1961</v>
      </c>
      <c r="K2256" t="s">
        <v>55</v>
      </c>
      <c r="L2256" t="s">
        <v>1962</v>
      </c>
      <c r="M2256" t="s">
        <v>57</v>
      </c>
      <c r="N2256" t="str">
        <f>"044180"</f>
        <v>044180</v>
      </c>
      <c r="O2256" t="s">
        <v>1963</v>
      </c>
      <c r="P2256" t="s">
        <v>68</v>
      </c>
      <c r="Q2256">
        <v>36.200000000000003</v>
      </c>
      <c r="R2256">
        <v>22.5</v>
      </c>
      <c r="S2256" t="s">
        <v>180</v>
      </c>
    </row>
    <row r="2257" spans="1:19" x14ac:dyDescent="0.35">
      <c r="A2257">
        <v>28365</v>
      </c>
      <c r="B2257" t="str">
        <f>"028365"</f>
        <v>028365</v>
      </c>
      <c r="C2257" t="s">
        <v>7477</v>
      </c>
      <c r="D2257" t="s">
        <v>3398</v>
      </c>
      <c r="E2257" t="s">
        <v>3395</v>
      </c>
      <c r="F2257" t="s">
        <v>3396</v>
      </c>
      <c r="G2257" t="s">
        <v>117</v>
      </c>
      <c r="H2257" t="s">
        <v>7478</v>
      </c>
      <c r="I2257" t="s">
        <v>7479</v>
      </c>
      <c r="J2257" t="s">
        <v>1409</v>
      </c>
      <c r="K2257" t="s">
        <v>55</v>
      </c>
      <c r="L2257" t="s">
        <v>4339</v>
      </c>
      <c r="M2257" t="s">
        <v>57</v>
      </c>
      <c r="N2257" t="str">
        <f>"049932"</f>
        <v>049932</v>
      </c>
      <c r="O2257" t="s">
        <v>1406</v>
      </c>
      <c r="P2257" t="s">
        <v>68</v>
      </c>
      <c r="Q2257">
        <v>39.1</v>
      </c>
      <c r="R2257">
        <v>29.099999999999994</v>
      </c>
      <c r="S2257" t="s">
        <v>77</v>
      </c>
    </row>
    <row r="2258" spans="1:19" x14ac:dyDescent="0.35">
      <c r="A2258">
        <v>28373</v>
      </c>
      <c r="B2258" t="str">
        <f>"028373"</f>
        <v>028373</v>
      </c>
      <c r="C2258" t="s">
        <v>7480</v>
      </c>
      <c r="D2258" t="s">
        <v>3398</v>
      </c>
      <c r="E2258" t="s">
        <v>3395</v>
      </c>
      <c r="F2258" t="s">
        <v>3396</v>
      </c>
      <c r="G2258" t="s">
        <v>543</v>
      </c>
      <c r="H2258" t="s">
        <v>7481</v>
      </c>
      <c r="I2258" t="s">
        <v>7482</v>
      </c>
      <c r="J2258" t="s">
        <v>687</v>
      </c>
      <c r="K2258" t="s">
        <v>55</v>
      </c>
      <c r="L2258" t="s">
        <v>2846</v>
      </c>
      <c r="M2258" t="s">
        <v>57</v>
      </c>
      <c r="N2258" t="str">
        <f>"044586"</f>
        <v>044586</v>
      </c>
      <c r="O2258" t="s">
        <v>1367</v>
      </c>
      <c r="P2258" t="s">
        <v>68</v>
      </c>
      <c r="Q2258">
        <v>2.6</v>
      </c>
      <c r="R2258">
        <v>19.299999999999997</v>
      </c>
      <c r="S2258" t="s">
        <v>180</v>
      </c>
    </row>
    <row r="2259" spans="1:19" x14ac:dyDescent="0.35">
      <c r="A2259">
        <v>28381</v>
      </c>
      <c r="B2259" t="str">
        <f>"028381"</f>
        <v>028381</v>
      </c>
      <c r="C2259" t="s">
        <v>7483</v>
      </c>
      <c r="D2259" t="s">
        <v>3400</v>
      </c>
      <c r="E2259" t="s">
        <v>3395</v>
      </c>
      <c r="F2259" t="s">
        <v>3396</v>
      </c>
      <c r="G2259" t="s">
        <v>143</v>
      </c>
      <c r="H2259" t="s">
        <v>7484</v>
      </c>
      <c r="I2259" t="s">
        <v>7485</v>
      </c>
      <c r="J2259" t="s">
        <v>166</v>
      </c>
      <c r="K2259" t="s">
        <v>55</v>
      </c>
      <c r="L2259" t="s">
        <v>167</v>
      </c>
      <c r="M2259" t="s">
        <v>57</v>
      </c>
      <c r="N2259" t="str">
        <f>"044594"</f>
        <v>044594</v>
      </c>
      <c r="O2259" t="s">
        <v>993</v>
      </c>
      <c r="P2259" t="s">
        <v>68</v>
      </c>
      <c r="Q2259">
        <v>45.8</v>
      </c>
      <c r="R2259">
        <v>45.8</v>
      </c>
      <c r="S2259" t="s">
        <v>69</v>
      </c>
    </row>
    <row r="2260" spans="1:19" x14ac:dyDescent="0.35">
      <c r="A2260">
        <v>28399</v>
      </c>
      <c r="B2260" t="str">
        <f>"028399"</f>
        <v>028399</v>
      </c>
      <c r="C2260" t="s">
        <v>7486</v>
      </c>
      <c r="D2260" t="s">
        <v>3398</v>
      </c>
      <c r="E2260" t="s">
        <v>3395</v>
      </c>
      <c r="F2260" t="s">
        <v>3396</v>
      </c>
      <c r="G2260" t="s">
        <v>143</v>
      </c>
      <c r="H2260" t="s">
        <v>7487</v>
      </c>
      <c r="I2260" t="s">
        <v>7488</v>
      </c>
      <c r="J2260" t="s">
        <v>166</v>
      </c>
      <c r="K2260" t="s">
        <v>55</v>
      </c>
      <c r="L2260" t="s">
        <v>167</v>
      </c>
      <c r="M2260" t="s">
        <v>57</v>
      </c>
      <c r="N2260" t="str">
        <f>"044594"</f>
        <v>044594</v>
      </c>
      <c r="O2260" t="s">
        <v>993</v>
      </c>
      <c r="P2260" t="s">
        <v>68</v>
      </c>
      <c r="Q2260">
        <v>39.1</v>
      </c>
      <c r="R2260">
        <v>54.4</v>
      </c>
      <c r="S2260" t="s">
        <v>69</v>
      </c>
    </row>
    <row r="2261" spans="1:19" x14ac:dyDescent="0.35">
      <c r="A2261">
        <v>28407</v>
      </c>
      <c r="B2261" t="str">
        <f>"028407"</f>
        <v>028407</v>
      </c>
      <c r="C2261" t="s">
        <v>7489</v>
      </c>
      <c r="D2261" t="s">
        <v>3400</v>
      </c>
      <c r="E2261" t="s">
        <v>3395</v>
      </c>
      <c r="F2261" t="s">
        <v>3396</v>
      </c>
      <c r="G2261" t="s">
        <v>600</v>
      </c>
      <c r="H2261" t="s">
        <v>7490</v>
      </c>
      <c r="I2261" t="s">
        <v>7491</v>
      </c>
      <c r="J2261" t="s">
        <v>1348</v>
      </c>
      <c r="K2261" t="s">
        <v>55</v>
      </c>
      <c r="L2261" t="s">
        <v>2733</v>
      </c>
      <c r="M2261" t="s">
        <v>57</v>
      </c>
      <c r="N2261" t="str">
        <f>"046953"</f>
        <v>046953</v>
      </c>
      <c r="O2261" t="s">
        <v>2730</v>
      </c>
      <c r="P2261" t="s">
        <v>68</v>
      </c>
      <c r="Q2261">
        <v>64.5</v>
      </c>
      <c r="R2261">
        <v>31</v>
      </c>
      <c r="S2261" t="s">
        <v>60</v>
      </c>
    </row>
    <row r="2262" spans="1:19" x14ac:dyDescent="0.35">
      <c r="A2262">
        <v>28415</v>
      </c>
      <c r="B2262" t="str">
        <f>"028415"</f>
        <v>028415</v>
      </c>
      <c r="C2262" t="s">
        <v>7492</v>
      </c>
      <c r="D2262" t="s">
        <v>3394</v>
      </c>
      <c r="E2262" t="s">
        <v>3395</v>
      </c>
      <c r="F2262" t="s">
        <v>3396</v>
      </c>
      <c r="G2262" t="s">
        <v>600</v>
      </c>
      <c r="H2262" t="s">
        <v>7493</v>
      </c>
      <c r="I2262" t="s">
        <v>7494</v>
      </c>
      <c r="J2262" t="s">
        <v>1956</v>
      </c>
      <c r="K2262" t="s">
        <v>55</v>
      </c>
      <c r="L2262" t="s">
        <v>7495</v>
      </c>
      <c r="M2262" t="s">
        <v>57</v>
      </c>
      <c r="N2262" t="str">
        <f>"047027"</f>
        <v>047027</v>
      </c>
      <c r="O2262" t="s">
        <v>1953</v>
      </c>
      <c r="P2262" t="s">
        <v>68</v>
      </c>
      <c r="Q2262">
        <v>39.700000000000003</v>
      </c>
      <c r="R2262">
        <v>45.5</v>
      </c>
      <c r="S2262" t="s">
        <v>60</v>
      </c>
    </row>
    <row r="2263" spans="1:19" x14ac:dyDescent="0.35">
      <c r="A2263">
        <v>28423</v>
      </c>
      <c r="B2263" t="str">
        <f>"028423"</f>
        <v>028423</v>
      </c>
      <c r="C2263" t="s">
        <v>7496</v>
      </c>
      <c r="D2263" t="s">
        <v>3394</v>
      </c>
      <c r="E2263" t="s">
        <v>3395</v>
      </c>
      <c r="F2263" t="s">
        <v>3396</v>
      </c>
      <c r="G2263" t="s">
        <v>600</v>
      </c>
      <c r="H2263" t="s">
        <v>7497</v>
      </c>
      <c r="I2263" t="s">
        <v>7498</v>
      </c>
      <c r="J2263" t="s">
        <v>1348</v>
      </c>
      <c r="K2263" t="s">
        <v>55</v>
      </c>
      <c r="L2263" t="s">
        <v>4906</v>
      </c>
      <c r="M2263" t="s">
        <v>57</v>
      </c>
      <c r="N2263" t="str">
        <f>"043802"</f>
        <v>043802</v>
      </c>
      <c r="O2263" t="s">
        <v>3171</v>
      </c>
      <c r="P2263" t="s">
        <v>68</v>
      </c>
      <c r="Q2263">
        <v>100</v>
      </c>
      <c r="R2263">
        <v>92.7</v>
      </c>
      <c r="S2263" t="s">
        <v>60</v>
      </c>
    </row>
    <row r="2264" spans="1:19" x14ac:dyDescent="0.35">
      <c r="A2264">
        <v>28480</v>
      </c>
      <c r="B2264" t="str">
        <f>"028480"</f>
        <v>028480</v>
      </c>
      <c r="C2264" t="s">
        <v>7499</v>
      </c>
      <c r="D2264" t="s">
        <v>3394</v>
      </c>
      <c r="E2264" t="s">
        <v>3395</v>
      </c>
      <c r="F2264" t="s">
        <v>3396</v>
      </c>
      <c r="G2264" t="s">
        <v>383</v>
      </c>
      <c r="H2264" t="s">
        <v>7500</v>
      </c>
      <c r="I2264" t="s">
        <v>7501</v>
      </c>
      <c r="J2264" t="s">
        <v>1215</v>
      </c>
      <c r="K2264" t="s">
        <v>55</v>
      </c>
      <c r="L2264" t="s">
        <v>3277</v>
      </c>
      <c r="M2264" t="s">
        <v>57</v>
      </c>
      <c r="N2264" t="str">
        <f>"048298"</f>
        <v>048298</v>
      </c>
      <c r="O2264" t="s">
        <v>3274</v>
      </c>
      <c r="P2264" t="s">
        <v>68</v>
      </c>
      <c r="Q2264">
        <v>63.8</v>
      </c>
      <c r="R2264">
        <v>30.299999999999997</v>
      </c>
      <c r="S2264" t="s">
        <v>77</v>
      </c>
    </row>
    <row r="2265" spans="1:19" x14ac:dyDescent="0.35">
      <c r="A2265">
        <v>28498</v>
      </c>
      <c r="B2265" t="str">
        <f>"028498"</f>
        <v>028498</v>
      </c>
      <c r="C2265" t="s">
        <v>7502</v>
      </c>
      <c r="D2265" t="s">
        <v>3394</v>
      </c>
      <c r="E2265" t="s">
        <v>3395</v>
      </c>
      <c r="F2265" t="s">
        <v>3396</v>
      </c>
      <c r="G2265" t="s">
        <v>1296</v>
      </c>
      <c r="H2265" t="s">
        <v>7503</v>
      </c>
      <c r="I2265" t="s">
        <v>7504</v>
      </c>
      <c r="J2265" t="s">
        <v>7505</v>
      </c>
      <c r="K2265" t="s">
        <v>55</v>
      </c>
      <c r="L2265" t="s">
        <v>7506</v>
      </c>
      <c r="M2265" t="s">
        <v>57</v>
      </c>
      <c r="N2265" t="str">
        <f>"049726"</f>
        <v>049726</v>
      </c>
      <c r="O2265" t="s">
        <v>1295</v>
      </c>
      <c r="P2265" t="s">
        <v>68</v>
      </c>
      <c r="Q2265">
        <v>31.3</v>
      </c>
      <c r="R2265">
        <v>12</v>
      </c>
      <c r="S2265" t="s">
        <v>156</v>
      </c>
    </row>
    <row r="2266" spans="1:19" x14ac:dyDescent="0.35">
      <c r="A2266">
        <v>28506</v>
      </c>
      <c r="B2266" t="str">
        <f>"028506"</f>
        <v>028506</v>
      </c>
      <c r="C2266" t="s">
        <v>7507</v>
      </c>
      <c r="D2266" t="s">
        <v>3398</v>
      </c>
      <c r="E2266" t="s">
        <v>3395</v>
      </c>
      <c r="F2266" t="s">
        <v>3396</v>
      </c>
      <c r="G2266" t="s">
        <v>1296</v>
      </c>
      <c r="H2266" t="s">
        <v>7508</v>
      </c>
      <c r="I2266" t="s">
        <v>7509</v>
      </c>
      <c r="J2266" t="s">
        <v>1299</v>
      </c>
      <c r="K2266" t="s">
        <v>55</v>
      </c>
      <c r="L2266" t="s">
        <v>1300</v>
      </c>
      <c r="M2266" t="s">
        <v>57</v>
      </c>
      <c r="N2266" t="str">
        <f>"049726"</f>
        <v>049726</v>
      </c>
      <c r="O2266" t="s">
        <v>1295</v>
      </c>
      <c r="P2266" t="s">
        <v>68</v>
      </c>
      <c r="Q2266">
        <v>30.1</v>
      </c>
      <c r="R2266">
        <v>11.099999999999994</v>
      </c>
      <c r="S2266" t="s">
        <v>156</v>
      </c>
    </row>
    <row r="2267" spans="1:19" x14ac:dyDescent="0.35">
      <c r="A2267">
        <v>28514</v>
      </c>
      <c r="B2267" t="str">
        <f>"028514"</f>
        <v>028514</v>
      </c>
      <c r="C2267" t="s">
        <v>7510</v>
      </c>
      <c r="D2267" t="s">
        <v>3394</v>
      </c>
      <c r="E2267" t="s">
        <v>3395</v>
      </c>
      <c r="F2267" t="s">
        <v>3396</v>
      </c>
      <c r="G2267" t="s">
        <v>200</v>
      </c>
      <c r="H2267" t="s">
        <v>7511</v>
      </c>
      <c r="I2267" t="s">
        <v>7512</v>
      </c>
      <c r="J2267" t="s">
        <v>304</v>
      </c>
      <c r="K2267" t="s">
        <v>55</v>
      </c>
      <c r="L2267" t="s">
        <v>305</v>
      </c>
      <c r="M2267" t="s">
        <v>57</v>
      </c>
      <c r="N2267" t="str">
        <f>"044909"</f>
        <v>044909</v>
      </c>
      <c r="O2267" t="s">
        <v>3318</v>
      </c>
      <c r="P2267" t="s">
        <v>68</v>
      </c>
      <c r="Q2267">
        <v>95.9</v>
      </c>
      <c r="R2267">
        <v>81.3</v>
      </c>
      <c r="S2267" t="s">
        <v>156</v>
      </c>
    </row>
    <row r="2268" spans="1:19" x14ac:dyDescent="0.35">
      <c r="A2268">
        <v>28522</v>
      </c>
      <c r="B2268" t="str">
        <f>"028522"</f>
        <v>028522</v>
      </c>
      <c r="C2268" t="s">
        <v>7513</v>
      </c>
      <c r="D2268" t="s">
        <v>3400</v>
      </c>
      <c r="E2268" t="s">
        <v>3395</v>
      </c>
      <c r="F2268" t="s">
        <v>3396</v>
      </c>
      <c r="G2268" t="s">
        <v>1679</v>
      </c>
      <c r="H2268" t="s">
        <v>6605</v>
      </c>
      <c r="I2268" t="s">
        <v>6606</v>
      </c>
      <c r="J2268" t="s">
        <v>2968</v>
      </c>
      <c r="K2268" t="s">
        <v>55</v>
      </c>
      <c r="L2268" t="s">
        <v>2969</v>
      </c>
      <c r="M2268" t="s">
        <v>57</v>
      </c>
      <c r="N2268" t="str">
        <f>"069682"</f>
        <v>069682</v>
      </c>
      <c r="O2268" t="s">
        <v>2965</v>
      </c>
      <c r="P2268" t="s">
        <v>68</v>
      </c>
      <c r="Q2268">
        <v>49.8</v>
      </c>
      <c r="R2268">
        <v>5</v>
      </c>
      <c r="S2268" t="s">
        <v>130</v>
      </c>
    </row>
    <row r="2269" spans="1:19" x14ac:dyDescent="0.35">
      <c r="A2269">
        <v>28530</v>
      </c>
      <c r="B2269" t="str">
        <f>"028530"</f>
        <v>028530</v>
      </c>
      <c r="C2269" t="s">
        <v>7514</v>
      </c>
      <c r="D2269" t="s">
        <v>3394</v>
      </c>
      <c r="E2269" t="s">
        <v>3395</v>
      </c>
      <c r="F2269" t="s">
        <v>3396</v>
      </c>
      <c r="G2269" t="s">
        <v>600</v>
      </c>
      <c r="H2269" t="s">
        <v>7515</v>
      </c>
      <c r="I2269" t="s">
        <v>7516</v>
      </c>
      <c r="J2269" t="s">
        <v>1348</v>
      </c>
      <c r="K2269" t="s">
        <v>55</v>
      </c>
      <c r="L2269" t="s">
        <v>1890</v>
      </c>
      <c r="M2269" t="s">
        <v>57</v>
      </c>
      <c r="N2269" t="str">
        <f>"043802"</f>
        <v>043802</v>
      </c>
      <c r="O2269" t="s">
        <v>3171</v>
      </c>
      <c r="P2269" t="s">
        <v>68</v>
      </c>
      <c r="Q2269">
        <v>100</v>
      </c>
      <c r="R2269">
        <v>91.3</v>
      </c>
      <c r="S2269" t="s">
        <v>60</v>
      </c>
    </row>
    <row r="2270" spans="1:19" x14ac:dyDescent="0.35">
      <c r="A2270">
        <v>28548</v>
      </c>
      <c r="B2270" t="str">
        <f>"028548"</f>
        <v>028548</v>
      </c>
      <c r="C2270" t="s">
        <v>7517</v>
      </c>
      <c r="D2270" t="s">
        <v>3398</v>
      </c>
      <c r="E2270" t="s">
        <v>3395</v>
      </c>
      <c r="F2270" t="s">
        <v>3396</v>
      </c>
      <c r="G2270" t="s">
        <v>52</v>
      </c>
      <c r="H2270" t="s">
        <v>7518</v>
      </c>
      <c r="I2270" t="s">
        <v>7519</v>
      </c>
      <c r="J2270" t="s">
        <v>2670</v>
      </c>
      <c r="K2270" t="s">
        <v>55</v>
      </c>
      <c r="L2270" t="s">
        <v>2671</v>
      </c>
      <c r="M2270" t="s">
        <v>57</v>
      </c>
      <c r="N2270" t="str">
        <f>"046763"</f>
        <v>046763</v>
      </c>
      <c r="O2270" t="s">
        <v>2667</v>
      </c>
      <c r="P2270" t="s">
        <v>68</v>
      </c>
      <c r="Q2270">
        <v>8.4</v>
      </c>
      <c r="R2270">
        <v>32.099999999999994</v>
      </c>
      <c r="S2270" t="s">
        <v>60</v>
      </c>
    </row>
    <row r="2271" spans="1:19" x14ac:dyDescent="0.35">
      <c r="A2271">
        <v>28555</v>
      </c>
      <c r="B2271" t="str">
        <f>"028555"</f>
        <v>028555</v>
      </c>
      <c r="C2271" t="s">
        <v>7520</v>
      </c>
      <c r="D2271" t="s">
        <v>3400</v>
      </c>
      <c r="E2271" t="s">
        <v>3395</v>
      </c>
      <c r="F2271" t="s">
        <v>3396</v>
      </c>
      <c r="G2271" t="s">
        <v>777</v>
      </c>
      <c r="H2271" t="s">
        <v>7521</v>
      </c>
      <c r="I2271" t="s">
        <v>7522</v>
      </c>
      <c r="J2271" t="s">
        <v>1905</v>
      </c>
      <c r="K2271" t="s">
        <v>55</v>
      </c>
      <c r="L2271" t="s">
        <v>1906</v>
      </c>
      <c r="M2271" t="s">
        <v>57</v>
      </c>
      <c r="N2271" t="str">
        <f>"046243"</f>
        <v>046243</v>
      </c>
      <c r="O2271" t="s">
        <v>1902</v>
      </c>
      <c r="P2271" t="s">
        <v>68</v>
      </c>
      <c r="Q2271">
        <v>40.299999999999997</v>
      </c>
      <c r="R2271">
        <v>23.900000000000006</v>
      </c>
      <c r="S2271" t="s">
        <v>180</v>
      </c>
    </row>
    <row r="2272" spans="1:19" x14ac:dyDescent="0.35">
      <c r="A2272">
        <v>28571</v>
      </c>
      <c r="B2272" t="str">
        <f>"028571"</f>
        <v>028571</v>
      </c>
      <c r="C2272" t="s">
        <v>7523</v>
      </c>
      <c r="D2272" t="s">
        <v>3394</v>
      </c>
      <c r="E2272" t="s">
        <v>3395</v>
      </c>
      <c r="F2272" t="s">
        <v>3396</v>
      </c>
      <c r="G2272" t="s">
        <v>543</v>
      </c>
      <c r="H2272" t="s">
        <v>7524</v>
      </c>
      <c r="I2272" t="s">
        <v>7525</v>
      </c>
      <c r="J2272" t="s">
        <v>546</v>
      </c>
      <c r="K2272" t="s">
        <v>55</v>
      </c>
      <c r="L2272" t="s">
        <v>547</v>
      </c>
      <c r="M2272" t="s">
        <v>57</v>
      </c>
      <c r="N2272" t="str">
        <f>"048694"</f>
        <v>048694</v>
      </c>
      <c r="O2272" t="s">
        <v>542</v>
      </c>
      <c r="P2272" t="s">
        <v>68</v>
      </c>
      <c r="Q2272">
        <v>89.8</v>
      </c>
      <c r="R2272">
        <v>93.4</v>
      </c>
      <c r="S2272" t="s">
        <v>180</v>
      </c>
    </row>
    <row r="2273" spans="1:19" x14ac:dyDescent="0.35">
      <c r="A2273">
        <v>28589</v>
      </c>
      <c r="B2273" t="str">
        <f>"028589"</f>
        <v>028589</v>
      </c>
      <c r="C2273" t="s">
        <v>7526</v>
      </c>
      <c r="D2273" t="s">
        <v>3394</v>
      </c>
      <c r="E2273" t="s">
        <v>3395</v>
      </c>
      <c r="F2273" t="s">
        <v>3396</v>
      </c>
      <c r="G2273" t="s">
        <v>63</v>
      </c>
      <c r="H2273" t="s">
        <v>7527</v>
      </c>
      <c r="I2273" t="s">
        <v>7528</v>
      </c>
      <c r="J2273" t="s">
        <v>285</v>
      </c>
      <c r="K2273" t="s">
        <v>55</v>
      </c>
      <c r="L2273" t="s">
        <v>6421</v>
      </c>
      <c r="M2273" t="s">
        <v>57</v>
      </c>
      <c r="N2273" t="str">
        <f>"043786"</f>
        <v>043786</v>
      </c>
      <c r="O2273" t="s">
        <v>1340</v>
      </c>
      <c r="P2273" t="s">
        <v>68</v>
      </c>
      <c r="Q2273">
        <v>100</v>
      </c>
      <c r="R2273">
        <v>100</v>
      </c>
      <c r="S2273" t="s">
        <v>69</v>
      </c>
    </row>
    <row r="2274" spans="1:19" x14ac:dyDescent="0.35">
      <c r="A2274">
        <v>28605</v>
      </c>
      <c r="B2274" t="str">
        <f>"028605"</f>
        <v>028605</v>
      </c>
      <c r="C2274" t="s">
        <v>7529</v>
      </c>
      <c r="D2274" t="s">
        <v>3398</v>
      </c>
      <c r="E2274" t="s">
        <v>3395</v>
      </c>
      <c r="F2274" t="s">
        <v>3396</v>
      </c>
      <c r="G2274" t="s">
        <v>63</v>
      </c>
      <c r="H2274" t="s">
        <v>7530</v>
      </c>
      <c r="I2274" t="s">
        <v>7531</v>
      </c>
      <c r="J2274" t="s">
        <v>2316</v>
      </c>
      <c r="K2274" t="s">
        <v>55</v>
      </c>
      <c r="L2274" t="s">
        <v>2317</v>
      </c>
      <c r="M2274" t="s">
        <v>57</v>
      </c>
      <c r="N2274" t="str">
        <f>"046573"</f>
        <v>046573</v>
      </c>
      <c r="O2274" t="s">
        <v>2313</v>
      </c>
      <c r="P2274" t="s">
        <v>68</v>
      </c>
      <c r="Q2274">
        <v>15.8</v>
      </c>
      <c r="R2274">
        <v>11</v>
      </c>
      <c r="S2274" t="s">
        <v>69</v>
      </c>
    </row>
    <row r="2275" spans="1:19" x14ac:dyDescent="0.35">
      <c r="A2275">
        <v>28613</v>
      </c>
      <c r="B2275" t="str">
        <f>"028613"</f>
        <v>028613</v>
      </c>
      <c r="C2275" t="s">
        <v>7532</v>
      </c>
      <c r="D2275" t="s">
        <v>3400</v>
      </c>
      <c r="E2275" t="s">
        <v>3395</v>
      </c>
      <c r="F2275" t="s">
        <v>3396</v>
      </c>
      <c r="G2275" t="s">
        <v>63</v>
      </c>
      <c r="H2275" t="s">
        <v>7533</v>
      </c>
      <c r="I2275" t="s">
        <v>7534</v>
      </c>
      <c r="J2275" t="s">
        <v>2316</v>
      </c>
      <c r="K2275" t="s">
        <v>55</v>
      </c>
      <c r="L2275" t="s">
        <v>2317</v>
      </c>
      <c r="M2275" t="s">
        <v>57</v>
      </c>
      <c r="N2275" t="str">
        <f>"046573"</f>
        <v>046573</v>
      </c>
      <c r="O2275" t="s">
        <v>2313</v>
      </c>
      <c r="P2275" t="s">
        <v>68</v>
      </c>
      <c r="Q2275">
        <v>15.6</v>
      </c>
      <c r="R2275">
        <v>11.099999999999994</v>
      </c>
      <c r="S2275" t="s">
        <v>69</v>
      </c>
    </row>
    <row r="2276" spans="1:19" x14ac:dyDescent="0.35">
      <c r="A2276">
        <v>28647</v>
      </c>
      <c r="B2276" t="str">
        <f>"028647"</f>
        <v>028647</v>
      </c>
      <c r="C2276" t="s">
        <v>7535</v>
      </c>
      <c r="D2276" t="s">
        <v>3394</v>
      </c>
      <c r="E2276" t="s">
        <v>3395</v>
      </c>
      <c r="F2276" t="s">
        <v>3396</v>
      </c>
      <c r="G2276" t="s">
        <v>63</v>
      </c>
      <c r="H2276" t="s">
        <v>7536</v>
      </c>
      <c r="I2276" t="s">
        <v>7537</v>
      </c>
      <c r="J2276" t="s">
        <v>101</v>
      </c>
      <c r="K2276" t="s">
        <v>55</v>
      </c>
      <c r="L2276" t="s">
        <v>102</v>
      </c>
      <c r="M2276" t="s">
        <v>57</v>
      </c>
      <c r="N2276" t="str">
        <f>"044750"</f>
        <v>044750</v>
      </c>
      <c r="O2276" t="s">
        <v>98</v>
      </c>
      <c r="P2276" t="s">
        <v>68</v>
      </c>
      <c r="Q2276">
        <v>25.3</v>
      </c>
      <c r="R2276">
        <v>50.4</v>
      </c>
      <c r="S2276" t="s">
        <v>69</v>
      </c>
    </row>
    <row r="2277" spans="1:19" x14ac:dyDescent="0.35">
      <c r="A2277">
        <v>28662</v>
      </c>
      <c r="B2277" t="str">
        <f>"028662"</f>
        <v>028662</v>
      </c>
      <c r="C2277" t="s">
        <v>7538</v>
      </c>
      <c r="D2277" t="s">
        <v>3394</v>
      </c>
      <c r="E2277" t="s">
        <v>3395</v>
      </c>
      <c r="F2277" t="s">
        <v>3396</v>
      </c>
      <c r="G2277" t="s">
        <v>759</v>
      </c>
      <c r="H2277" t="s">
        <v>7539</v>
      </c>
      <c r="I2277" t="s">
        <v>7540</v>
      </c>
      <c r="J2277" t="s">
        <v>400</v>
      </c>
      <c r="K2277" t="s">
        <v>55</v>
      </c>
      <c r="L2277" t="s">
        <v>762</v>
      </c>
      <c r="M2277" t="s">
        <v>57</v>
      </c>
      <c r="N2277" t="str">
        <f>"044743"</f>
        <v>044743</v>
      </c>
      <c r="O2277" t="s">
        <v>2663</v>
      </c>
      <c r="P2277" t="s">
        <v>68</v>
      </c>
      <c r="Q2277">
        <v>100</v>
      </c>
      <c r="R2277">
        <v>65.5</v>
      </c>
      <c r="S2277" t="s">
        <v>69</v>
      </c>
    </row>
    <row r="2278" spans="1:19" x14ac:dyDescent="0.35">
      <c r="A2278">
        <v>28670</v>
      </c>
      <c r="B2278" t="str">
        <f>"028670"</f>
        <v>028670</v>
      </c>
      <c r="C2278" t="s">
        <v>7541</v>
      </c>
      <c r="D2278" t="s">
        <v>3398</v>
      </c>
      <c r="E2278" t="s">
        <v>3395</v>
      </c>
      <c r="F2278" t="s">
        <v>3396</v>
      </c>
      <c r="G2278" t="s">
        <v>663</v>
      </c>
      <c r="H2278" t="s">
        <v>7542</v>
      </c>
      <c r="I2278" t="s">
        <v>7543</v>
      </c>
      <c r="J2278" t="s">
        <v>666</v>
      </c>
      <c r="K2278" t="s">
        <v>55</v>
      </c>
      <c r="L2278" t="s">
        <v>1605</v>
      </c>
      <c r="M2278" t="s">
        <v>57</v>
      </c>
      <c r="N2278" t="str">
        <f>"049478"</f>
        <v>049478</v>
      </c>
      <c r="O2278" t="s">
        <v>1601</v>
      </c>
      <c r="P2278" t="s">
        <v>68</v>
      </c>
      <c r="Q2278">
        <v>24.9</v>
      </c>
      <c r="R2278">
        <v>15.599999999999994</v>
      </c>
      <c r="S2278" t="s">
        <v>77</v>
      </c>
    </row>
    <row r="2279" spans="1:19" x14ac:dyDescent="0.35">
      <c r="A2279">
        <v>28688</v>
      </c>
      <c r="B2279" t="str">
        <f>"028688"</f>
        <v>028688</v>
      </c>
      <c r="C2279" t="s">
        <v>7544</v>
      </c>
      <c r="D2279" t="s">
        <v>3400</v>
      </c>
      <c r="E2279" t="s">
        <v>3395</v>
      </c>
      <c r="F2279" t="s">
        <v>3396</v>
      </c>
      <c r="G2279" t="s">
        <v>663</v>
      </c>
      <c r="H2279" t="s">
        <v>7545</v>
      </c>
      <c r="I2279" t="s">
        <v>7546</v>
      </c>
      <c r="J2279" t="s">
        <v>666</v>
      </c>
      <c r="K2279" t="s">
        <v>55</v>
      </c>
      <c r="L2279" t="s">
        <v>1605</v>
      </c>
      <c r="M2279" t="s">
        <v>57</v>
      </c>
      <c r="N2279" t="str">
        <f>"049478"</f>
        <v>049478</v>
      </c>
      <c r="O2279" t="s">
        <v>1601</v>
      </c>
      <c r="P2279" t="s">
        <v>68</v>
      </c>
      <c r="Q2279">
        <v>30.4</v>
      </c>
      <c r="R2279">
        <v>17.200000000000003</v>
      </c>
      <c r="S2279" t="s">
        <v>77</v>
      </c>
    </row>
    <row r="2280" spans="1:19" x14ac:dyDescent="0.35">
      <c r="A2280">
        <v>28712</v>
      </c>
      <c r="B2280" t="str">
        <f>"028712"</f>
        <v>028712</v>
      </c>
      <c r="C2280" t="s">
        <v>7547</v>
      </c>
      <c r="D2280" t="s">
        <v>3398</v>
      </c>
      <c r="E2280" t="s">
        <v>3395</v>
      </c>
      <c r="F2280" t="s">
        <v>3396</v>
      </c>
      <c r="G2280" t="s">
        <v>63</v>
      </c>
      <c r="H2280" t="s">
        <v>3948</v>
      </c>
      <c r="I2280" t="s">
        <v>284</v>
      </c>
      <c r="J2280" t="s">
        <v>3949</v>
      </c>
      <c r="K2280" t="s">
        <v>55</v>
      </c>
      <c r="L2280" t="s">
        <v>286</v>
      </c>
      <c r="M2280" t="s">
        <v>57</v>
      </c>
      <c r="N2280" t="str">
        <f>"046581"</f>
        <v>046581</v>
      </c>
      <c r="O2280" t="s">
        <v>282</v>
      </c>
      <c r="P2280" t="s">
        <v>68</v>
      </c>
      <c r="Q2280">
        <v>10.1</v>
      </c>
      <c r="R2280">
        <v>30.700000000000003</v>
      </c>
      <c r="S2280" t="s">
        <v>69</v>
      </c>
    </row>
    <row r="2281" spans="1:19" x14ac:dyDescent="0.35">
      <c r="A2281">
        <v>28720</v>
      </c>
      <c r="B2281" t="str">
        <f>"028720"</f>
        <v>028720</v>
      </c>
      <c r="C2281" t="s">
        <v>7548</v>
      </c>
      <c r="D2281" t="s">
        <v>3394</v>
      </c>
      <c r="E2281" t="s">
        <v>3395</v>
      </c>
      <c r="F2281" t="s">
        <v>3396</v>
      </c>
      <c r="G2281" t="s">
        <v>63</v>
      </c>
      <c r="H2281" t="s">
        <v>7549</v>
      </c>
      <c r="I2281" t="s">
        <v>7550</v>
      </c>
      <c r="J2281" t="s">
        <v>285</v>
      </c>
      <c r="K2281" t="s">
        <v>55</v>
      </c>
      <c r="L2281" t="s">
        <v>7551</v>
      </c>
      <c r="M2281" t="s">
        <v>57</v>
      </c>
      <c r="N2281" t="str">
        <f>"043786"</f>
        <v>043786</v>
      </c>
      <c r="O2281" t="s">
        <v>1340</v>
      </c>
      <c r="P2281" t="s">
        <v>68</v>
      </c>
      <c r="Q2281">
        <v>100</v>
      </c>
      <c r="R2281">
        <v>81.400000000000006</v>
      </c>
      <c r="S2281" t="s">
        <v>69</v>
      </c>
    </row>
    <row r="2282" spans="1:19" x14ac:dyDescent="0.35">
      <c r="A2282">
        <v>28720</v>
      </c>
      <c r="B2282" t="str">
        <f>"028720"</f>
        <v>028720</v>
      </c>
      <c r="C2282" t="s">
        <v>7548</v>
      </c>
      <c r="D2282" t="s">
        <v>3929</v>
      </c>
      <c r="E2282" t="s">
        <v>3395</v>
      </c>
      <c r="F2282" t="s">
        <v>3396</v>
      </c>
      <c r="G2282" t="s">
        <v>63</v>
      </c>
      <c r="H2282" t="s">
        <v>7549</v>
      </c>
      <c r="I2282" t="s">
        <v>7550</v>
      </c>
      <c r="J2282" t="s">
        <v>285</v>
      </c>
      <c r="K2282" t="s">
        <v>55</v>
      </c>
      <c r="L2282" t="s">
        <v>7551</v>
      </c>
      <c r="M2282" t="s">
        <v>57</v>
      </c>
      <c r="N2282" t="str">
        <f>"043786"</f>
        <v>043786</v>
      </c>
      <c r="O2282" t="s">
        <v>1340</v>
      </c>
      <c r="P2282" t="s">
        <v>68</v>
      </c>
      <c r="Q2282">
        <v>100</v>
      </c>
      <c r="R2282">
        <v>81.400000000000006</v>
      </c>
      <c r="S2282" t="s">
        <v>69</v>
      </c>
    </row>
    <row r="2283" spans="1:19" x14ac:dyDescent="0.35">
      <c r="A2283">
        <v>28738</v>
      </c>
      <c r="B2283" t="str">
        <f>"028738"</f>
        <v>028738</v>
      </c>
      <c r="C2283" t="s">
        <v>7552</v>
      </c>
      <c r="D2283" t="s">
        <v>3394</v>
      </c>
      <c r="E2283" t="s">
        <v>3395</v>
      </c>
      <c r="F2283" t="s">
        <v>3396</v>
      </c>
      <c r="G2283" t="s">
        <v>117</v>
      </c>
      <c r="H2283" t="s">
        <v>7553</v>
      </c>
      <c r="I2283" t="s">
        <v>7554</v>
      </c>
      <c r="J2283" t="s">
        <v>3199</v>
      </c>
      <c r="K2283" t="s">
        <v>55</v>
      </c>
      <c r="L2283" t="s">
        <v>3200</v>
      </c>
      <c r="M2283" t="s">
        <v>57</v>
      </c>
      <c r="N2283" t="str">
        <f>"044503"</f>
        <v>044503</v>
      </c>
      <c r="O2283" t="s">
        <v>3196</v>
      </c>
      <c r="P2283" t="s">
        <v>68</v>
      </c>
      <c r="Q2283">
        <v>31.7</v>
      </c>
      <c r="R2283">
        <v>17.200000000000003</v>
      </c>
      <c r="S2283" t="s">
        <v>77</v>
      </c>
    </row>
    <row r="2284" spans="1:19" x14ac:dyDescent="0.35">
      <c r="A2284">
        <v>28746</v>
      </c>
      <c r="B2284" t="str">
        <f>"028746"</f>
        <v>028746</v>
      </c>
      <c r="C2284" t="s">
        <v>7555</v>
      </c>
      <c r="D2284" t="s">
        <v>3394</v>
      </c>
      <c r="E2284" t="s">
        <v>3395</v>
      </c>
      <c r="F2284" t="s">
        <v>3396</v>
      </c>
      <c r="G2284" t="s">
        <v>536</v>
      </c>
      <c r="H2284" t="s">
        <v>3334</v>
      </c>
      <c r="I2284" t="s">
        <v>3335</v>
      </c>
      <c r="J2284" t="s">
        <v>3336</v>
      </c>
      <c r="K2284" t="s">
        <v>55</v>
      </c>
      <c r="L2284" t="s">
        <v>3337</v>
      </c>
      <c r="M2284" t="s">
        <v>57</v>
      </c>
      <c r="N2284" t="str">
        <f>"045443"</f>
        <v>045443</v>
      </c>
      <c r="O2284" t="s">
        <v>3333</v>
      </c>
      <c r="P2284" t="s">
        <v>68</v>
      </c>
      <c r="Q2284">
        <v>55.4</v>
      </c>
      <c r="R2284">
        <v>2.2999999999999972</v>
      </c>
      <c r="S2284" t="s">
        <v>77</v>
      </c>
    </row>
    <row r="2285" spans="1:19" x14ac:dyDescent="0.35">
      <c r="A2285">
        <v>28753</v>
      </c>
      <c r="B2285" t="str">
        <f>"028753"</f>
        <v>028753</v>
      </c>
      <c r="C2285" t="s">
        <v>7556</v>
      </c>
      <c r="D2285" t="s">
        <v>3394</v>
      </c>
      <c r="E2285" t="s">
        <v>3395</v>
      </c>
      <c r="F2285" t="s">
        <v>3396</v>
      </c>
      <c r="G2285" t="s">
        <v>543</v>
      </c>
      <c r="H2285" t="s">
        <v>7557</v>
      </c>
      <c r="I2285" t="s">
        <v>7558</v>
      </c>
      <c r="J2285" t="s">
        <v>1961</v>
      </c>
      <c r="K2285" t="s">
        <v>55</v>
      </c>
      <c r="L2285" t="s">
        <v>2846</v>
      </c>
      <c r="M2285" t="s">
        <v>57</v>
      </c>
      <c r="N2285" t="str">
        <f>"044180"</f>
        <v>044180</v>
      </c>
      <c r="O2285" t="s">
        <v>1963</v>
      </c>
      <c r="P2285" t="s">
        <v>68</v>
      </c>
      <c r="Q2285">
        <v>39.799999999999997</v>
      </c>
      <c r="R2285">
        <v>18.099999999999994</v>
      </c>
      <c r="S2285" t="s">
        <v>180</v>
      </c>
    </row>
    <row r="2286" spans="1:19" x14ac:dyDescent="0.35">
      <c r="A2286">
        <v>28779</v>
      </c>
      <c r="B2286" t="str">
        <f>"028779"</f>
        <v>028779</v>
      </c>
      <c r="C2286" t="s">
        <v>7559</v>
      </c>
      <c r="D2286" t="s">
        <v>3398</v>
      </c>
      <c r="E2286" t="s">
        <v>3395</v>
      </c>
      <c r="F2286" t="s">
        <v>3396</v>
      </c>
      <c r="G2286" t="s">
        <v>187</v>
      </c>
      <c r="H2286" t="s">
        <v>7560</v>
      </c>
      <c r="I2286" t="s">
        <v>7561</v>
      </c>
      <c r="J2286" t="s">
        <v>2039</v>
      </c>
      <c r="K2286" t="s">
        <v>55</v>
      </c>
      <c r="L2286" t="s">
        <v>2040</v>
      </c>
      <c r="M2286" t="s">
        <v>57</v>
      </c>
      <c r="N2286" t="str">
        <f>"044610"</f>
        <v>044610</v>
      </c>
      <c r="O2286" t="s">
        <v>2036</v>
      </c>
      <c r="P2286" t="s">
        <v>68</v>
      </c>
      <c r="Q2286">
        <v>35.1</v>
      </c>
      <c r="R2286">
        <v>28.799999999999997</v>
      </c>
      <c r="S2286" t="s">
        <v>77</v>
      </c>
    </row>
    <row r="2287" spans="1:19" x14ac:dyDescent="0.35">
      <c r="A2287">
        <v>28795</v>
      </c>
      <c r="B2287" t="str">
        <f>"028795"</f>
        <v>028795</v>
      </c>
      <c r="C2287" t="s">
        <v>7562</v>
      </c>
      <c r="D2287" t="s">
        <v>3400</v>
      </c>
      <c r="E2287" t="s">
        <v>3395</v>
      </c>
      <c r="F2287" t="s">
        <v>3396</v>
      </c>
      <c r="G2287" t="s">
        <v>543</v>
      </c>
      <c r="H2287" t="s">
        <v>7563</v>
      </c>
      <c r="I2287" t="s">
        <v>7564</v>
      </c>
      <c r="J2287" t="s">
        <v>687</v>
      </c>
      <c r="K2287" t="s">
        <v>55</v>
      </c>
      <c r="L2287" t="s">
        <v>6159</v>
      </c>
      <c r="M2287" t="s">
        <v>57</v>
      </c>
      <c r="N2287" t="str">
        <f>"043844"</f>
        <v>043844</v>
      </c>
      <c r="O2287" t="s">
        <v>985</v>
      </c>
      <c r="P2287" t="s">
        <v>68</v>
      </c>
      <c r="Q2287">
        <v>96.7</v>
      </c>
      <c r="R2287">
        <v>63.5</v>
      </c>
      <c r="S2287" t="s">
        <v>180</v>
      </c>
    </row>
    <row r="2288" spans="1:19" x14ac:dyDescent="0.35">
      <c r="A2288">
        <v>28811</v>
      </c>
      <c r="B2288" t="str">
        <f>"028811"</f>
        <v>028811</v>
      </c>
      <c r="C2288" t="s">
        <v>7565</v>
      </c>
      <c r="D2288" t="s">
        <v>3394</v>
      </c>
      <c r="E2288" t="s">
        <v>3395</v>
      </c>
      <c r="F2288" t="s">
        <v>3396</v>
      </c>
      <c r="G2288" t="s">
        <v>855</v>
      </c>
      <c r="H2288" t="s">
        <v>7566</v>
      </c>
      <c r="I2288" t="s">
        <v>7567</v>
      </c>
      <c r="J2288" t="s">
        <v>855</v>
      </c>
      <c r="K2288" t="s">
        <v>55</v>
      </c>
      <c r="L2288" t="s">
        <v>1457</v>
      </c>
      <c r="M2288" t="s">
        <v>57</v>
      </c>
      <c r="N2288" t="str">
        <f>"043505"</f>
        <v>043505</v>
      </c>
      <c r="O2288" t="s">
        <v>3139</v>
      </c>
      <c r="P2288" t="s">
        <v>68</v>
      </c>
      <c r="Q2288">
        <v>34.799999999999997</v>
      </c>
      <c r="R2288">
        <v>6.7000000000000028</v>
      </c>
      <c r="S2288" t="s">
        <v>77</v>
      </c>
    </row>
    <row r="2289" spans="1:19" x14ac:dyDescent="0.35">
      <c r="A2289">
        <v>28829</v>
      </c>
      <c r="B2289" t="str">
        <f>"028829"</f>
        <v>028829</v>
      </c>
      <c r="C2289" t="s">
        <v>7568</v>
      </c>
      <c r="D2289" t="s">
        <v>3394</v>
      </c>
      <c r="E2289" t="s">
        <v>3395</v>
      </c>
      <c r="F2289" t="s">
        <v>3396</v>
      </c>
      <c r="G2289" t="s">
        <v>759</v>
      </c>
      <c r="H2289" t="s">
        <v>7569</v>
      </c>
      <c r="I2289" t="s">
        <v>7570</v>
      </c>
      <c r="J2289" t="s">
        <v>400</v>
      </c>
      <c r="K2289" t="s">
        <v>55</v>
      </c>
      <c r="L2289" t="s">
        <v>762</v>
      </c>
      <c r="M2289" t="s">
        <v>57</v>
      </c>
      <c r="N2289" t="str">
        <f>"044743"</f>
        <v>044743</v>
      </c>
      <c r="O2289" t="s">
        <v>2663</v>
      </c>
      <c r="P2289" t="s">
        <v>68</v>
      </c>
      <c r="Q2289">
        <v>100</v>
      </c>
      <c r="R2289">
        <v>66.5</v>
      </c>
      <c r="S2289" t="s">
        <v>69</v>
      </c>
    </row>
    <row r="2290" spans="1:19" x14ac:dyDescent="0.35">
      <c r="A2290">
        <v>28845</v>
      </c>
      <c r="B2290" t="str">
        <f>"028845"</f>
        <v>028845</v>
      </c>
      <c r="C2290" t="s">
        <v>7571</v>
      </c>
      <c r="D2290" t="s">
        <v>3394</v>
      </c>
      <c r="E2290" t="s">
        <v>3395</v>
      </c>
      <c r="F2290" t="s">
        <v>3396</v>
      </c>
      <c r="G2290" t="s">
        <v>52</v>
      </c>
      <c r="H2290" t="s">
        <v>7572</v>
      </c>
      <c r="I2290" t="s">
        <v>7573</v>
      </c>
      <c r="J2290" t="s">
        <v>7574</v>
      </c>
      <c r="K2290" t="s">
        <v>55</v>
      </c>
      <c r="L2290" t="s">
        <v>7575</v>
      </c>
      <c r="M2290" t="s">
        <v>57</v>
      </c>
      <c r="N2290" t="str">
        <f>"046755"</f>
        <v>046755</v>
      </c>
      <c r="O2290" t="s">
        <v>1319</v>
      </c>
      <c r="P2290" t="s">
        <v>68</v>
      </c>
      <c r="Q2290">
        <v>8.1999999999999993</v>
      </c>
      <c r="R2290">
        <v>11.5</v>
      </c>
      <c r="S2290" t="s">
        <v>60</v>
      </c>
    </row>
    <row r="2291" spans="1:19" x14ac:dyDescent="0.35">
      <c r="A2291">
        <v>28852</v>
      </c>
      <c r="B2291" t="str">
        <f>"028852"</f>
        <v>028852</v>
      </c>
      <c r="C2291" t="s">
        <v>7576</v>
      </c>
      <c r="D2291" t="s">
        <v>3394</v>
      </c>
      <c r="E2291" t="s">
        <v>3395</v>
      </c>
      <c r="F2291" t="s">
        <v>3396</v>
      </c>
      <c r="G2291" t="s">
        <v>400</v>
      </c>
      <c r="H2291" t="s">
        <v>7577</v>
      </c>
      <c r="I2291" t="s">
        <v>7578</v>
      </c>
      <c r="J2291" t="s">
        <v>2749</v>
      </c>
      <c r="K2291" t="s">
        <v>55</v>
      </c>
      <c r="L2291" t="s">
        <v>2750</v>
      </c>
      <c r="M2291" t="s">
        <v>57</v>
      </c>
      <c r="N2291" t="str">
        <f>"044016"</f>
        <v>044016</v>
      </c>
      <c r="O2291" t="s">
        <v>3244</v>
      </c>
      <c r="P2291" t="s">
        <v>68</v>
      </c>
      <c r="Q2291">
        <v>100</v>
      </c>
      <c r="R2291">
        <v>44.9</v>
      </c>
      <c r="S2291" t="s">
        <v>156</v>
      </c>
    </row>
    <row r="2292" spans="1:19" x14ac:dyDescent="0.35">
      <c r="A2292">
        <v>28860</v>
      </c>
      <c r="B2292" t="str">
        <f>"028860"</f>
        <v>028860</v>
      </c>
      <c r="C2292" t="s">
        <v>7579</v>
      </c>
      <c r="D2292" t="s">
        <v>3398</v>
      </c>
      <c r="E2292" t="s">
        <v>3395</v>
      </c>
      <c r="F2292" t="s">
        <v>3396</v>
      </c>
      <c r="G2292" t="s">
        <v>226</v>
      </c>
      <c r="H2292" t="s">
        <v>7580</v>
      </c>
      <c r="I2292" t="s">
        <v>7581</v>
      </c>
      <c r="J2292" t="s">
        <v>810</v>
      </c>
      <c r="K2292" t="s">
        <v>55</v>
      </c>
      <c r="L2292" t="s">
        <v>811</v>
      </c>
      <c r="M2292" t="s">
        <v>57</v>
      </c>
      <c r="N2292" t="str">
        <f>"050724"</f>
        <v>050724</v>
      </c>
      <c r="O2292" t="s">
        <v>807</v>
      </c>
      <c r="P2292" t="s">
        <v>68</v>
      </c>
      <c r="Q2292">
        <v>13.7</v>
      </c>
      <c r="R2292">
        <v>12.299999999999997</v>
      </c>
      <c r="S2292" t="s">
        <v>156</v>
      </c>
    </row>
    <row r="2293" spans="1:19" x14ac:dyDescent="0.35">
      <c r="A2293">
        <v>28878</v>
      </c>
      <c r="B2293" t="str">
        <f>"028878"</f>
        <v>028878</v>
      </c>
      <c r="C2293" t="s">
        <v>7582</v>
      </c>
      <c r="D2293" t="s">
        <v>3394</v>
      </c>
      <c r="E2293" t="s">
        <v>3395</v>
      </c>
      <c r="F2293" t="s">
        <v>3396</v>
      </c>
      <c r="G2293" t="s">
        <v>150</v>
      </c>
      <c r="H2293" t="s">
        <v>7583</v>
      </c>
      <c r="I2293" t="s">
        <v>7584</v>
      </c>
      <c r="J2293" t="s">
        <v>257</v>
      </c>
      <c r="K2293" t="s">
        <v>55</v>
      </c>
      <c r="L2293" t="s">
        <v>3243</v>
      </c>
      <c r="M2293" t="s">
        <v>57</v>
      </c>
      <c r="N2293" t="str">
        <f>"049379"</f>
        <v>049379</v>
      </c>
      <c r="O2293" t="s">
        <v>3240</v>
      </c>
      <c r="P2293" t="s">
        <v>68</v>
      </c>
      <c r="Q2293">
        <v>38.200000000000003</v>
      </c>
      <c r="R2293">
        <v>29.299999999999997</v>
      </c>
      <c r="S2293" t="s">
        <v>156</v>
      </c>
    </row>
    <row r="2294" spans="1:19" x14ac:dyDescent="0.35">
      <c r="A2294">
        <v>28886</v>
      </c>
      <c r="B2294" t="str">
        <f>"028886"</f>
        <v>028886</v>
      </c>
      <c r="C2294" t="s">
        <v>7585</v>
      </c>
      <c r="D2294" t="s">
        <v>3394</v>
      </c>
      <c r="E2294" t="s">
        <v>3395</v>
      </c>
      <c r="F2294" t="s">
        <v>3396</v>
      </c>
      <c r="G2294" t="s">
        <v>200</v>
      </c>
      <c r="H2294" t="s">
        <v>7586</v>
      </c>
      <c r="I2294" t="s">
        <v>7587</v>
      </c>
      <c r="J2294" t="s">
        <v>304</v>
      </c>
      <c r="K2294" t="s">
        <v>55</v>
      </c>
      <c r="L2294" t="s">
        <v>305</v>
      </c>
      <c r="M2294" t="s">
        <v>57</v>
      </c>
      <c r="N2294" t="str">
        <f>"048215"</f>
        <v>048215</v>
      </c>
      <c r="O2294" t="s">
        <v>336</v>
      </c>
      <c r="P2294" t="s">
        <v>68</v>
      </c>
      <c r="Q2294">
        <v>2.5</v>
      </c>
      <c r="R2294">
        <v>27.900000000000006</v>
      </c>
      <c r="S2294" t="s">
        <v>156</v>
      </c>
    </row>
    <row r="2295" spans="1:19" x14ac:dyDescent="0.35">
      <c r="A2295">
        <v>28894</v>
      </c>
      <c r="B2295" t="str">
        <f>"028894"</f>
        <v>028894</v>
      </c>
      <c r="C2295" t="s">
        <v>7588</v>
      </c>
      <c r="D2295" t="s">
        <v>3398</v>
      </c>
      <c r="E2295" t="s">
        <v>3395</v>
      </c>
      <c r="F2295" t="s">
        <v>3396</v>
      </c>
      <c r="G2295" t="s">
        <v>200</v>
      </c>
      <c r="H2295" t="s">
        <v>7589</v>
      </c>
      <c r="I2295" t="s">
        <v>7590</v>
      </c>
      <c r="J2295" t="s">
        <v>304</v>
      </c>
      <c r="K2295" t="s">
        <v>55</v>
      </c>
      <c r="L2295" t="s">
        <v>305</v>
      </c>
      <c r="M2295" t="s">
        <v>57</v>
      </c>
      <c r="N2295" t="str">
        <f>"048215"</f>
        <v>048215</v>
      </c>
      <c r="O2295" t="s">
        <v>336</v>
      </c>
      <c r="P2295" t="s">
        <v>68</v>
      </c>
      <c r="Q2295">
        <v>0</v>
      </c>
      <c r="R2295">
        <v>25.099999999999994</v>
      </c>
      <c r="S2295" t="s">
        <v>156</v>
      </c>
    </row>
    <row r="2296" spans="1:19" x14ac:dyDescent="0.35">
      <c r="A2296">
        <v>28902</v>
      </c>
      <c r="B2296" t="str">
        <f>"028902"</f>
        <v>028902</v>
      </c>
      <c r="C2296" t="s">
        <v>7591</v>
      </c>
      <c r="D2296" t="s">
        <v>3394</v>
      </c>
      <c r="E2296" t="s">
        <v>3395</v>
      </c>
      <c r="F2296" t="s">
        <v>3396</v>
      </c>
      <c r="G2296" t="s">
        <v>200</v>
      </c>
      <c r="H2296" t="s">
        <v>7592</v>
      </c>
      <c r="I2296" t="s">
        <v>7593</v>
      </c>
      <c r="J2296" t="s">
        <v>304</v>
      </c>
      <c r="K2296" t="s">
        <v>55</v>
      </c>
      <c r="L2296" t="s">
        <v>4350</v>
      </c>
      <c r="M2296" t="s">
        <v>57</v>
      </c>
      <c r="N2296" t="str">
        <f>"044909"</f>
        <v>044909</v>
      </c>
      <c r="O2296" t="s">
        <v>3318</v>
      </c>
      <c r="P2296" t="s">
        <v>68</v>
      </c>
      <c r="Q2296">
        <v>89.5</v>
      </c>
      <c r="R2296">
        <v>35.799999999999997</v>
      </c>
      <c r="S2296" t="s">
        <v>156</v>
      </c>
    </row>
    <row r="2297" spans="1:19" x14ac:dyDescent="0.35">
      <c r="A2297">
        <v>28910</v>
      </c>
      <c r="B2297" t="str">
        <f>"028910"</f>
        <v>028910</v>
      </c>
      <c r="C2297" t="s">
        <v>7594</v>
      </c>
      <c r="D2297" t="s">
        <v>3398</v>
      </c>
      <c r="E2297" t="s">
        <v>3395</v>
      </c>
      <c r="F2297" t="s">
        <v>3396</v>
      </c>
      <c r="G2297" t="s">
        <v>150</v>
      </c>
      <c r="H2297" t="s">
        <v>3241</v>
      </c>
      <c r="I2297" t="s">
        <v>3242</v>
      </c>
      <c r="J2297" t="s">
        <v>257</v>
      </c>
      <c r="K2297" t="s">
        <v>55</v>
      </c>
      <c r="L2297" t="s">
        <v>3243</v>
      </c>
      <c r="M2297" t="s">
        <v>57</v>
      </c>
      <c r="N2297" t="str">
        <f>"049379"</f>
        <v>049379</v>
      </c>
      <c r="O2297" t="s">
        <v>3240</v>
      </c>
      <c r="P2297" t="s">
        <v>68</v>
      </c>
      <c r="Q2297">
        <v>11.1</v>
      </c>
      <c r="R2297">
        <v>11.299999999999997</v>
      </c>
      <c r="S2297" t="s">
        <v>156</v>
      </c>
    </row>
    <row r="2298" spans="1:19" x14ac:dyDescent="0.35">
      <c r="A2298">
        <v>28928</v>
      </c>
      <c r="B2298" t="str">
        <f>"028928"</f>
        <v>028928</v>
      </c>
      <c r="C2298" t="s">
        <v>7595</v>
      </c>
      <c r="D2298" t="s">
        <v>3394</v>
      </c>
      <c r="E2298" t="s">
        <v>3395</v>
      </c>
      <c r="F2298" t="s">
        <v>3396</v>
      </c>
      <c r="G2298" t="s">
        <v>150</v>
      </c>
      <c r="H2298" t="s">
        <v>7596</v>
      </c>
      <c r="I2298" t="s">
        <v>7597</v>
      </c>
      <c r="J2298" t="s">
        <v>2804</v>
      </c>
      <c r="K2298" t="s">
        <v>55</v>
      </c>
      <c r="L2298" t="s">
        <v>2805</v>
      </c>
      <c r="M2298" t="s">
        <v>57</v>
      </c>
      <c r="N2298" t="str">
        <f>"049387"</f>
        <v>049387</v>
      </c>
      <c r="O2298" t="s">
        <v>2801</v>
      </c>
      <c r="P2298" t="s">
        <v>68</v>
      </c>
      <c r="Q2298">
        <v>12.4</v>
      </c>
      <c r="R2298">
        <v>2.2000000000000028</v>
      </c>
      <c r="S2298" t="s">
        <v>156</v>
      </c>
    </row>
    <row r="2299" spans="1:19" x14ac:dyDescent="0.35">
      <c r="A2299">
        <v>28936</v>
      </c>
      <c r="B2299" t="str">
        <f>"028936"</f>
        <v>028936</v>
      </c>
      <c r="C2299" t="s">
        <v>7598</v>
      </c>
      <c r="D2299" t="s">
        <v>3398</v>
      </c>
      <c r="E2299" t="s">
        <v>3395</v>
      </c>
      <c r="F2299" t="s">
        <v>3396</v>
      </c>
      <c r="G2299" t="s">
        <v>150</v>
      </c>
      <c r="H2299" t="s">
        <v>7596</v>
      </c>
      <c r="I2299" t="s">
        <v>7597</v>
      </c>
      <c r="J2299" t="s">
        <v>2804</v>
      </c>
      <c r="K2299" t="s">
        <v>55</v>
      </c>
      <c r="L2299" t="s">
        <v>2805</v>
      </c>
      <c r="M2299" t="s">
        <v>57</v>
      </c>
      <c r="N2299" t="str">
        <f>"049387"</f>
        <v>049387</v>
      </c>
      <c r="O2299" t="s">
        <v>2801</v>
      </c>
      <c r="P2299" t="s">
        <v>68</v>
      </c>
      <c r="Q2299">
        <v>13</v>
      </c>
      <c r="R2299">
        <v>2.9000000000000057</v>
      </c>
      <c r="S2299" t="s">
        <v>156</v>
      </c>
    </row>
    <row r="2300" spans="1:19" x14ac:dyDescent="0.35">
      <c r="A2300">
        <v>28969</v>
      </c>
      <c r="B2300" t="str">
        <f>"028969"</f>
        <v>028969</v>
      </c>
      <c r="C2300" t="s">
        <v>7599</v>
      </c>
      <c r="D2300" t="s">
        <v>3394</v>
      </c>
      <c r="E2300" t="s">
        <v>3395</v>
      </c>
      <c r="F2300" t="s">
        <v>3396</v>
      </c>
      <c r="G2300" t="s">
        <v>406</v>
      </c>
      <c r="H2300" t="s">
        <v>7600</v>
      </c>
      <c r="I2300" t="s">
        <v>7601</v>
      </c>
      <c r="J2300" t="s">
        <v>465</v>
      </c>
      <c r="K2300" t="s">
        <v>55</v>
      </c>
      <c r="L2300" t="s">
        <v>466</v>
      </c>
      <c r="M2300" t="s">
        <v>57</v>
      </c>
      <c r="N2300" t="str">
        <f>"044974"</f>
        <v>044974</v>
      </c>
      <c r="O2300" t="s">
        <v>462</v>
      </c>
      <c r="P2300" t="s">
        <v>68</v>
      </c>
      <c r="Q2300">
        <v>18.100000000000001</v>
      </c>
      <c r="R2300">
        <v>11.299999999999997</v>
      </c>
      <c r="S2300" t="s">
        <v>77</v>
      </c>
    </row>
    <row r="2301" spans="1:19" x14ac:dyDescent="0.35">
      <c r="A2301">
        <v>28985</v>
      </c>
      <c r="B2301" t="str">
        <f>"028985"</f>
        <v>028985</v>
      </c>
      <c r="C2301" t="s">
        <v>7602</v>
      </c>
      <c r="D2301" t="s">
        <v>3394</v>
      </c>
      <c r="E2301" t="s">
        <v>3395</v>
      </c>
      <c r="F2301" t="s">
        <v>3396</v>
      </c>
      <c r="G2301" t="s">
        <v>1041</v>
      </c>
      <c r="H2301" t="s">
        <v>7603</v>
      </c>
      <c r="I2301" t="s">
        <v>7604</v>
      </c>
      <c r="J2301" t="s">
        <v>2025</v>
      </c>
      <c r="K2301" t="s">
        <v>55</v>
      </c>
      <c r="L2301" t="s">
        <v>2026</v>
      </c>
      <c r="M2301" t="s">
        <v>57</v>
      </c>
      <c r="N2301" t="str">
        <f>"046326"</f>
        <v>046326</v>
      </c>
      <c r="O2301" t="s">
        <v>2022</v>
      </c>
      <c r="P2301" t="s">
        <v>68</v>
      </c>
      <c r="Q2301">
        <v>45.1</v>
      </c>
      <c r="R2301">
        <v>7.5999999999999943</v>
      </c>
      <c r="S2301" t="s">
        <v>217</v>
      </c>
    </row>
    <row r="2302" spans="1:19" x14ac:dyDescent="0.35">
      <c r="A2302">
        <v>28993</v>
      </c>
      <c r="B2302" t="str">
        <f>"028993"</f>
        <v>028993</v>
      </c>
      <c r="C2302" t="s">
        <v>7605</v>
      </c>
      <c r="D2302" t="s">
        <v>3394</v>
      </c>
      <c r="E2302" t="s">
        <v>3395</v>
      </c>
      <c r="F2302" t="s">
        <v>3396</v>
      </c>
      <c r="G2302" t="s">
        <v>63</v>
      </c>
      <c r="H2302" t="s">
        <v>7606</v>
      </c>
      <c r="I2302" t="s">
        <v>7607</v>
      </c>
      <c r="J2302" t="s">
        <v>1844</v>
      </c>
      <c r="K2302" t="s">
        <v>55</v>
      </c>
      <c r="L2302" t="s">
        <v>3424</v>
      </c>
      <c r="M2302" t="s">
        <v>57</v>
      </c>
      <c r="N2302" t="str">
        <f>"043794"</f>
        <v>043794</v>
      </c>
      <c r="O2302" t="s">
        <v>1912</v>
      </c>
      <c r="P2302" t="s">
        <v>68</v>
      </c>
      <c r="Q2302">
        <v>100</v>
      </c>
      <c r="R2302">
        <v>100</v>
      </c>
      <c r="S2302" t="s">
        <v>69</v>
      </c>
    </row>
    <row r="2303" spans="1:19" x14ac:dyDescent="0.35">
      <c r="A2303">
        <v>29009</v>
      </c>
      <c r="B2303" t="str">
        <f>"029009"</f>
        <v>029009</v>
      </c>
      <c r="C2303" t="s">
        <v>7608</v>
      </c>
      <c r="D2303" t="s">
        <v>3398</v>
      </c>
      <c r="E2303" t="s">
        <v>3395</v>
      </c>
      <c r="F2303" t="s">
        <v>3396</v>
      </c>
      <c r="G2303" t="s">
        <v>212</v>
      </c>
      <c r="H2303" t="s">
        <v>7609</v>
      </c>
      <c r="I2303" t="s">
        <v>7610</v>
      </c>
      <c r="J2303" t="s">
        <v>215</v>
      </c>
      <c r="K2303" t="s">
        <v>55</v>
      </c>
      <c r="L2303" t="s">
        <v>7611</v>
      </c>
      <c r="M2303" t="s">
        <v>57</v>
      </c>
      <c r="N2303" t="str">
        <f>"043752"</f>
        <v>043752</v>
      </c>
      <c r="O2303" t="s">
        <v>440</v>
      </c>
      <c r="P2303" t="s">
        <v>68</v>
      </c>
      <c r="Q2303">
        <v>99.4</v>
      </c>
      <c r="R2303">
        <v>70.2</v>
      </c>
      <c r="S2303" t="s">
        <v>217</v>
      </c>
    </row>
    <row r="2304" spans="1:19" x14ac:dyDescent="0.35">
      <c r="A2304">
        <v>29025</v>
      </c>
      <c r="B2304" t="str">
        <f>"029025"</f>
        <v>029025</v>
      </c>
      <c r="C2304" t="s">
        <v>7612</v>
      </c>
      <c r="D2304" t="s">
        <v>3398</v>
      </c>
      <c r="E2304" t="s">
        <v>3395</v>
      </c>
      <c r="F2304" t="s">
        <v>3396</v>
      </c>
      <c r="G2304" t="s">
        <v>318</v>
      </c>
      <c r="H2304" t="s">
        <v>3329</v>
      </c>
      <c r="I2304" t="s">
        <v>3330</v>
      </c>
      <c r="J2304" t="s">
        <v>3331</v>
      </c>
      <c r="K2304" t="s">
        <v>55</v>
      </c>
      <c r="L2304" t="s">
        <v>3332</v>
      </c>
      <c r="M2304" t="s">
        <v>57</v>
      </c>
      <c r="N2304" t="str">
        <f>"049510"</f>
        <v>049510</v>
      </c>
      <c r="O2304" t="s">
        <v>3328</v>
      </c>
      <c r="P2304" t="s">
        <v>68</v>
      </c>
      <c r="Q2304">
        <v>98.3</v>
      </c>
      <c r="R2304">
        <v>2.9000000000000057</v>
      </c>
      <c r="S2304" t="s">
        <v>130</v>
      </c>
    </row>
    <row r="2305" spans="1:19" x14ac:dyDescent="0.35">
      <c r="A2305">
        <v>29041</v>
      </c>
      <c r="B2305" t="str">
        <f>"029041"</f>
        <v>029041</v>
      </c>
      <c r="C2305" t="s">
        <v>7613</v>
      </c>
      <c r="D2305" t="s">
        <v>3394</v>
      </c>
      <c r="E2305" t="s">
        <v>3395</v>
      </c>
      <c r="F2305" t="s">
        <v>3396</v>
      </c>
      <c r="G2305" t="s">
        <v>642</v>
      </c>
      <c r="H2305" t="s">
        <v>7614</v>
      </c>
      <c r="I2305" t="s">
        <v>7615</v>
      </c>
      <c r="J2305" t="s">
        <v>1461</v>
      </c>
      <c r="K2305" t="s">
        <v>55</v>
      </c>
      <c r="L2305" t="s">
        <v>1462</v>
      </c>
      <c r="M2305" t="s">
        <v>57</v>
      </c>
      <c r="N2305" t="str">
        <f>"043968"</f>
        <v>043968</v>
      </c>
      <c r="O2305" t="s">
        <v>1458</v>
      </c>
      <c r="P2305" t="s">
        <v>68</v>
      </c>
      <c r="Q2305">
        <v>100</v>
      </c>
      <c r="R2305">
        <v>29.099999999999994</v>
      </c>
      <c r="S2305" t="s">
        <v>180</v>
      </c>
    </row>
    <row r="2306" spans="1:19" x14ac:dyDescent="0.35">
      <c r="A2306">
        <v>29066</v>
      </c>
      <c r="B2306" t="str">
        <f>"029066"</f>
        <v>029066</v>
      </c>
      <c r="C2306" t="s">
        <v>7616</v>
      </c>
      <c r="D2306" t="s">
        <v>3394</v>
      </c>
      <c r="E2306" t="s">
        <v>3395</v>
      </c>
      <c r="F2306" t="s">
        <v>3396</v>
      </c>
      <c r="G2306" t="s">
        <v>150</v>
      </c>
      <c r="H2306" t="s">
        <v>458</v>
      </c>
      <c r="I2306" t="s">
        <v>459</v>
      </c>
      <c r="J2306" t="s">
        <v>460</v>
      </c>
      <c r="K2306" t="s">
        <v>55</v>
      </c>
      <c r="L2306" t="s">
        <v>461</v>
      </c>
      <c r="M2306" t="s">
        <v>57</v>
      </c>
      <c r="N2306" t="str">
        <f>"049395"</f>
        <v>049395</v>
      </c>
      <c r="O2306" t="s">
        <v>457</v>
      </c>
      <c r="P2306" t="s">
        <v>68</v>
      </c>
      <c r="Q2306">
        <v>29.5</v>
      </c>
      <c r="R2306">
        <v>5.5</v>
      </c>
      <c r="S2306" t="s">
        <v>156</v>
      </c>
    </row>
    <row r="2307" spans="1:19" x14ac:dyDescent="0.35">
      <c r="A2307">
        <v>29074</v>
      </c>
      <c r="B2307" t="str">
        <f>"029074"</f>
        <v>029074</v>
      </c>
      <c r="C2307" t="s">
        <v>7617</v>
      </c>
      <c r="D2307" t="s">
        <v>3398</v>
      </c>
      <c r="E2307" t="s">
        <v>3395</v>
      </c>
      <c r="F2307" t="s">
        <v>3396</v>
      </c>
      <c r="G2307" t="s">
        <v>150</v>
      </c>
      <c r="H2307" t="s">
        <v>458</v>
      </c>
      <c r="I2307" t="s">
        <v>459</v>
      </c>
      <c r="J2307" t="s">
        <v>460</v>
      </c>
      <c r="K2307" t="s">
        <v>55</v>
      </c>
      <c r="L2307" t="s">
        <v>461</v>
      </c>
      <c r="M2307" t="s">
        <v>57</v>
      </c>
      <c r="N2307" t="str">
        <f>"049395"</f>
        <v>049395</v>
      </c>
      <c r="O2307" t="s">
        <v>457</v>
      </c>
      <c r="P2307" t="s">
        <v>68</v>
      </c>
      <c r="Q2307">
        <v>17.2</v>
      </c>
      <c r="R2307">
        <v>8.9000000000000057</v>
      </c>
      <c r="S2307" t="s">
        <v>156</v>
      </c>
    </row>
    <row r="2308" spans="1:19" x14ac:dyDescent="0.35">
      <c r="A2308">
        <v>29090</v>
      </c>
      <c r="B2308" t="str">
        <f>"029090"</f>
        <v>029090</v>
      </c>
      <c r="C2308" t="s">
        <v>7618</v>
      </c>
      <c r="D2308" t="s">
        <v>3394</v>
      </c>
      <c r="E2308" t="s">
        <v>3395</v>
      </c>
      <c r="F2308" t="s">
        <v>3396</v>
      </c>
      <c r="G2308" t="s">
        <v>511</v>
      </c>
      <c r="H2308" t="s">
        <v>7619</v>
      </c>
      <c r="I2308" t="s">
        <v>7620</v>
      </c>
      <c r="J2308" t="s">
        <v>1293</v>
      </c>
      <c r="K2308" t="s">
        <v>55</v>
      </c>
      <c r="L2308" t="s">
        <v>1294</v>
      </c>
      <c r="M2308" t="s">
        <v>57</v>
      </c>
      <c r="N2308" t="str">
        <f>"047183"</f>
        <v>047183</v>
      </c>
      <c r="O2308" t="s">
        <v>1290</v>
      </c>
      <c r="P2308" t="s">
        <v>68</v>
      </c>
      <c r="Q2308">
        <v>29.1</v>
      </c>
      <c r="R2308">
        <v>10.5</v>
      </c>
      <c r="S2308" t="s">
        <v>69</v>
      </c>
    </row>
    <row r="2309" spans="1:19" x14ac:dyDescent="0.35">
      <c r="A2309">
        <v>29108</v>
      </c>
      <c r="B2309" t="str">
        <f>"029108"</f>
        <v>029108</v>
      </c>
      <c r="C2309" t="s">
        <v>7621</v>
      </c>
      <c r="D2309" t="s">
        <v>3394</v>
      </c>
      <c r="E2309" t="s">
        <v>3395</v>
      </c>
      <c r="F2309" t="s">
        <v>3396</v>
      </c>
      <c r="G2309" t="s">
        <v>344</v>
      </c>
      <c r="H2309" t="s">
        <v>7622</v>
      </c>
      <c r="I2309" t="s">
        <v>7623</v>
      </c>
      <c r="J2309" t="s">
        <v>2488</v>
      </c>
      <c r="K2309" t="s">
        <v>55</v>
      </c>
      <c r="L2309" t="s">
        <v>2489</v>
      </c>
      <c r="M2309" t="s">
        <v>57</v>
      </c>
      <c r="N2309" t="str">
        <f>"047092"</f>
        <v>047092</v>
      </c>
      <c r="O2309" t="s">
        <v>2485</v>
      </c>
      <c r="P2309" t="s">
        <v>68</v>
      </c>
      <c r="Q2309">
        <v>31.9</v>
      </c>
      <c r="R2309">
        <v>13</v>
      </c>
      <c r="S2309" t="s">
        <v>156</v>
      </c>
    </row>
    <row r="2310" spans="1:19" x14ac:dyDescent="0.35">
      <c r="A2310">
        <v>29140</v>
      </c>
      <c r="B2310" t="str">
        <f>"029140"</f>
        <v>029140</v>
      </c>
      <c r="C2310" t="s">
        <v>7624</v>
      </c>
      <c r="D2310" t="s">
        <v>3394</v>
      </c>
      <c r="E2310" t="s">
        <v>3395</v>
      </c>
      <c r="F2310" t="s">
        <v>3396</v>
      </c>
      <c r="G2310" t="s">
        <v>777</v>
      </c>
      <c r="H2310" t="s">
        <v>7625</v>
      </c>
      <c r="I2310" t="s">
        <v>7626</v>
      </c>
      <c r="J2310" t="s">
        <v>1905</v>
      </c>
      <c r="K2310" t="s">
        <v>55</v>
      </c>
      <c r="L2310" t="s">
        <v>1906</v>
      </c>
      <c r="M2310" t="s">
        <v>57</v>
      </c>
      <c r="N2310" t="str">
        <f>"046243"</f>
        <v>046243</v>
      </c>
      <c r="O2310" t="s">
        <v>1902</v>
      </c>
      <c r="P2310" t="s">
        <v>68</v>
      </c>
      <c r="Q2310">
        <v>39.1</v>
      </c>
      <c r="R2310">
        <v>23</v>
      </c>
      <c r="S2310" t="s">
        <v>180</v>
      </c>
    </row>
    <row r="2311" spans="1:19" x14ac:dyDescent="0.35">
      <c r="A2311">
        <v>29157</v>
      </c>
      <c r="B2311" t="str">
        <f>"029157"</f>
        <v>029157</v>
      </c>
      <c r="C2311" t="s">
        <v>7627</v>
      </c>
      <c r="D2311" t="s">
        <v>3394</v>
      </c>
      <c r="E2311" t="s">
        <v>3395</v>
      </c>
      <c r="F2311" t="s">
        <v>3396</v>
      </c>
      <c r="G2311" t="s">
        <v>194</v>
      </c>
      <c r="H2311" t="s">
        <v>3018</v>
      </c>
      <c r="I2311" t="s">
        <v>3019</v>
      </c>
      <c r="J2311" t="s">
        <v>3020</v>
      </c>
      <c r="K2311" t="s">
        <v>55</v>
      </c>
      <c r="L2311" t="s">
        <v>3021</v>
      </c>
      <c r="M2311" t="s">
        <v>57</v>
      </c>
      <c r="N2311" t="str">
        <f>"049155"</f>
        <v>049155</v>
      </c>
      <c r="O2311" t="s">
        <v>3017</v>
      </c>
      <c r="P2311" t="s">
        <v>68</v>
      </c>
      <c r="Q2311">
        <v>100</v>
      </c>
      <c r="R2311">
        <v>0.59999999999999432</v>
      </c>
      <c r="S2311" t="s">
        <v>130</v>
      </c>
    </row>
    <row r="2312" spans="1:19" x14ac:dyDescent="0.35">
      <c r="A2312">
        <v>29181</v>
      </c>
      <c r="B2312" t="str">
        <f>"029181"</f>
        <v>029181</v>
      </c>
      <c r="C2312" t="s">
        <v>7628</v>
      </c>
      <c r="D2312" t="s">
        <v>3394</v>
      </c>
      <c r="E2312" t="s">
        <v>3395</v>
      </c>
      <c r="F2312" t="s">
        <v>3396</v>
      </c>
      <c r="G2312" t="s">
        <v>600</v>
      </c>
      <c r="H2312" t="s">
        <v>7629</v>
      </c>
      <c r="I2312" t="s">
        <v>7630</v>
      </c>
      <c r="J2312" t="s">
        <v>1348</v>
      </c>
      <c r="K2312" t="s">
        <v>55</v>
      </c>
      <c r="L2312" t="s">
        <v>3462</v>
      </c>
      <c r="M2312" t="s">
        <v>57</v>
      </c>
      <c r="N2312" t="str">
        <f>"043802"</f>
        <v>043802</v>
      </c>
      <c r="O2312" t="s">
        <v>3171</v>
      </c>
      <c r="P2312" t="s">
        <v>68</v>
      </c>
      <c r="Q2312">
        <v>100</v>
      </c>
      <c r="R2312">
        <v>89.3</v>
      </c>
      <c r="S2312" t="s">
        <v>60</v>
      </c>
    </row>
    <row r="2313" spans="1:19" x14ac:dyDescent="0.35">
      <c r="A2313">
        <v>29207</v>
      </c>
      <c r="B2313" t="str">
        <f>"029207"</f>
        <v>029207</v>
      </c>
      <c r="C2313" t="s">
        <v>7631</v>
      </c>
      <c r="D2313" t="s">
        <v>3394</v>
      </c>
      <c r="E2313" t="s">
        <v>3395</v>
      </c>
      <c r="F2313" t="s">
        <v>3396</v>
      </c>
      <c r="G2313" t="s">
        <v>63</v>
      </c>
      <c r="H2313" t="s">
        <v>7632</v>
      </c>
      <c r="I2313" t="s">
        <v>7633</v>
      </c>
      <c r="J2313" t="s">
        <v>3051</v>
      </c>
      <c r="K2313" t="s">
        <v>55</v>
      </c>
      <c r="L2313" t="s">
        <v>3052</v>
      </c>
      <c r="M2313" t="s">
        <v>57</v>
      </c>
      <c r="N2313" t="str">
        <f>"045062"</f>
        <v>045062</v>
      </c>
      <c r="O2313" t="s">
        <v>3048</v>
      </c>
      <c r="P2313" t="s">
        <v>68</v>
      </c>
      <c r="Q2313">
        <v>15.4</v>
      </c>
      <c r="R2313">
        <v>24.900000000000006</v>
      </c>
      <c r="S2313" t="s">
        <v>69</v>
      </c>
    </row>
    <row r="2314" spans="1:19" x14ac:dyDescent="0.35">
      <c r="A2314">
        <v>29223</v>
      </c>
      <c r="B2314" t="str">
        <f>"029223"</f>
        <v>029223</v>
      </c>
      <c r="C2314" t="s">
        <v>7634</v>
      </c>
      <c r="D2314" t="s">
        <v>3394</v>
      </c>
      <c r="E2314" t="s">
        <v>3395</v>
      </c>
      <c r="F2314" t="s">
        <v>3396</v>
      </c>
      <c r="G2314" t="s">
        <v>63</v>
      </c>
      <c r="H2314" t="s">
        <v>7635</v>
      </c>
      <c r="I2314" t="s">
        <v>7636</v>
      </c>
      <c r="J2314" t="s">
        <v>2869</v>
      </c>
      <c r="K2314" t="s">
        <v>55</v>
      </c>
      <c r="L2314" t="s">
        <v>2870</v>
      </c>
      <c r="M2314" t="s">
        <v>57</v>
      </c>
      <c r="N2314" t="str">
        <f>"043976"</f>
        <v>043976</v>
      </c>
      <c r="O2314" t="s">
        <v>2866</v>
      </c>
      <c r="P2314" t="s">
        <v>68</v>
      </c>
      <c r="Q2314">
        <v>24</v>
      </c>
      <c r="R2314">
        <v>14</v>
      </c>
      <c r="S2314" t="s">
        <v>69</v>
      </c>
    </row>
    <row r="2315" spans="1:19" x14ac:dyDescent="0.35">
      <c r="A2315">
        <v>29249</v>
      </c>
      <c r="B2315" t="str">
        <f>"029249"</f>
        <v>029249</v>
      </c>
      <c r="C2315" t="s">
        <v>7637</v>
      </c>
      <c r="D2315" t="s">
        <v>3394</v>
      </c>
      <c r="E2315" t="s">
        <v>3395</v>
      </c>
      <c r="F2315" t="s">
        <v>3396</v>
      </c>
      <c r="G2315" t="s">
        <v>187</v>
      </c>
      <c r="H2315" t="s">
        <v>7638</v>
      </c>
      <c r="I2315" t="s">
        <v>7639</v>
      </c>
      <c r="J2315" t="s">
        <v>309</v>
      </c>
      <c r="K2315" t="s">
        <v>55</v>
      </c>
      <c r="L2315" t="s">
        <v>310</v>
      </c>
      <c r="M2315" t="s">
        <v>57</v>
      </c>
      <c r="N2315" t="str">
        <f>"045120"</f>
        <v>045120</v>
      </c>
      <c r="O2315" t="s">
        <v>306</v>
      </c>
      <c r="P2315" t="s">
        <v>68</v>
      </c>
      <c r="Q2315">
        <v>46.6</v>
      </c>
      <c r="R2315">
        <v>17.700000000000003</v>
      </c>
      <c r="S2315" t="s">
        <v>77</v>
      </c>
    </row>
    <row r="2316" spans="1:19" x14ac:dyDescent="0.35">
      <c r="A2316">
        <v>29256</v>
      </c>
      <c r="B2316" t="str">
        <f>"029256"</f>
        <v>029256</v>
      </c>
      <c r="C2316" t="s">
        <v>7640</v>
      </c>
      <c r="D2316" t="s">
        <v>3394</v>
      </c>
      <c r="E2316" t="s">
        <v>3395</v>
      </c>
      <c r="F2316" t="s">
        <v>3396</v>
      </c>
      <c r="G2316" t="s">
        <v>117</v>
      </c>
      <c r="H2316" t="s">
        <v>7641</v>
      </c>
      <c r="I2316" t="s">
        <v>7642</v>
      </c>
      <c r="J2316" t="s">
        <v>120</v>
      </c>
      <c r="K2316" t="s">
        <v>55</v>
      </c>
      <c r="L2316" t="s">
        <v>121</v>
      </c>
      <c r="M2316" t="s">
        <v>57</v>
      </c>
      <c r="N2316" t="str">
        <f>"043497"</f>
        <v>043497</v>
      </c>
      <c r="O2316" t="s">
        <v>2889</v>
      </c>
      <c r="P2316" t="s">
        <v>68</v>
      </c>
      <c r="Q2316">
        <v>100</v>
      </c>
      <c r="R2316">
        <v>33</v>
      </c>
      <c r="S2316" t="s">
        <v>77</v>
      </c>
    </row>
    <row r="2317" spans="1:19" x14ac:dyDescent="0.35">
      <c r="A2317">
        <v>29272</v>
      </c>
      <c r="B2317" t="str">
        <f>"029272"</f>
        <v>029272</v>
      </c>
      <c r="C2317" t="s">
        <v>7643</v>
      </c>
      <c r="D2317" t="s">
        <v>3400</v>
      </c>
      <c r="E2317" t="s">
        <v>3395</v>
      </c>
      <c r="F2317" t="s">
        <v>3396</v>
      </c>
      <c r="G2317" t="s">
        <v>423</v>
      </c>
      <c r="H2317" t="s">
        <v>1326</v>
      </c>
      <c r="I2317" t="s">
        <v>1327</v>
      </c>
      <c r="J2317" t="s">
        <v>1328</v>
      </c>
      <c r="K2317" t="s">
        <v>55</v>
      </c>
      <c r="L2317" t="s">
        <v>1329</v>
      </c>
      <c r="M2317" t="s">
        <v>57</v>
      </c>
      <c r="N2317" t="str">
        <f>"048579"</f>
        <v>048579</v>
      </c>
      <c r="O2317" t="s">
        <v>1325</v>
      </c>
      <c r="P2317" t="s">
        <v>68</v>
      </c>
      <c r="Q2317">
        <v>27.4</v>
      </c>
      <c r="R2317">
        <v>3.7999999999999972</v>
      </c>
      <c r="S2317" t="s">
        <v>156</v>
      </c>
    </row>
    <row r="2318" spans="1:19" x14ac:dyDescent="0.35">
      <c r="A2318">
        <v>29280</v>
      </c>
      <c r="B2318" t="str">
        <f>"029280"</f>
        <v>029280</v>
      </c>
      <c r="C2318" t="s">
        <v>7644</v>
      </c>
      <c r="D2318" t="s">
        <v>3398</v>
      </c>
      <c r="E2318" t="s">
        <v>3395</v>
      </c>
      <c r="F2318" t="s">
        <v>3396</v>
      </c>
      <c r="G2318" t="s">
        <v>423</v>
      </c>
      <c r="H2318" t="s">
        <v>1326</v>
      </c>
      <c r="I2318" t="s">
        <v>1327</v>
      </c>
      <c r="J2318" t="s">
        <v>1328</v>
      </c>
      <c r="K2318" t="s">
        <v>55</v>
      </c>
      <c r="L2318" t="s">
        <v>1329</v>
      </c>
      <c r="M2318" t="s">
        <v>57</v>
      </c>
      <c r="N2318" t="str">
        <f>"048579"</f>
        <v>048579</v>
      </c>
      <c r="O2318" t="s">
        <v>1325</v>
      </c>
      <c r="P2318" t="s">
        <v>68</v>
      </c>
      <c r="Q2318">
        <v>23.8</v>
      </c>
      <c r="R2318">
        <v>2.9000000000000057</v>
      </c>
      <c r="S2318" t="s">
        <v>156</v>
      </c>
    </row>
    <row r="2319" spans="1:19" x14ac:dyDescent="0.35">
      <c r="A2319">
        <v>29306</v>
      </c>
      <c r="B2319" t="str">
        <f>"029306"</f>
        <v>029306</v>
      </c>
      <c r="C2319" t="s">
        <v>7645</v>
      </c>
      <c r="D2319" t="s">
        <v>3394</v>
      </c>
      <c r="E2319" t="s">
        <v>3395</v>
      </c>
      <c r="F2319" t="s">
        <v>3396</v>
      </c>
      <c r="G2319" t="s">
        <v>572</v>
      </c>
      <c r="H2319" t="s">
        <v>7646</v>
      </c>
      <c r="I2319" t="s">
        <v>7647</v>
      </c>
      <c r="J2319" t="s">
        <v>2954</v>
      </c>
      <c r="K2319" t="s">
        <v>55</v>
      </c>
      <c r="L2319" t="s">
        <v>2955</v>
      </c>
      <c r="M2319" t="s">
        <v>57</v>
      </c>
      <c r="N2319" t="str">
        <f>"044784"</f>
        <v>044784</v>
      </c>
      <c r="O2319" t="s">
        <v>2951</v>
      </c>
      <c r="P2319" t="s">
        <v>68</v>
      </c>
      <c r="Q2319">
        <v>56.9</v>
      </c>
      <c r="R2319">
        <v>28.599999999999994</v>
      </c>
      <c r="S2319" t="s">
        <v>180</v>
      </c>
    </row>
    <row r="2320" spans="1:19" x14ac:dyDescent="0.35">
      <c r="A2320">
        <v>29322</v>
      </c>
      <c r="B2320" t="str">
        <f>"029322"</f>
        <v>029322</v>
      </c>
      <c r="C2320" t="s">
        <v>7648</v>
      </c>
      <c r="D2320" t="s">
        <v>3394</v>
      </c>
      <c r="E2320" t="s">
        <v>3395</v>
      </c>
      <c r="F2320" t="s">
        <v>3396</v>
      </c>
      <c r="G2320" t="s">
        <v>642</v>
      </c>
      <c r="H2320" t="s">
        <v>7649</v>
      </c>
      <c r="I2320" t="s">
        <v>7650</v>
      </c>
      <c r="J2320" t="s">
        <v>2447</v>
      </c>
      <c r="K2320" t="s">
        <v>55</v>
      </c>
      <c r="L2320" t="s">
        <v>4925</v>
      </c>
      <c r="M2320" t="s">
        <v>57</v>
      </c>
      <c r="N2320" t="str">
        <f>"047241"</f>
        <v>047241</v>
      </c>
      <c r="O2320" t="s">
        <v>2444</v>
      </c>
      <c r="P2320" t="s">
        <v>68</v>
      </c>
      <c r="Q2320">
        <v>21.7</v>
      </c>
      <c r="R2320">
        <v>12.5</v>
      </c>
      <c r="S2320" t="s">
        <v>180</v>
      </c>
    </row>
    <row r="2321" spans="1:19" x14ac:dyDescent="0.35">
      <c r="A2321">
        <v>29355</v>
      </c>
      <c r="B2321" t="str">
        <f>"029355"</f>
        <v>029355</v>
      </c>
      <c r="C2321" t="s">
        <v>7651</v>
      </c>
      <c r="D2321" t="s">
        <v>3394</v>
      </c>
      <c r="E2321" t="s">
        <v>3395</v>
      </c>
      <c r="F2321" t="s">
        <v>3396</v>
      </c>
      <c r="G2321" t="s">
        <v>600</v>
      </c>
      <c r="H2321" t="s">
        <v>7652</v>
      </c>
      <c r="I2321" t="s">
        <v>7653</v>
      </c>
      <c r="J2321" t="s">
        <v>1348</v>
      </c>
      <c r="K2321" t="s">
        <v>55</v>
      </c>
      <c r="L2321" t="s">
        <v>2733</v>
      </c>
      <c r="M2321" t="s">
        <v>57</v>
      </c>
      <c r="N2321" t="str">
        <f>"043802"</f>
        <v>043802</v>
      </c>
      <c r="O2321" t="s">
        <v>3171</v>
      </c>
      <c r="P2321" t="s">
        <v>68</v>
      </c>
      <c r="Q2321">
        <v>100</v>
      </c>
      <c r="R2321">
        <v>43</v>
      </c>
      <c r="S2321" t="s">
        <v>60</v>
      </c>
    </row>
    <row r="2322" spans="1:19" x14ac:dyDescent="0.35">
      <c r="A2322">
        <v>29363</v>
      </c>
      <c r="B2322" t="str">
        <f>"029363"</f>
        <v>029363</v>
      </c>
      <c r="C2322" t="s">
        <v>7654</v>
      </c>
      <c r="D2322" t="s">
        <v>3394</v>
      </c>
      <c r="E2322" t="s">
        <v>3395</v>
      </c>
      <c r="F2322" t="s">
        <v>3396</v>
      </c>
      <c r="G2322" t="s">
        <v>110</v>
      </c>
      <c r="H2322" t="s">
        <v>7655</v>
      </c>
      <c r="I2322" t="s">
        <v>7656</v>
      </c>
      <c r="J2322" t="s">
        <v>1027</v>
      </c>
      <c r="K2322" t="s">
        <v>55</v>
      </c>
      <c r="L2322" t="s">
        <v>1028</v>
      </c>
      <c r="M2322" t="s">
        <v>57</v>
      </c>
      <c r="N2322" t="str">
        <f>"048041"</f>
        <v>048041</v>
      </c>
      <c r="O2322" t="s">
        <v>2424</v>
      </c>
      <c r="P2322" t="s">
        <v>68</v>
      </c>
      <c r="Q2322">
        <v>44.7</v>
      </c>
      <c r="R2322">
        <v>32.299999999999997</v>
      </c>
      <c r="S2322" t="s">
        <v>60</v>
      </c>
    </row>
    <row r="2323" spans="1:19" x14ac:dyDescent="0.35">
      <c r="A2323">
        <v>29371</v>
      </c>
      <c r="B2323" t="str">
        <f>"029371"</f>
        <v>029371</v>
      </c>
      <c r="C2323" t="s">
        <v>7657</v>
      </c>
      <c r="D2323" t="s">
        <v>3394</v>
      </c>
      <c r="E2323" t="s">
        <v>3395</v>
      </c>
      <c r="F2323" t="s">
        <v>3396</v>
      </c>
      <c r="G2323" t="s">
        <v>63</v>
      </c>
      <c r="H2323" t="s">
        <v>7658</v>
      </c>
      <c r="I2323" t="s">
        <v>7659</v>
      </c>
      <c r="J2323" t="s">
        <v>285</v>
      </c>
      <c r="K2323" t="s">
        <v>55</v>
      </c>
      <c r="L2323" t="s">
        <v>5493</v>
      </c>
      <c r="M2323" t="s">
        <v>57</v>
      </c>
      <c r="N2323" t="str">
        <f>"043786"</f>
        <v>043786</v>
      </c>
      <c r="O2323" t="s">
        <v>1340</v>
      </c>
      <c r="P2323" t="s">
        <v>68</v>
      </c>
      <c r="Q2323">
        <v>100</v>
      </c>
      <c r="R2323">
        <v>100</v>
      </c>
      <c r="S2323" t="s">
        <v>69</v>
      </c>
    </row>
    <row r="2324" spans="1:19" x14ac:dyDescent="0.35">
      <c r="A2324">
        <v>29413</v>
      </c>
      <c r="B2324" t="str">
        <f>"029413"</f>
        <v>029413</v>
      </c>
      <c r="C2324" t="s">
        <v>7660</v>
      </c>
      <c r="D2324" t="s">
        <v>3394</v>
      </c>
      <c r="E2324" t="s">
        <v>3395</v>
      </c>
      <c r="F2324" t="s">
        <v>3396</v>
      </c>
      <c r="G2324" t="s">
        <v>63</v>
      </c>
      <c r="H2324" t="s">
        <v>7661</v>
      </c>
      <c r="I2324" t="s">
        <v>7662</v>
      </c>
      <c r="J2324" t="s">
        <v>285</v>
      </c>
      <c r="K2324" t="s">
        <v>55</v>
      </c>
      <c r="L2324" t="s">
        <v>7551</v>
      </c>
      <c r="M2324" t="s">
        <v>57</v>
      </c>
      <c r="N2324" t="str">
        <f>"043786"</f>
        <v>043786</v>
      </c>
      <c r="O2324" t="s">
        <v>1340</v>
      </c>
      <c r="P2324" t="s">
        <v>68</v>
      </c>
      <c r="Q2324">
        <v>100</v>
      </c>
      <c r="R2324">
        <v>81.2</v>
      </c>
      <c r="S2324" t="s">
        <v>69</v>
      </c>
    </row>
    <row r="2325" spans="1:19" x14ac:dyDescent="0.35">
      <c r="A2325">
        <v>29439</v>
      </c>
      <c r="B2325" t="str">
        <f>"029439"</f>
        <v>029439</v>
      </c>
      <c r="C2325" t="s">
        <v>7663</v>
      </c>
      <c r="D2325" t="s">
        <v>3394</v>
      </c>
      <c r="E2325" t="s">
        <v>3395</v>
      </c>
      <c r="F2325" t="s">
        <v>3396</v>
      </c>
      <c r="G2325" t="s">
        <v>511</v>
      </c>
      <c r="H2325" t="s">
        <v>1047</v>
      </c>
      <c r="I2325" t="s">
        <v>1048</v>
      </c>
      <c r="J2325" t="s">
        <v>1049</v>
      </c>
      <c r="K2325" t="s">
        <v>55</v>
      </c>
      <c r="L2325" t="s">
        <v>1050</v>
      </c>
      <c r="M2325" t="s">
        <v>57</v>
      </c>
      <c r="N2325" t="str">
        <f>"047191"</f>
        <v>047191</v>
      </c>
      <c r="O2325" t="s">
        <v>1046</v>
      </c>
      <c r="P2325" t="s">
        <v>68</v>
      </c>
      <c r="Q2325">
        <v>10.4</v>
      </c>
      <c r="R2325">
        <v>11.200000000000003</v>
      </c>
      <c r="S2325" t="s">
        <v>69</v>
      </c>
    </row>
    <row r="2326" spans="1:19" x14ac:dyDescent="0.35">
      <c r="A2326">
        <v>29447</v>
      </c>
      <c r="B2326" t="str">
        <f>"029447"</f>
        <v>029447</v>
      </c>
      <c r="C2326" t="s">
        <v>7664</v>
      </c>
      <c r="D2326" t="s">
        <v>3400</v>
      </c>
      <c r="E2326" t="s">
        <v>3395</v>
      </c>
      <c r="F2326" t="s">
        <v>3396</v>
      </c>
      <c r="G2326" t="s">
        <v>434</v>
      </c>
      <c r="H2326" t="s">
        <v>1768</v>
      </c>
      <c r="I2326" t="s">
        <v>1769</v>
      </c>
      <c r="J2326" t="s">
        <v>434</v>
      </c>
      <c r="K2326" t="s">
        <v>55</v>
      </c>
      <c r="L2326" t="s">
        <v>1770</v>
      </c>
      <c r="M2326" t="s">
        <v>57</v>
      </c>
      <c r="N2326" t="str">
        <f>"045575"</f>
        <v>045575</v>
      </c>
      <c r="O2326" t="s">
        <v>1767</v>
      </c>
      <c r="P2326" t="s">
        <v>68</v>
      </c>
      <c r="Q2326">
        <v>57.5</v>
      </c>
      <c r="R2326">
        <v>13.5</v>
      </c>
      <c r="S2326" t="s">
        <v>156</v>
      </c>
    </row>
    <row r="2327" spans="1:19" x14ac:dyDescent="0.35">
      <c r="A2327">
        <v>29454</v>
      </c>
      <c r="B2327" t="str">
        <f>"029454"</f>
        <v>029454</v>
      </c>
      <c r="C2327" t="s">
        <v>7665</v>
      </c>
      <c r="D2327" t="s">
        <v>3398</v>
      </c>
      <c r="E2327" t="s">
        <v>3395</v>
      </c>
      <c r="F2327" t="s">
        <v>3396</v>
      </c>
      <c r="G2327" t="s">
        <v>434</v>
      </c>
      <c r="H2327" t="s">
        <v>1768</v>
      </c>
      <c r="I2327" t="s">
        <v>1769</v>
      </c>
      <c r="J2327" t="s">
        <v>434</v>
      </c>
      <c r="K2327" t="s">
        <v>55</v>
      </c>
      <c r="L2327" t="s">
        <v>1770</v>
      </c>
      <c r="M2327" t="s">
        <v>57</v>
      </c>
      <c r="N2327" t="str">
        <f>"045575"</f>
        <v>045575</v>
      </c>
      <c r="O2327" t="s">
        <v>1767</v>
      </c>
      <c r="P2327" t="s">
        <v>68</v>
      </c>
      <c r="Q2327">
        <v>54.9</v>
      </c>
      <c r="R2327">
        <v>15.099999999999994</v>
      </c>
      <c r="S2327" t="s">
        <v>156</v>
      </c>
    </row>
    <row r="2328" spans="1:19" x14ac:dyDescent="0.35">
      <c r="A2328">
        <v>29462</v>
      </c>
      <c r="B2328" t="str">
        <f>"029462"</f>
        <v>029462</v>
      </c>
      <c r="C2328" t="s">
        <v>7666</v>
      </c>
      <c r="D2328" t="s">
        <v>3394</v>
      </c>
      <c r="E2328" t="s">
        <v>3395</v>
      </c>
      <c r="F2328" t="s">
        <v>3396</v>
      </c>
      <c r="G2328" t="s">
        <v>434</v>
      </c>
      <c r="H2328" t="s">
        <v>7667</v>
      </c>
      <c r="I2328" t="s">
        <v>7668</v>
      </c>
      <c r="J2328" t="s">
        <v>7669</v>
      </c>
      <c r="K2328" t="s">
        <v>55</v>
      </c>
      <c r="L2328" t="s">
        <v>7670</v>
      </c>
      <c r="M2328" t="s">
        <v>57</v>
      </c>
      <c r="N2328" t="str">
        <f>"049031"</f>
        <v>049031</v>
      </c>
      <c r="O2328" t="s">
        <v>1439</v>
      </c>
      <c r="P2328" t="s">
        <v>68</v>
      </c>
      <c r="Q2328">
        <v>44.1</v>
      </c>
      <c r="R2328">
        <v>6.4000000000000057</v>
      </c>
      <c r="S2328" t="s">
        <v>156</v>
      </c>
    </row>
    <row r="2329" spans="1:19" x14ac:dyDescent="0.35">
      <c r="A2329">
        <v>29470</v>
      </c>
      <c r="B2329" t="str">
        <f>"029470"</f>
        <v>029470</v>
      </c>
      <c r="C2329" t="s">
        <v>7671</v>
      </c>
      <c r="D2329" t="s">
        <v>3398</v>
      </c>
      <c r="E2329" t="s">
        <v>3395</v>
      </c>
      <c r="F2329" t="s">
        <v>3396</v>
      </c>
      <c r="G2329" t="s">
        <v>434</v>
      </c>
      <c r="H2329" t="s">
        <v>1440</v>
      </c>
      <c r="I2329" t="s">
        <v>1441</v>
      </c>
      <c r="J2329" t="s">
        <v>1442</v>
      </c>
      <c r="K2329" t="s">
        <v>55</v>
      </c>
      <c r="L2329" t="s">
        <v>1443</v>
      </c>
      <c r="M2329" t="s">
        <v>57</v>
      </c>
      <c r="N2329" t="str">
        <f>"049031"</f>
        <v>049031</v>
      </c>
      <c r="O2329" t="s">
        <v>1439</v>
      </c>
      <c r="P2329" t="s">
        <v>68</v>
      </c>
      <c r="Q2329">
        <v>32.799999999999997</v>
      </c>
      <c r="R2329">
        <v>4.9000000000000057</v>
      </c>
      <c r="S2329" t="s">
        <v>156</v>
      </c>
    </row>
    <row r="2330" spans="1:19" x14ac:dyDescent="0.35">
      <c r="A2330">
        <v>29520</v>
      </c>
      <c r="B2330" t="str">
        <f>"029520"</f>
        <v>029520</v>
      </c>
      <c r="C2330" t="s">
        <v>7672</v>
      </c>
      <c r="D2330" t="s">
        <v>3394</v>
      </c>
      <c r="E2330" t="s">
        <v>3395</v>
      </c>
      <c r="F2330" t="s">
        <v>3396</v>
      </c>
      <c r="G2330" t="s">
        <v>621</v>
      </c>
      <c r="H2330" t="s">
        <v>7673</v>
      </c>
      <c r="I2330" t="s">
        <v>7674</v>
      </c>
      <c r="J2330" t="s">
        <v>7675</v>
      </c>
      <c r="K2330" t="s">
        <v>55</v>
      </c>
      <c r="L2330" t="s">
        <v>7676</v>
      </c>
      <c r="M2330" t="s">
        <v>57</v>
      </c>
      <c r="N2330" t="str">
        <f>"061903"</f>
        <v>061903</v>
      </c>
      <c r="O2330" t="s">
        <v>620</v>
      </c>
      <c r="P2330" t="s">
        <v>68</v>
      </c>
      <c r="Q2330">
        <v>56.9</v>
      </c>
      <c r="R2330">
        <v>2.0999999999999943</v>
      </c>
      <c r="S2330" t="s">
        <v>130</v>
      </c>
    </row>
    <row r="2331" spans="1:19" x14ac:dyDescent="0.35">
      <c r="A2331">
        <v>29538</v>
      </c>
      <c r="B2331" t="str">
        <f>"029538"</f>
        <v>029538</v>
      </c>
      <c r="C2331" t="s">
        <v>7677</v>
      </c>
      <c r="D2331" t="s">
        <v>3398</v>
      </c>
      <c r="E2331" t="s">
        <v>3395</v>
      </c>
      <c r="F2331" t="s">
        <v>3396</v>
      </c>
      <c r="G2331" t="s">
        <v>621</v>
      </c>
      <c r="H2331" t="s">
        <v>7678</v>
      </c>
      <c r="I2331" t="s">
        <v>7679</v>
      </c>
      <c r="J2331" t="s">
        <v>7675</v>
      </c>
      <c r="K2331" t="s">
        <v>55</v>
      </c>
      <c r="L2331" t="s">
        <v>7676</v>
      </c>
      <c r="M2331" t="s">
        <v>57</v>
      </c>
      <c r="N2331" t="str">
        <f>"061903"</f>
        <v>061903</v>
      </c>
      <c r="O2331" t="s">
        <v>620</v>
      </c>
      <c r="P2331" t="s">
        <v>68</v>
      </c>
      <c r="Q2331">
        <v>50.9</v>
      </c>
      <c r="R2331">
        <v>2.5</v>
      </c>
      <c r="S2331" t="s">
        <v>130</v>
      </c>
    </row>
    <row r="2332" spans="1:19" x14ac:dyDescent="0.35">
      <c r="A2332">
        <v>29553</v>
      </c>
      <c r="B2332" t="str">
        <f>"029553"</f>
        <v>029553</v>
      </c>
      <c r="C2332" t="s">
        <v>7680</v>
      </c>
      <c r="D2332" t="s">
        <v>3400</v>
      </c>
      <c r="E2332" t="s">
        <v>3395</v>
      </c>
      <c r="F2332" t="s">
        <v>3396</v>
      </c>
      <c r="G2332" t="s">
        <v>212</v>
      </c>
      <c r="H2332" t="s">
        <v>7681</v>
      </c>
      <c r="I2332" t="s">
        <v>7682</v>
      </c>
      <c r="J2332" t="s">
        <v>1697</v>
      </c>
      <c r="K2332" t="s">
        <v>55</v>
      </c>
      <c r="L2332" t="s">
        <v>954</v>
      </c>
      <c r="M2332" t="s">
        <v>57</v>
      </c>
      <c r="N2332" t="str">
        <f>"045146"</f>
        <v>045146</v>
      </c>
      <c r="O2332" t="s">
        <v>1694</v>
      </c>
      <c r="P2332" t="s">
        <v>68</v>
      </c>
      <c r="Q2332">
        <v>9.1</v>
      </c>
      <c r="R2332">
        <v>23.900000000000006</v>
      </c>
      <c r="S2332" t="s">
        <v>217</v>
      </c>
    </row>
    <row r="2333" spans="1:19" x14ac:dyDescent="0.35">
      <c r="A2333">
        <v>29561</v>
      </c>
      <c r="B2333" t="str">
        <f>"029561"</f>
        <v>029561</v>
      </c>
      <c r="C2333" t="s">
        <v>7683</v>
      </c>
      <c r="D2333" t="s">
        <v>3394</v>
      </c>
      <c r="E2333" t="s">
        <v>3395</v>
      </c>
      <c r="F2333" t="s">
        <v>3396</v>
      </c>
      <c r="G2333" t="s">
        <v>143</v>
      </c>
      <c r="H2333" t="s">
        <v>144</v>
      </c>
      <c r="I2333" t="s">
        <v>145</v>
      </c>
      <c r="J2333" t="s">
        <v>146</v>
      </c>
      <c r="K2333" t="s">
        <v>55</v>
      </c>
      <c r="L2333" t="s">
        <v>147</v>
      </c>
      <c r="M2333" t="s">
        <v>57</v>
      </c>
      <c r="N2333" t="str">
        <f>"048165"</f>
        <v>048165</v>
      </c>
      <c r="O2333" t="s">
        <v>142</v>
      </c>
      <c r="P2333" t="s">
        <v>68</v>
      </c>
      <c r="Q2333">
        <v>27.1</v>
      </c>
      <c r="R2333">
        <v>9.7000000000000028</v>
      </c>
      <c r="S2333" t="s">
        <v>69</v>
      </c>
    </row>
    <row r="2334" spans="1:19" x14ac:dyDescent="0.35">
      <c r="A2334">
        <v>29579</v>
      </c>
      <c r="B2334" t="str">
        <f>"029579"</f>
        <v>029579</v>
      </c>
      <c r="C2334" t="s">
        <v>7684</v>
      </c>
      <c r="D2334" t="s">
        <v>3394</v>
      </c>
      <c r="E2334" t="s">
        <v>3395</v>
      </c>
      <c r="F2334" t="s">
        <v>3396</v>
      </c>
      <c r="G2334" t="s">
        <v>383</v>
      </c>
      <c r="H2334" t="s">
        <v>7685</v>
      </c>
      <c r="I2334" t="s">
        <v>7686</v>
      </c>
      <c r="J2334" t="s">
        <v>3086</v>
      </c>
      <c r="K2334" t="s">
        <v>55</v>
      </c>
      <c r="L2334" t="s">
        <v>3087</v>
      </c>
      <c r="M2334" t="s">
        <v>57</v>
      </c>
      <c r="N2334" t="str">
        <f>"043703"</f>
        <v>043703</v>
      </c>
      <c r="O2334" t="s">
        <v>3083</v>
      </c>
      <c r="P2334" t="s">
        <v>68</v>
      </c>
      <c r="Q2334">
        <v>99.8</v>
      </c>
      <c r="R2334">
        <v>76</v>
      </c>
      <c r="S2334" t="s">
        <v>77</v>
      </c>
    </row>
    <row r="2335" spans="1:19" x14ac:dyDescent="0.35">
      <c r="A2335">
        <v>29595</v>
      </c>
      <c r="B2335" t="str">
        <f>"029595"</f>
        <v>029595</v>
      </c>
      <c r="C2335" t="s">
        <v>7687</v>
      </c>
      <c r="D2335" t="s">
        <v>3394</v>
      </c>
      <c r="E2335" t="s">
        <v>3395</v>
      </c>
      <c r="F2335" t="s">
        <v>3396</v>
      </c>
      <c r="G2335" t="s">
        <v>172</v>
      </c>
      <c r="H2335" t="s">
        <v>7688</v>
      </c>
      <c r="I2335" t="s">
        <v>7689</v>
      </c>
      <c r="J2335" t="s">
        <v>600</v>
      </c>
      <c r="K2335" t="s">
        <v>55</v>
      </c>
      <c r="L2335" t="s">
        <v>939</v>
      </c>
      <c r="M2335" t="s">
        <v>57</v>
      </c>
      <c r="N2335" t="str">
        <f>"044008"</f>
        <v>044008</v>
      </c>
      <c r="O2335" t="s">
        <v>1579</v>
      </c>
      <c r="P2335" t="s">
        <v>68</v>
      </c>
      <c r="Q2335">
        <v>73.3</v>
      </c>
      <c r="R2335">
        <v>16</v>
      </c>
      <c r="S2335" t="s">
        <v>217</v>
      </c>
    </row>
    <row r="2336" spans="1:19" x14ac:dyDescent="0.35">
      <c r="A2336">
        <v>29611</v>
      </c>
      <c r="B2336" t="str">
        <f>"029611"</f>
        <v>029611</v>
      </c>
      <c r="C2336" t="s">
        <v>7690</v>
      </c>
      <c r="D2336" t="s">
        <v>3394</v>
      </c>
      <c r="E2336" t="s">
        <v>3395</v>
      </c>
      <c r="F2336" t="s">
        <v>3396</v>
      </c>
      <c r="G2336" t="s">
        <v>63</v>
      </c>
      <c r="H2336" t="s">
        <v>3948</v>
      </c>
      <c r="I2336" t="s">
        <v>284</v>
      </c>
      <c r="J2336" t="s">
        <v>3949</v>
      </c>
      <c r="K2336" t="s">
        <v>55</v>
      </c>
      <c r="L2336" t="s">
        <v>286</v>
      </c>
      <c r="M2336" t="s">
        <v>57</v>
      </c>
      <c r="N2336" t="str">
        <f>"046581"</f>
        <v>046581</v>
      </c>
      <c r="O2336" t="s">
        <v>282</v>
      </c>
      <c r="P2336" t="s">
        <v>68</v>
      </c>
      <c r="Q2336" t="s">
        <v>68</v>
      </c>
      <c r="R2336" t="s">
        <v>68</v>
      </c>
      <c r="S2336" t="s">
        <v>69</v>
      </c>
    </row>
    <row r="2337" spans="1:19" x14ac:dyDescent="0.35">
      <c r="A2337">
        <v>29629</v>
      </c>
      <c r="B2337" t="str">
        <f>"029629"</f>
        <v>029629</v>
      </c>
      <c r="C2337" t="s">
        <v>7691</v>
      </c>
      <c r="D2337" t="s">
        <v>3400</v>
      </c>
      <c r="E2337" t="s">
        <v>3395</v>
      </c>
      <c r="F2337" t="s">
        <v>3396</v>
      </c>
      <c r="G2337" t="s">
        <v>759</v>
      </c>
      <c r="H2337" t="s">
        <v>7692</v>
      </c>
      <c r="I2337" t="s">
        <v>7693</v>
      </c>
      <c r="J2337" t="s">
        <v>400</v>
      </c>
      <c r="K2337" t="s">
        <v>55</v>
      </c>
      <c r="L2337" t="s">
        <v>762</v>
      </c>
      <c r="M2337" t="s">
        <v>57</v>
      </c>
      <c r="N2337" t="str">
        <f>"046813"</f>
        <v>046813</v>
      </c>
      <c r="O2337" t="s">
        <v>758</v>
      </c>
      <c r="P2337" t="s">
        <v>68</v>
      </c>
      <c r="Q2337">
        <v>31.3</v>
      </c>
      <c r="R2337">
        <v>22.099999999999994</v>
      </c>
      <c r="S2337" t="s">
        <v>69</v>
      </c>
    </row>
    <row r="2338" spans="1:19" x14ac:dyDescent="0.35">
      <c r="A2338">
        <v>29637</v>
      </c>
      <c r="B2338" t="str">
        <f>"029637"</f>
        <v>029637</v>
      </c>
      <c r="C2338" t="s">
        <v>7694</v>
      </c>
      <c r="D2338" t="s">
        <v>3398</v>
      </c>
      <c r="E2338" t="s">
        <v>3395</v>
      </c>
      <c r="F2338" t="s">
        <v>3396</v>
      </c>
      <c r="G2338" t="s">
        <v>759</v>
      </c>
      <c r="H2338" t="s">
        <v>7695</v>
      </c>
      <c r="I2338" t="s">
        <v>7696</v>
      </c>
      <c r="J2338" t="s">
        <v>400</v>
      </c>
      <c r="K2338" t="s">
        <v>55</v>
      </c>
      <c r="L2338" t="s">
        <v>762</v>
      </c>
      <c r="M2338" t="s">
        <v>57</v>
      </c>
      <c r="N2338" t="str">
        <f>"046813"</f>
        <v>046813</v>
      </c>
      <c r="O2338" t="s">
        <v>758</v>
      </c>
      <c r="P2338" t="s">
        <v>68</v>
      </c>
      <c r="Q2338">
        <v>27.4</v>
      </c>
      <c r="R2338">
        <v>21.5</v>
      </c>
      <c r="S2338" t="s">
        <v>69</v>
      </c>
    </row>
    <row r="2339" spans="1:19" x14ac:dyDescent="0.35">
      <c r="A2339">
        <v>29652</v>
      </c>
      <c r="B2339" t="str">
        <f>"029652"</f>
        <v>029652</v>
      </c>
      <c r="C2339" t="s">
        <v>7697</v>
      </c>
      <c r="D2339" t="s">
        <v>3394</v>
      </c>
      <c r="E2339" t="s">
        <v>3395</v>
      </c>
      <c r="F2339" t="s">
        <v>3396</v>
      </c>
      <c r="G2339" t="s">
        <v>777</v>
      </c>
      <c r="H2339" t="s">
        <v>7698</v>
      </c>
      <c r="I2339" t="s">
        <v>7699</v>
      </c>
      <c r="J2339" t="s">
        <v>780</v>
      </c>
      <c r="K2339" t="s">
        <v>55</v>
      </c>
      <c r="L2339" t="s">
        <v>2815</v>
      </c>
      <c r="M2339" t="s">
        <v>57</v>
      </c>
      <c r="N2339" t="str">
        <f>"044818"</f>
        <v>044818</v>
      </c>
      <c r="O2339" t="s">
        <v>2812</v>
      </c>
      <c r="P2339" t="s">
        <v>68</v>
      </c>
      <c r="Q2339">
        <v>100</v>
      </c>
      <c r="R2339">
        <v>76.7</v>
      </c>
      <c r="S2339" t="s">
        <v>180</v>
      </c>
    </row>
    <row r="2340" spans="1:19" x14ac:dyDescent="0.35">
      <c r="A2340">
        <v>29678</v>
      </c>
      <c r="B2340" t="str">
        <f>"029678"</f>
        <v>029678</v>
      </c>
      <c r="C2340" t="s">
        <v>4234</v>
      </c>
      <c r="D2340" t="s">
        <v>3394</v>
      </c>
      <c r="E2340" t="s">
        <v>3395</v>
      </c>
      <c r="F2340" t="s">
        <v>3396</v>
      </c>
      <c r="G2340" t="s">
        <v>674</v>
      </c>
      <c r="H2340" t="s">
        <v>7700</v>
      </c>
      <c r="I2340" t="s">
        <v>7701</v>
      </c>
      <c r="J2340" t="s">
        <v>927</v>
      </c>
      <c r="K2340" t="s">
        <v>55</v>
      </c>
      <c r="L2340" t="s">
        <v>928</v>
      </c>
      <c r="M2340" t="s">
        <v>57</v>
      </c>
      <c r="N2340" t="str">
        <f>"048835"</f>
        <v>048835</v>
      </c>
      <c r="O2340" t="s">
        <v>673</v>
      </c>
      <c r="P2340" t="s">
        <v>68</v>
      </c>
      <c r="Q2340">
        <v>28.1</v>
      </c>
      <c r="R2340">
        <v>4.7000000000000028</v>
      </c>
      <c r="S2340" t="s">
        <v>130</v>
      </c>
    </row>
    <row r="2341" spans="1:19" x14ac:dyDescent="0.35">
      <c r="A2341">
        <v>29686</v>
      </c>
      <c r="B2341" t="str">
        <f>"029686"</f>
        <v>029686</v>
      </c>
      <c r="C2341" t="s">
        <v>4234</v>
      </c>
      <c r="D2341" t="s">
        <v>3394</v>
      </c>
      <c r="E2341" t="s">
        <v>3395</v>
      </c>
      <c r="F2341" t="s">
        <v>3396</v>
      </c>
      <c r="G2341" t="s">
        <v>1193</v>
      </c>
      <c r="H2341" t="s">
        <v>1932</v>
      </c>
      <c r="I2341" t="s">
        <v>1933</v>
      </c>
      <c r="J2341" t="s">
        <v>1196</v>
      </c>
      <c r="K2341" t="s">
        <v>55</v>
      </c>
      <c r="L2341" t="s">
        <v>1648</v>
      </c>
      <c r="M2341" t="s">
        <v>57</v>
      </c>
      <c r="N2341" t="str">
        <f>"045781"</f>
        <v>045781</v>
      </c>
      <c r="O2341" t="s">
        <v>1548</v>
      </c>
      <c r="P2341" t="s">
        <v>68</v>
      </c>
      <c r="Q2341">
        <v>72.8</v>
      </c>
      <c r="R2341">
        <v>41.4</v>
      </c>
      <c r="S2341" t="s">
        <v>156</v>
      </c>
    </row>
    <row r="2342" spans="1:19" x14ac:dyDescent="0.35">
      <c r="A2342">
        <v>29694</v>
      </c>
      <c r="B2342" t="str">
        <f>"029694"</f>
        <v>029694</v>
      </c>
      <c r="C2342" t="s">
        <v>7702</v>
      </c>
      <c r="D2342" t="s">
        <v>3398</v>
      </c>
      <c r="E2342" t="s">
        <v>3395</v>
      </c>
      <c r="F2342" t="s">
        <v>3396</v>
      </c>
      <c r="G2342" t="s">
        <v>1193</v>
      </c>
      <c r="H2342" t="s">
        <v>1932</v>
      </c>
      <c r="I2342" t="s">
        <v>1933</v>
      </c>
      <c r="J2342" t="s">
        <v>1196</v>
      </c>
      <c r="K2342" t="s">
        <v>55</v>
      </c>
      <c r="L2342" t="s">
        <v>1648</v>
      </c>
      <c r="M2342" t="s">
        <v>57</v>
      </c>
      <c r="N2342" t="str">
        <f>"045781"</f>
        <v>045781</v>
      </c>
      <c r="O2342" t="s">
        <v>1548</v>
      </c>
      <c r="P2342" t="s">
        <v>68</v>
      </c>
      <c r="Q2342">
        <v>61.7</v>
      </c>
      <c r="R2342">
        <v>43.6</v>
      </c>
      <c r="S2342" t="s">
        <v>156</v>
      </c>
    </row>
    <row r="2343" spans="1:19" x14ac:dyDescent="0.35">
      <c r="A2343">
        <v>29702</v>
      </c>
      <c r="B2343" t="str">
        <f>"029702"</f>
        <v>029702</v>
      </c>
      <c r="C2343" t="s">
        <v>7702</v>
      </c>
      <c r="D2343" t="s">
        <v>3398</v>
      </c>
      <c r="E2343" t="s">
        <v>3395</v>
      </c>
      <c r="F2343" t="s">
        <v>3396</v>
      </c>
      <c r="G2343" t="s">
        <v>117</v>
      </c>
      <c r="H2343" t="s">
        <v>7703</v>
      </c>
      <c r="I2343" t="s">
        <v>7704</v>
      </c>
      <c r="J2343" t="s">
        <v>977</v>
      </c>
      <c r="K2343" t="s">
        <v>55</v>
      </c>
      <c r="L2343" t="s">
        <v>978</v>
      </c>
      <c r="M2343" t="s">
        <v>57</v>
      </c>
      <c r="N2343" t="str">
        <f>"049924"</f>
        <v>049924</v>
      </c>
      <c r="O2343" t="s">
        <v>1548</v>
      </c>
      <c r="P2343" t="s">
        <v>68</v>
      </c>
      <c r="Q2343">
        <v>31.7</v>
      </c>
      <c r="R2343">
        <v>12.599999999999994</v>
      </c>
      <c r="S2343" t="s">
        <v>77</v>
      </c>
    </row>
    <row r="2344" spans="1:19" x14ac:dyDescent="0.35">
      <c r="A2344">
        <v>29710</v>
      </c>
      <c r="B2344" t="str">
        <f>"029710"</f>
        <v>029710</v>
      </c>
      <c r="C2344" t="s">
        <v>7702</v>
      </c>
      <c r="D2344" t="s">
        <v>3398</v>
      </c>
      <c r="E2344" t="s">
        <v>3395</v>
      </c>
      <c r="F2344" t="s">
        <v>3396</v>
      </c>
      <c r="G2344" t="s">
        <v>481</v>
      </c>
      <c r="H2344" t="s">
        <v>7705</v>
      </c>
      <c r="I2344" t="s">
        <v>7706</v>
      </c>
      <c r="J2344" t="s">
        <v>1551</v>
      </c>
      <c r="K2344" t="s">
        <v>55</v>
      </c>
      <c r="L2344" t="s">
        <v>1552</v>
      </c>
      <c r="M2344" t="s">
        <v>57</v>
      </c>
      <c r="N2344" t="str">
        <f>"047902"</f>
        <v>047902</v>
      </c>
      <c r="O2344" t="s">
        <v>1548</v>
      </c>
      <c r="P2344" t="s">
        <v>68</v>
      </c>
      <c r="Q2344">
        <v>14.8</v>
      </c>
      <c r="R2344">
        <v>15.400000000000006</v>
      </c>
      <c r="S2344" t="s">
        <v>69</v>
      </c>
    </row>
    <row r="2345" spans="1:19" x14ac:dyDescent="0.35">
      <c r="A2345">
        <v>29728</v>
      </c>
      <c r="B2345" t="str">
        <f>"029728"</f>
        <v>029728</v>
      </c>
      <c r="C2345" t="s">
        <v>7707</v>
      </c>
      <c r="D2345" t="s">
        <v>3400</v>
      </c>
      <c r="E2345" t="s">
        <v>3395</v>
      </c>
      <c r="F2345" t="s">
        <v>3396</v>
      </c>
      <c r="G2345" t="s">
        <v>481</v>
      </c>
      <c r="H2345" t="s">
        <v>7708</v>
      </c>
      <c r="I2345" t="s">
        <v>7709</v>
      </c>
      <c r="J2345" t="s">
        <v>1551</v>
      </c>
      <c r="K2345" t="s">
        <v>55</v>
      </c>
      <c r="L2345" t="s">
        <v>1552</v>
      </c>
      <c r="M2345" t="s">
        <v>57</v>
      </c>
      <c r="N2345" t="str">
        <f>"047902"</f>
        <v>047902</v>
      </c>
      <c r="O2345" t="s">
        <v>1548</v>
      </c>
      <c r="P2345" t="s">
        <v>68</v>
      </c>
      <c r="Q2345">
        <v>22</v>
      </c>
      <c r="R2345">
        <v>18.5</v>
      </c>
      <c r="S2345" t="s">
        <v>69</v>
      </c>
    </row>
    <row r="2346" spans="1:19" x14ac:dyDescent="0.35">
      <c r="A2346">
        <v>29736</v>
      </c>
      <c r="B2346" t="str">
        <f>"029736"</f>
        <v>029736</v>
      </c>
      <c r="C2346" t="s">
        <v>7710</v>
      </c>
      <c r="D2346" t="s">
        <v>3506</v>
      </c>
      <c r="E2346" t="s">
        <v>3395</v>
      </c>
      <c r="F2346" t="s">
        <v>3396</v>
      </c>
      <c r="G2346" t="s">
        <v>226</v>
      </c>
      <c r="H2346" t="s">
        <v>7711</v>
      </c>
      <c r="I2346" t="s">
        <v>7712</v>
      </c>
      <c r="J2346" t="s">
        <v>944</v>
      </c>
      <c r="K2346" t="s">
        <v>55</v>
      </c>
      <c r="L2346" t="s">
        <v>945</v>
      </c>
      <c r="M2346" t="s">
        <v>57</v>
      </c>
      <c r="N2346" t="str">
        <f>"045583"</f>
        <v>045583</v>
      </c>
      <c r="O2346" t="s">
        <v>1899</v>
      </c>
      <c r="P2346" t="s">
        <v>68</v>
      </c>
      <c r="Q2346">
        <v>10.199999999999999</v>
      </c>
      <c r="R2346">
        <v>18.5</v>
      </c>
      <c r="S2346" t="s">
        <v>156</v>
      </c>
    </row>
    <row r="2347" spans="1:19" x14ac:dyDescent="0.35">
      <c r="A2347">
        <v>29744</v>
      </c>
      <c r="B2347" t="str">
        <f>"029744"</f>
        <v>029744</v>
      </c>
      <c r="C2347" t="s">
        <v>7713</v>
      </c>
      <c r="D2347" t="s">
        <v>3398</v>
      </c>
      <c r="E2347" t="s">
        <v>3395</v>
      </c>
      <c r="F2347" t="s">
        <v>3396</v>
      </c>
      <c r="G2347" t="s">
        <v>226</v>
      </c>
      <c r="H2347" t="s">
        <v>7714</v>
      </c>
      <c r="I2347" t="s">
        <v>7715</v>
      </c>
      <c r="J2347" t="s">
        <v>944</v>
      </c>
      <c r="K2347" t="s">
        <v>55</v>
      </c>
      <c r="L2347" t="s">
        <v>945</v>
      </c>
      <c r="M2347" t="s">
        <v>57</v>
      </c>
      <c r="N2347" t="str">
        <f>"045583"</f>
        <v>045583</v>
      </c>
      <c r="O2347" t="s">
        <v>1899</v>
      </c>
      <c r="P2347" t="s">
        <v>68</v>
      </c>
      <c r="Q2347">
        <v>8.6</v>
      </c>
      <c r="R2347">
        <v>18.799999999999997</v>
      </c>
      <c r="S2347" t="s">
        <v>156</v>
      </c>
    </row>
    <row r="2348" spans="1:19" x14ac:dyDescent="0.35">
      <c r="A2348">
        <v>29785</v>
      </c>
      <c r="B2348" t="str">
        <f>"029785"</f>
        <v>029785</v>
      </c>
      <c r="C2348" t="s">
        <v>7716</v>
      </c>
      <c r="D2348" t="s">
        <v>3394</v>
      </c>
      <c r="E2348" t="s">
        <v>3395</v>
      </c>
      <c r="F2348" t="s">
        <v>3396</v>
      </c>
      <c r="G2348" t="s">
        <v>344</v>
      </c>
      <c r="H2348" t="s">
        <v>738</v>
      </c>
      <c r="I2348" t="s">
        <v>739</v>
      </c>
      <c r="J2348" t="s">
        <v>740</v>
      </c>
      <c r="K2348" t="s">
        <v>55</v>
      </c>
      <c r="L2348" t="s">
        <v>741</v>
      </c>
      <c r="M2348" t="s">
        <v>57</v>
      </c>
      <c r="N2348" t="str">
        <f>"047076"</f>
        <v>047076</v>
      </c>
      <c r="O2348" t="s">
        <v>737</v>
      </c>
      <c r="P2348" t="s">
        <v>68</v>
      </c>
      <c r="Q2348">
        <v>16.399999999999999</v>
      </c>
      <c r="R2348">
        <v>13.400000000000006</v>
      </c>
      <c r="S2348" t="s">
        <v>156</v>
      </c>
    </row>
    <row r="2349" spans="1:19" x14ac:dyDescent="0.35">
      <c r="A2349">
        <v>29793</v>
      </c>
      <c r="B2349" t="str">
        <f>"029793"</f>
        <v>029793</v>
      </c>
      <c r="C2349" t="s">
        <v>7717</v>
      </c>
      <c r="D2349" t="s">
        <v>3398</v>
      </c>
      <c r="E2349" t="s">
        <v>3395</v>
      </c>
      <c r="F2349" t="s">
        <v>3396</v>
      </c>
      <c r="G2349" t="s">
        <v>344</v>
      </c>
      <c r="H2349" t="s">
        <v>738</v>
      </c>
      <c r="I2349" t="s">
        <v>739</v>
      </c>
      <c r="J2349" t="s">
        <v>740</v>
      </c>
      <c r="K2349" t="s">
        <v>55</v>
      </c>
      <c r="L2349" t="s">
        <v>741</v>
      </c>
      <c r="M2349" t="s">
        <v>57</v>
      </c>
      <c r="N2349" t="str">
        <f>"047076"</f>
        <v>047076</v>
      </c>
      <c r="O2349" t="s">
        <v>737</v>
      </c>
      <c r="P2349" t="s">
        <v>68</v>
      </c>
      <c r="Q2349">
        <v>28.3</v>
      </c>
      <c r="R2349">
        <v>18.400000000000006</v>
      </c>
      <c r="S2349" t="s">
        <v>156</v>
      </c>
    </row>
    <row r="2350" spans="1:19" x14ac:dyDescent="0.35">
      <c r="A2350">
        <v>29801</v>
      </c>
      <c r="B2350" t="str">
        <f>"029801"</f>
        <v>029801</v>
      </c>
      <c r="C2350" t="s">
        <v>7718</v>
      </c>
      <c r="D2350" t="s">
        <v>3394</v>
      </c>
      <c r="E2350" t="s">
        <v>3395</v>
      </c>
      <c r="F2350" t="s">
        <v>3396</v>
      </c>
      <c r="G2350" t="s">
        <v>264</v>
      </c>
      <c r="H2350" t="s">
        <v>7719</v>
      </c>
      <c r="I2350" t="s">
        <v>7720</v>
      </c>
      <c r="J2350" t="s">
        <v>267</v>
      </c>
      <c r="K2350" t="s">
        <v>55</v>
      </c>
      <c r="L2350" t="s">
        <v>5821</v>
      </c>
      <c r="M2350" t="s">
        <v>57</v>
      </c>
      <c r="N2350" t="str">
        <f>"043489"</f>
        <v>043489</v>
      </c>
      <c r="O2350" t="s">
        <v>3176</v>
      </c>
      <c r="P2350" t="s">
        <v>68</v>
      </c>
      <c r="Q2350">
        <v>100</v>
      </c>
      <c r="R2350">
        <v>59.3</v>
      </c>
      <c r="S2350" t="s">
        <v>77</v>
      </c>
    </row>
    <row r="2351" spans="1:19" x14ac:dyDescent="0.35">
      <c r="A2351">
        <v>29819</v>
      </c>
      <c r="B2351" t="str">
        <f>"029819"</f>
        <v>029819</v>
      </c>
      <c r="C2351" t="s">
        <v>7721</v>
      </c>
      <c r="D2351" t="s">
        <v>3394</v>
      </c>
      <c r="E2351" t="s">
        <v>3395</v>
      </c>
      <c r="F2351" t="s">
        <v>3396</v>
      </c>
      <c r="G2351" t="s">
        <v>124</v>
      </c>
      <c r="H2351" t="s">
        <v>7722</v>
      </c>
      <c r="I2351" t="s">
        <v>7723</v>
      </c>
      <c r="J2351" t="s">
        <v>586</v>
      </c>
      <c r="K2351" t="s">
        <v>55</v>
      </c>
      <c r="L2351" t="s">
        <v>587</v>
      </c>
      <c r="M2351" t="s">
        <v>57</v>
      </c>
      <c r="N2351" t="str">
        <f>"044321"</f>
        <v>044321</v>
      </c>
      <c r="O2351" t="s">
        <v>583</v>
      </c>
      <c r="P2351" t="s">
        <v>68</v>
      </c>
      <c r="Q2351">
        <v>46.6</v>
      </c>
      <c r="R2351">
        <v>10.099999999999994</v>
      </c>
      <c r="S2351" t="s">
        <v>130</v>
      </c>
    </row>
    <row r="2352" spans="1:19" x14ac:dyDescent="0.35">
      <c r="A2352">
        <v>29843</v>
      </c>
      <c r="B2352" t="str">
        <f>"029843"</f>
        <v>029843</v>
      </c>
      <c r="C2352" t="s">
        <v>7724</v>
      </c>
      <c r="D2352" t="s">
        <v>3398</v>
      </c>
      <c r="E2352" t="s">
        <v>3395</v>
      </c>
      <c r="F2352" t="s">
        <v>3396</v>
      </c>
      <c r="G2352" t="s">
        <v>674</v>
      </c>
      <c r="H2352" t="s">
        <v>7725</v>
      </c>
      <c r="I2352" t="s">
        <v>7726</v>
      </c>
      <c r="J2352" t="s">
        <v>1202</v>
      </c>
      <c r="K2352" t="s">
        <v>55</v>
      </c>
      <c r="L2352" t="s">
        <v>1203</v>
      </c>
      <c r="M2352" t="s">
        <v>57</v>
      </c>
      <c r="N2352" t="str">
        <f>"048843"</f>
        <v>048843</v>
      </c>
      <c r="O2352" t="s">
        <v>1199</v>
      </c>
      <c r="P2352" t="s">
        <v>68</v>
      </c>
      <c r="Q2352">
        <v>36.6</v>
      </c>
      <c r="R2352">
        <v>4.5999999999999943</v>
      </c>
      <c r="S2352" t="s">
        <v>130</v>
      </c>
    </row>
    <row r="2353" spans="1:19" x14ac:dyDescent="0.35">
      <c r="A2353">
        <v>29868</v>
      </c>
      <c r="B2353" t="str">
        <f>"029868"</f>
        <v>029868</v>
      </c>
      <c r="C2353" t="s">
        <v>7727</v>
      </c>
      <c r="D2353" t="s">
        <v>3394</v>
      </c>
      <c r="E2353" t="s">
        <v>3395</v>
      </c>
      <c r="F2353" t="s">
        <v>3396</v>
      </c>
      <c r="G2353" t="s">
        <v>92</v>
      </c>
      <c r="H2353" t="s">
        <v>7728</v>
      </c>
      <c r="I2353" t="s">
        <v>7729</v>
      </c>
      <c r="J2353" t="s">
        <v>2295</v>
      </c>
      <c r="K2353" t="s">
        <v>55</v>
      </c>
      <c r="L2353" t="s">
        <v>2296</v>
      </c>
      <c r="M2353" t="s">
        <v>57</v>
      </c>
      <c r="N2353" t="str">
        <f>"046896"</f>
        <v>046896</v>
      </c>
      <c r="O2353" t="s">
        <v>2292</v>
      </c>
      <c r="P2353" t="s">
        <v>68</v>
      </c>
      <c r="Q2353">
        <v>39.6</v>
      </c>
      <c r="R2353">
        <v>66.3</v>
      </c>
      <c r="S2353" t="s">
        <v>60</v>
      </c>
    </row>
    <row r="2354" spans="1:19" x14ac:dyDescent="0.35">
      <c r="A2354">
        <v>29876</v>
      </c>
      <c r="B2354" t="str">
        <f>"029876"</f>
        <v>029876</v>
      </c>
      <c r="C2354" t="s">
        <v>7730</v>
      </c>
      <c r="D2354" t="s">
        <v>3398</v>
      </c>
      <c r="E2354" t="s">
        <v>3395</v>
      </c>
      <c r="F2354" t="s">
        <v>3396</v>
      </c>
      <c r="G2354" t="s">
        <v>92</v>
      </c>
      <c r="H2354" t="s">
        <v>7731</v>
      </c>
      <c r="I2354" t="s">
        <v>7732</v>
      </c>
      <c r="J2354" t="s">
        <v>2295</v>
      </c>
      <c r="K2354" t="s">
        <v>55</v>
      </c>
      <c r="L2354" t="s">
        <v>2296</v>
      </c>
      <c r="M2354" t="s">
        <v>57</v>
      </c>
      <c r="N2354" t="str">
        <f>"046896"</f>
        <v>046896</v>
      </c>
      <c r="O2354" t="s">
        <v>2292</v>
      </c>
      <c r="P2354" t="s">
        <v>68</v>
      </c>
      <c r="Q2354">
        <v>30.2</v>
      </c>
      <c r="R2354">
        <v>57.1</v>
      </c>
      <c r="S2354" t="s">
        <v>60</v>
      </c>
    </row>
    <row r="2355" spans="1:19" x14ac:dyDescent="0.35">
      <c r="A2355">
        <v>29892</v>
      </c>
      <c r="B2355" t="str">
        <f>"029892"</f>
        <v>029892</v>
      </c>
      <c r="C2355" t="s">
        <v>7733</v>
      </c>
      <c r="D2355" t="s">
        <v>3394</v>
      </c>
      <c r="E2355" t="s">
        <v>3395</v>
      </c>
      <c r="F2355" t="s">
        <v>3396</v>
      </c>
      <c r="G2355" t="s">
        <v>200</v>
      </c>
      <c r="H2355" t="s">
        <v>7734</v>
      </c>
      <c r="I2355" t="s">
        <v>7735</v>
      </c>
      <c r="J2355" t="s">
        <v>304</v>
      </c>
      <c r="K2355" t="s">
        <v>55</v>
      </c>
      <c r="L2355" t="s">
        <v>6203</v>
      </c>
      <c r="M2355" t="s">
        <v>57</v>
      </c>
      <c r="N2355" t="str">
        <f>"044909"</f>
        <v>044909</v>
      </c>
      <c r="O2355" t="s">
        <v>3318</v>
      </c>
      <c r="P2355" t="s">
        <v>68</v>
      </c>
      <c r="Q2355">
        <v>99.6</v>
      </c>
      <c r="R2355">
        <v>95.1</v>
      </c>
      <c r="S2355" t="s">
        <v>156</v>
      </c>
    </row>
    <row r="2356" spans="1:19" x14ac:dyDescent="0.35">
      <c r="A2356">
        <v>29959</v>
      </c>
      <c r="B2356" t="str">
        <f>"029959"</f>
        <v>029959</v>
      </c>
      <c r="C2356" t="s">
        <v>7736</v>
      </c>
      <c r="D2356" t="s">
        <v>3394</v>
      </c>
      <c r="E2356" t="s">
        <v>3395</v>
      </c>
      <c r="F2356" t="s">
        <v>3396</v>
      </c>
      <c r="G2356" t="s">
        <v>1679</v>
      </c>
      <c r="H2356" t="s">
        <v>7737</v>
      </c>
      <c r="I2356" t="s">
        <v>7738</v>
      </c>
      <c r="J2356" t="s">
        <v>1157</v>
      </c>
      <c r="K2356" t="s">
        <v>55</v>
      </c>
      <c r="L2356" t="s">
        <v>1158</v>
      </c>
      <c r="M2356" t="s">
        <v>57</v>
      </c>
      <c r="N2356" t="str">
        <f>"048835"</f>
        <v>048835</v>
      </c>
      <c r="O2356" t="s">
        <v>673</v>
      </c>
      <c r="P2356" t="s">
        <v>68</v>
      </c>
      <c r="Q2356">
        <v>32.799999999999997</v>
      </c>
      <c r="R2356">
        <v>4.0999999999999943</v>
      </c>
      <c r="S2356" t="s">
        <v>130</v>
      </c>
    </row>
    <row r="2357" spans="1:19" x14ac:dyDescent="0.35">
      <c r="A2357">
        <v>29991</v>
      </c>
      <c r="B2357" t="str">
        <f>"029991"</f>
        <v>029991</v>
      </c>
      <c r="C2357" t="s">
        <v>7739</v>
      </c>
      <c r="D2357" t="s">
        <v>3398</v>
      </c>
      <c r="E2357" t="s">
        <v>3395</v>
      </c>
      <c r="F2357" t="s">
        <v>3396</v>
      </c>
      <c r="G2357" t="s">
        <v>194</v>
      </c>
      <c r="H2357" t="s">
        <v>2274</v>
      </c>
      <c r="I2357" t="s">
        <v>2275</v>
      </c>
      <c r="J2357" t="s">
        <v>197</v>
      </c>
      <c r="K2357" t="s">
        <v>55</v>
      </c>
      <c r="L2357" t="s">
        <v>198</v>
      </c>
      <c r="M2357" t="s">
        <v>57</v>
      </c>
      <c r="N2357" t="str">
        <f>"049130"</f>
        <v>049130</v>
      </c>
      <c r="O2357" t="s">
        <v>2273</v>
      </c>
      <c r="P2357" t="s">
        <v>68</v>
      </c>
      <c r="Q2357">
        <v>99.7</v>
      </c>
      <c r="R2357">
        <v>4.7000000000000028</v>
      </c>
      <c r="S2357" t="s">
        <v>130</v>
      </c>
    </row>
    <row r="2358" spans="1:19" x14ac:dyDescent="0.35">
      <c r="A2358">
        <v>30023</v>
      </c>
      <c r="B2358" t="str">
        <f>"030023"</f>
        <v>030023</v>
      </c>
      <c r="C2358" t="s">
        <v>7740</v>
      </c>
      <c r="D2358" t="s">
        <v>3394</v>
      </c>
      <c r="E2358" t="s">
        <v>3395</v>
      </c>
      <c r="F2358" t="s">
        <v>3396</v>
      </c>
      <c r="G2358" t="s">
        <v>63</v>
      </c>
      <c r="H2358" t="s">
        <v>7741</v>
      </c>
      <c r="I2358" t="s">
        <v>7742</v>
      </c>
      <c r="J2358" t="s">
        <v>2775</v>
      </c>
      <c r="K2358" t="s">
        <v>55</v>
      </c>
      <c r="L2358" t="s">
        <v>2776</v>
      </c>
      <c r="M2358" t="s">
        <v>57</v>
      </c>
      <c r="N2358" t="str">
        <f>"044529"</f>
        <v>044529</v>
      </c>
      <c r="O2358" t="s">
        <v>2772</v>
      </c>
      <c r="P2358" t="s">
        <v>68</v>
      </c>
      <c r="Q2358">
        <v>44.8</v>
      </c>
      <c r="R2358">
        <v>21.5</v>
      </c>
      <c r="S2358" t="s">
        <v>69</v>
      </c>
    </row>
    <row r="2359" spans="1:19" x14ac:dyDescent="0.35">
      <c r="A2359">
        <v>30031</v>
      </c>
      <c r="B2359" t="str">
        <f>"030031"</f>
        <v>030031</v>
      </c>
      <c r="C2359" t="s">
        <v>7743</v>
      </c>
      <c r="D2359" t="s">
        <v>3394</v>
      </c>
      <c r="E2359" t="s">
        <v>3395</v>
      </c>
      <c r="F2359" t="s">
        <v>3396</v>
      </c>
      <c r="G2359" t="s">
        <v>226</v>
      </c>
      <c r="H2359" t="s">
        <v>7744</v>
      </c>
      <c r="I2359" t="s">
        <v>7745</v>
      </c>
      <c r="J2359" t="s">
        <v>944</v>
      </c>
      <c r="K2359" t="s">
        <v>55</v>
      </c>
      <c r="L2359" t="s">
        <v>945</v>
      </c>
      <c r="M2359" t="s">
        <v>57</v>
      </c>
      <c r="N2359" t="str">
        <f>"045583"</f>
        <v>045583</v>
      </c>
      <c r="O2359" t="s">
        <v>1899</v>
      </c>
      <c r="P2359" t="s">
        <v>68</v>
      </c>
      <c r="Q2359">
        <v>8.1999999999999993</v>
      </c>
      <c r="R2359">
        <v>22.599999999999994</v>
      </c>
      <c r="S2359" t="s">
        <v>156</v>
      </c>
    </row>
    <row r="2360" spans="1:19" x14ac:dyDescent="0.35">
      <c r="A2360">
        <v>30064</v>
      </c>
      <c r="B2360" t="str">
        <f>"030064"</f>
        <v>030064</v>
      </c>
      <c r="C2360" t="s">
        <v>7746</v>
      </c>
      <c r="D2360" t="s">
        <v>3394</v>
      </c>
      <c r="E2360" t="s">
        <v>3395</v>
      </c>
      <c r="F2360" t="s">
        <v>3396</v>
      </c>
      <c r="G2360" t="s">
        <v>1118</v>
      </c>
      <c r="H2360" t="s">
        <v>2410</v>
      </c>
      <c r="I2360" t="s">
        <v>2411</v>
      </c>
      <c r="J2360" t="s">
        <v>2412</v>
      </c>
      <c r="K2360" t="s">
        <v>55</v>
      </c>
      <c r="L2360" t="s">
        <v>2413</v>
      </c>
      <c r="M2360" t="s">
        <v>57</v>
      </c>
      <c r="N2360" t="str">
        <f>"050641"</f>
        <v>050641</v>
      </c>
      <c r="O2360" t="s">
        <v>2409</v>
      </c>
      <c r="P2360" t="s">
        <v>68</v>
      </c>
      <c r="Q2360">
        <v>26.4</v>
      </c>
      <c r="R2360">
        <v>12.5</v>
      </c>
      <c r="S2360" t="s">
        <v>156</v>
      </c>
    </row>
    <row r="2361" spans="1:19" x14ac:dyDescent="0.35">
      <c r="A2361">
        <v>30098</v>
      </c>
      <c r="B2361" t="str">
        <f>"030098"</f>
        <v>030098</v>
      </c>
      <c r="C2361" t="s">
        <v>7747</v>
      </c>
      <c r="D2361" t="s">
        <v>3398</v>
      </c>
      <c r="E2361" t="s">
        <v>3395</v>
      </c>
      <c r="F2361" t="s">
        <v>3396</v>
      </c>
      <c r="G2361" t="s">
        <v>325</v>
      </c>
      <c r="H2361" t="s">
        <v>7748</v>
      </c>
      <c r="I2361" t="s">
        <v>7749</v>
      </c>
      <c r="J2361" t="s">
        <v>328</v>
      </c>
      <c r="K2361" t="s">
        <v>55</v>
      </c>
      <c r="L2361" t="s">
        <v>329</v>
      </c>
      <c r="M2361" t="s">
        <v>57</v>
      </c>
      <c r="N2361" t="str">
        <f>"044644"</f>
        <v>044644</v>
      </c>
      <c r="O2361" t="s">
        <v>324</v>
      </c>
      <c r="P2361" t="s">
        <v>68</v>
      </c>
      <c r="Q2361">
        <v>47.6</v>
      </c>
      <c r="R2361">
        <v>16.400000000000006</v>
      </c>
      <c r="S2361" t="s">
        <v>180</v>
      </c>
    </row>
    <row r="2362" spans="1:19" x14ac:dyDescent="0.35">
      <c r="A2362">
        <v>30106</v>
      </c>
      <c r="B2362" t="str">
        <f>"030106"</f>
        <v>030106</v>
      </c>
      <c r="C2362" t="s">
        <v>7750</v>
      </c>
      <c r="D2362" t="s">
        <v>3394</v>
      </c>
      <c r="E2362" t="s">
        <v>3395</v>
      </c>
      <c r="F2362" t="s">
        <v>3396</v>
      </c>
      <c r="G2362" t="s">
        <v>777</v>
      </c>
      <c r="H2362" t="s">
        <v>7751</v>
      </c>
      <c r="I2362" t="s">
        <v>7752</v>
      </c>
      <c r="J2362" t="s">
        <v>1220</v>
      </c>
      <c r="K2362" t="s">
        <v>55</v>
      </c>
      <c r="L2362" t="s">
        <v>1221</v>
      </c>
      <c r="M2362" t="s">
        <v>57</v>
      </c>
      <c r="N2362" t="str">
        <f>"046276"</f>
        <v>046276</v>
      </c>
      <c r="O2362" t="s">
        <v>1217</v>
      </c>
      <c r="P2362" t="s">
        <v>68</v>
      </c>
      <c r="Q2362">
        <v>32</v>
      </c>
      <c r="R2362">
        <v>4.5</v>
      </c>
      <c r="S2362" t="s">
        <v>180</v>
      </c>
    </row>
    <row r="2363" spans="1:19" x14ac:dyDescent="0.35">
      <c r="A2363">
        <v>30130</v>
      </c>
      <c r="B2363" t="str">
        <f>"030130"</f>
        <v>030130</v>
      </c>
      <c r="C2363" t="s">
        <v>7753</v>
      </c>
      <c r="D2363" t="s">
        <v>3394</v>
      </c>
      <c r="E2363" t="s">
        <v>3395</v>
      </c>
      <c r="F2363" t="s">
        <v>3396</v>
      </c>
      <c r="G2363" t="s">
        <v>657</v>
      </c>
      <c r="H2363" t="s">
        <v>7754</v>
      </c>
      <c r="I2363" t="s">
        <v>7755</v>
      </c>
      <c r="J2363" t="s">
        <v>1753</v>
      </c>
      <c r="K2363" t="s">
        <v>55</v>
      </c>
      <c r="L2363" t="s">
        <v>1754</v>
      </c>
      <c r="M2363" t="s">
        <v>57</v>
      </c>
      <c r="N2363" t="str">
        <f>"048264"</f>
        <v>048264</v>
      </c>
      <c r="O2363" t="s">
        <v>3014</v>
      </c>
      <c r="P2363" t="s">
        <v>68</v>
      </c>
      <c r="Q2363">
        <v>14.9</v>
      </c>
      <c r="R2363">
        <v>8.2999999999999972</v>
      </c>
      <c r="S2363" t="s">
        <v>60</v>
      </c>
    </row>
    <row r="2364" spans="1:19" x14ac:dyDescent="0.35">
      <c r="A2364">
        <v>30148</v>
      </c>
      <c r="B2364" t="str">
        <f>"030148"</f>
        <v>030148</v>
      </c>
      <c r="C2364" t="s">
        <v>7756</v>
      </c>
      <c r="D2364" t="s">
        <v>3394</v>
      </c>
      <c r="E2364" t="s">
        <v>3395</v>
      </c>
      <c r="F2364" t="s">
        <v>3396</v>
      </c>
      <c r="G2364" t="s">
        <v>600</v>
      </c>
      <c r="H2364" t="s">
        <v>7757</v>
      </c>
      <c r="I2364" t="s">
        <v>7758</v>
      </c>
      <c r="J2364" t="s">
        <v>2339</v>
      </c>
      <c r="K2364" t="s">
        <v>55</v>
      </c>
      <c r="L2364" t="s">
        <v>2340</v>
      </c>
      <c r="M2364" t="s">
        <v>57</v>
      </c>
      <c r="N2364" t="str">
        <f>"046995"</f>
        <v>046995</v>
      </c>
      <c r="O2364" t="s">
        <v>2336</v>
      </c>
      <c r="P2364" t="s">
        <v>68</v>
      </c>
      <c r="Q2364">
        <v>9.6999999999999993</v>
      </c>
      <c r="R2364">
        <v>35.599999999999994</v>
      </c>
      <c r="S2364" t="s">
        <v>60</v>
      </c>
    </row>
    <row r="2365" spans="1:19" x14ac:dyDescent="0.35">
      <c r="A2365">
        <v>30155</v>
      </c>
      <c r="B2365" t="str">
        <f>"030155"</f>
        <v>030155</v>
      </c>
      <c r="C2365" t="s">
        <v>7759</v>
      </c>
      <c r="D2365" t="s">
        <v>3398</v>
      </c>
      <c r="E2365" t="s">
        <v>3395</v>
      </c>
      <c r="F2365" t="s">
        <v>3396</v>
      </c>
      <c r="G2365" t="s">
        <v>600</v>
      </c>
      <c r="H2365" t="s">
        <v>7760</v>
      </c>
      <c r="I2365" t="s">
        <v>7761</v>
      </c>
      <c r="J2365" t="s">
        <v>2339</v>
      </c>
      <c r="K2365" t="s">
        <v>55</v>
      </c>
      <c r="L2365" t="s">
        <v>2340</v>
      </c>
      <c r="M2365" t="s">
        <v>57</v>
      </c>
      <c r="N2365" t="str">
        <f>"046995"</f>
        <v>046995</v>
      </c>
      <c r="O2365" t="s">
        <v>2336</v>
      </c>
      <c r="P2365" t="s">
        <v>68</v>
      </c>
      <c r="Q2365">
        <v>9.3000000000000007</v>
      </c>
      <c r="R2365">
        <v>36.1</v>
      </c>
      <c r="S2365" t="s">
        <v>60</v>
      </c>
    </row>
    <row r="2366" spans="1:19" x14ac:dyDescent="0.35">
      <c r="A2366">
        <v>30205</v>
      </c>
      <c r="B2366" t="str">
        <f>"030205"</f>
        <v>030205</v>
      </c>
      <c r="C2366" t="s">
        <v>7762</v>
      </c>
      <c r="D2366" t="s">
        <v>3394</v>
      </c>
      <c r="E2366" t="s">
        <v>3395</v>
      </c>
      <c r="F2366" t="s">
        <v>3396</v>
      </c>
      <c r="G2366" t="s">
        <v>312</v>
      </c>
      <c r="H2366" t="s">
        <v>7763</v>
      </c>
      <c r="I2366" t="s">
        <v>7764</v>
      </c>
      <c r="J2366" t="s">
        <v>312</v>
      </c>
      <c r="K2366" t="s">
        <v>55</v>
      </c>
      <c r="L2366" t="s">
        <v>315</v>
      </c>
      <c r="M2366" t="s">
        <v>57</v>
      </c>
      <c r="N2366" t="str">
        <f>"048421"</f>
        <v>048421</v>
      </c>
      <c r="O2366" t="s">
        <v>311</v>
      </c>
      <c r="P2366" t="s">
        <v>68</v>
      </c>
      <c r="Q2366">
        <v>31.2</v>
      </c>
      <c r="R2366">
        <v>9.2000000000000028</v>
      </c>
      <c r="S2366" t="s">
        <v>156</v>
      </c>
    </row>
    <row r="2367" spans="1:19" x14ac:dyDescent="0.35">
      <c r="A2367">
        <v>30213</v>
      </c>
      <c r="B2367" t="str">
        <f>"030213"</f>
        <v>030213</v>
      </c>
      <c r="C2367" t="s">
        <v>7765</v>
      </c>
      <c r="D2367" t="s">
        <v>3400</v>
      </c>
      <c r="E2367" t="s">
        <v>3395</v>
      </c>
      <c r="F2367" t="s">
        <v>3396</v>
      </c>
      <c r="G2367" t="s">
        <v>312</v>
      </c>
      <c r="H2367" t="s">
        <v>7766</v>
      </c>
      <c r="I2367" t="s">
        <v>7767</v>
      </c>
      <c r="J2367" t="s">
        <v>312</v>
      </c>
      <c r="K2367" t="s">
        <v>55</v>
      </c>
      <c r="L2367" t="s">
        <v>315</v>
      </c>
      <c r="M2367" t="s">
        <v>57</v>
      </c>
      <c r="N2367" t="str">
        <f>"048421"</f>
        <v>048421</v>
      </c>
      <c r="O2367" t="s">
        <v>311</v>
      </c>
      <c r="P2367" t="s">
        <v>68</v>
      </c>
      <c r="Q2367">
        <v>32.299999999999997</v>
      </c>
      <c r="R2367">
        <v>6.7000000000000028</v>
      </c>
      <c r="S2367" t="s">
        <v>156</v>
      </c>
    </row>
    <row r="2368" spans="1:19" x14ac:dyDescent="0.35">
      <c r="A2368">
        <v>30221</v>
      </c>
      <c r="B2368" t="str">
        <f>"030221"</f>
        <v>030221</v>
      </c>
      <c r="C2368" t="s">
        <v>7762</v>
      </c>
      <c r="D2368" t="s">
        <v>3394</v>
      </c>
      <c r="E2368" t="s">
        <v>3395</v>
      </c>
      <c r="F2368" t="s">
        <v>3396</v>
      </c>
      <c r="G2368" t="s">
        <v>79</v>
      </c>
      <c r="H2368" t="s">
        <v>7768</v>
      </c>
      <c r="I2368" t="s">
        <v>7769</v>
      </c>
      <c r="J2368" t="s">
        <v>1802</v>
      </c>
      <c r="K2368" t="s">
        <v>55</v>
      </c>
      <c r="L2368" t="s">
        <v>1803</v>
      </c>
      <c r="M2368" t="s">
        <v>57</v>
      </c>
      <c r="N2368" t="str">
        <f>"044560"</f>
        <v>044560</v>
      </c>
      <c r="O2368" t="s">
        <v>1799</v>
      </c>
      <c r="P2368" t="s">
        <v>68</v>
      </c>
      <c r="Q2368">
        <v>50.3</v>
      </c>
      <c r="R2368">
        <v>18.599999999999994</v>
      </c>
      <c r="S2368" t="s">
        <v>69</v>
      </c>
    </row>
    <row r="2369" spans="1:19" x14ac:dyDescent="0.35">
      <c r="A2369">
        <v>30270</v>
      </c>
      <c r="B2369" t="str">
        <f>"030270"</f>
        <v>030270</v>
      </c>
      <c r="C2369" t="s">
        <v>7770</v>
      </c>
      <c r="D2369" t="s">
        <v>3394</v>
      </c>
      <c r="E2369" t="s">
        <v>3395</v>
      </c>
      <c r="F2369" t="s">
        <v>3396</v>
      </c>
      <c r="G2369" t="s">
        <v>1041</v>
      </c>
      <c r="H2369" t="s">
        <v>7771</v>
      </c>
      <c r="I2369" t="s">
        <v>7772</v>
      </c>
      <c r="J2369" t="s">
        <v>1115</v>
      </c>
      <c r="K2369" t="s">
        <v>55</v>
      </c>
      <c r="L2369" t="s">
        <v>1116</v>
      </c>
      <c r="M2369" t="s">
        <v>57</v>
      </c>
      <c r="N2369" t="str">
        <f>"045500"</f>
        <v>045500</v>
      </c>
      <c r="O2369" t="s">
        <v>1112</v>
      </c>
      <c r="P2369" t="s">
        <v>68</v>
      </c>
      <c r="Q2369">
        <v>25.2</v>
      </c>
      <c r="R2369">
        <v>11.799999999999997</v>
      </c>
      <c r="S2369" t="s">
        <v>217</v>
      </c>
    </row>
    <row r="2370" spans="1:19" x14ac:dyDescent="0.35">
      <c r="A2370">
        <v>30288</v>
      </c>
      <c r="B2370" t="str">
        <f>"030288"</f>
        <v>030288</v>
      </c>
      <c r="C2370" t="s">
        <v>7773</v>
      </c>
      <c r="D2370" t="s">
        <v>3394</v>
      </c>
      <c r="E2370" t="s">
        <v>3395</v>
      </c>
      <c r="F2370" t="s">
        <v>3396</v>
      </c>
      <c r="G2370" t="s">
        <v>212</v>
      </c>
      <c r="H2370" t="s">
        <v>7774</v>
      </c>
      <c r="I2370" t="s">
        <v>7775</v>
      </c>
      <c r="J2370" t="s">
        <v>215</v>
      </c>
      <c r="K2370" t="s">
        <v>55</v>
      </c>
      <c r="L2370" t="s">
        <v>4487</v>
      </c>
      <c r="M2370" t="s">
        <v>57</v>
      </c>
      <c r="N2370" t="str">
        <f>"043752"</f>
        <v>043752</v>
      </c>
      <c r="O2370" t="s">
        <v>440</v>
      </c>
      <c r="P2370" t="s">
        <v>68</v>
      </c>
      <c r="Q2370">
        <v>100</v>
      </c>
      <c r="R2370">
        <v>95.1</v>
      </c>
      <c r="S2370" t="s">
        <v>217</v>
      </c>
    </row>
    <row r="2371" spans="1:19" x14ac:dyDescent="0.35">
      <c r="A2371">
        <v>30304</v>
      </c>
      <c r="B2371" t="str">
        <f>"030304"</f>
        <v>030304</v>
      </c>
      <c r="C2371" t="s">
        <v>7776</v>
      </c>
      <c r="D2371" t="s">
        <v>3398</v>
      </c>
      <c r="E2371" t="s">
        <v>3395</v>
      </c>
      <c r="F2371" t="s">
        <v>3396</v>
      </c>
      <c r="G2371" t="s">
        <v>312</v>
      </c>
      <c r="H2371" t="s">
        <v>7777</v>
      </c>
      <c r="I2371" t="s">
        <v>7778</v>
      </c>
      <c r="J2371" t="s">
        <v>312</v>
      </c>
      <c r="K2371" t="s">
        <v>55</v>
      </c>
      <c r="L2371" t="s">
        <v>315</v>
      </c>
      <c r="M2371" t="s">
        <v>57</v>
      </c>
      <c r="N2371" t="str">
        <f>"048421"</f>
        <v>048421</v>
      </c>
      <c r="O2371" t="s">
        <v>311</v>
      </c>
      <c r="P2371" t="s">
        <v>68</v>
      </c>
      <c r="Q2371">
        <v>21.2</v>
      </c>
      <c r="R2371">
        <v>8.7000000000000028</v>
      </c>
      <c r="S2371" t="s">
        <v>156</v>
      </c>
    </row>
    <row r="2372" spans="1:19" x14ac:dyDescent="0.35">
      <c r="A2372">
        <v>30312</v>
      </c>
      <c r="B2372" t="str">
        <f>"030312"</f>
        <v>030312</v>
      </c>
      <c r="C2372" t="s">
        <v>7779</v>
      </c>
      <c r="D2372" t="s">
        <v>3394</v>
      </c>
      <c r="E2372" t="s">
        <v>3395</v>
      </c>
      <c r="F2372" t="s">
        <v>3396</v>
      </c>
      <c r="G2372" t="s">
        <v>212</v>
      </c>
      <c r="H2372" t="s">
        <v>7780</v>
      </c>
      <c r="I2372" t="s">
        <v>7781</v>
      </c>
      <c r="J2372" t="s">
        <v>215</v>
      </c>
      <c r="K2372" t="s">
        <v>55</v>
      </c>
      <c r="L2372" t="s">
        <v>7782</v>
      </c>
      <c r="M2372" t="s">
        <v>57</v>
      </c>
      <c r="N2372" t="str">
        <f>"043752"</f>
        <v>043752</v>
      </c>
      <c r="O2372" t="s">
        <v>440</v>
      </c>
      <c r="P2372" t="s">
        <v>68</v>
      </c>
      <c r="Q2372">
        <v>100</v>
      </c>
      <c r="R2372">
        <v>61</v>
      </c>
      <c r="S2372" t="s">
        <v>217</v>
      </c>
    </row>
    <row r="2373" spans="1:19" x14ac:dyDescent="0.35">
      <c r="A2373">
        <v>30320</v>
      </c>
      <c r="B2373" t="str">
        <f>"030320"</f>
        <v>030320</v>
      </c>
      <c r="C2373" t="s">
        <v>7783</v>
      </c>
      <c r="D2373" t="s">
        <v>3394</v>
      </c>
      <c r="E2373" t="s">
        <v>3395</v>
      </c>
      <c r="F2373" t="s">
        <v>3396</v>
      </c>
      <c r="G2373" t="s">
        <v>212</v>
      </c>
      <c r="H2373" t="s">
        <v>7784</v>
      </c>
      <c r="I2373" t="s">
        <v>7785</v>
      </c>
      <c r="J2373" t="s">
        <v>215</v>
      </c>
      <c r="K2373" t="s">
        <v>55</v>
      </c>
      <c r="L2373" t="s">
        <v>914</v>
      </c>
      <c r="M2373" t="s">
        <v>57</v>
      </c>
      <c r="N2373" t="str">
        <f>"047365"</f>
        <v>047365</v>
      </c>
      <c r="O2373" t="s">
        <v>611</v>
      </c>
      <c r="P2373" t="s">
        <v>68</v>
      </c>
      <c r="Q2373">
        <v>99.9</v>
      </c>
      <c r="R2373">
        <v>70.5</v>
      </c>
      <c r="S2373" t="s">
        <v>217</v>
      </c>
    </row>
    <row r="2374" spans="1:19" x14ac:dyDescent="0.35">
      <c r="A2374">
        <v>30353</v>
      </c>
      <c r="B2374" t="str">
        <f>"030353"</f>
        <v>030353</v>
      </c>
      <c r="C2374" t="s">
        <v>7786</v>
      </c>
      <c r="D2374" t="s">
        <v>3394</v>
      </c>
      <c r="E2374" t="s">
        <v>3395</v>
      </c>
      <c r="F2374" t="s">
        <v>3396</v>
      </c>
      <c r="G2374" t="s">
        <v>63</v>
      </c>
      <c r="H2374" t="s">
        <v>7787</v>
      </c>
      <c r="I2374" t="s">
        <v>7788</v>
      </c>
      <c r="J2374" t="s">
        <v>66</v>
      </c>
      <c r="K2374" t="s">
        <v>55</v>
      </c>
      <c r="L2374" t="s">
        <v>2232</v>
      </c>
      <c r="M2374" t="s">
        <v>57</v>
      </c>
      <c r="N2374" t="str">
        <f>"044636"</f>
        <v>044636</v>
      </c>
      <c r="O2374" t="s">
        <v>1331</v>
      </c>
      <c r="P2374" t="s">
        <v>68</v>
      </c>
      <c r="Q2374">
        <v>49.8</v>
      </c>
      <c r="R2374">
        <v>35.099999999999994</v>
      </c>
      <c r="S2374" t="s">
        <v>69</v>
      </c>
    </row>
    <row r="2375" spans="1:19" x14ac:dyDescent="0.35">
      <c r="A2375">
        <v>30395</v>
      </c>
      <c r="B2375" t="str">
        <f>"030395"</f>
        <v>030395</v>
      </c>
      <c r="C2375" t="s">
        <v>7789</v>
      </c>
      <c r="D2375" t="s">
        <v>3394</v>
      </c>
      <c r="E2375" t="s">
        <v>3395</v>
      </c>
      <c r="F2375" t="s">
        <v>3396</v>
      </c>
      <c r="G2375" t="s">
        <v>92</v>
      </c>
      <c r="H2375" t="s">
        <v>7790</v>
      </c>
      <c r="I2375" t="s">
        <v>7791</v>
      </c>
      <c r="J2375" t="s">
        <v>7792</v>
      </c>
      <c r="K2375" t="s">
        <v>55</v>
      </c>
      <c r="L2375" t="s">
        <v>7793</v>
      </c>
      <c r="M2375" t="s">
        <v>57</v>
      </c>
      <c r="N2375" t="str">
        <f>"046870"</f>
        <v>046870</v>
      </c>
      <c r="O2375" t="s">
        <v>1937</v>
      </c>
      <c r="P2375" t="s">
        <v>68</v>
      </c>
      <c r="Q2375">
        <v>36.799999999999997</v>
      </c>
      <c r="R2375">
        <v>7.0999999999999943</v>
      </c>
      <c r="S2375" t="s">
        <v>60</v>
      </c>
    </row>
    <row r="2376" spans="1:19" x14ac:dyDescent="0.35">
      <c r="A2376">
        <v>30429</v>
      </c>
      <c r="B2376" t="str">
        <f>"030429"</f>
        <v>030429</v>
      </c>
      <c r="C2376" t="s">
        <v>7794</v>
      </c>
      <c r="D2376" t="s">
        <v>3398</v>
      </c>
      <c r="E2376" t="s">
        <v>3395</v>
      </c>
      <c r="F2376" t="s">
        <v>3396</v>
      </c>
      <c r="G2376" t="s">
        <v>663</v>
      </c>
      <c r="H2376" t="s">
        <v>7795</v>
      </c>
      <c r="I2376" t="s">
        <v>7796</v>
      </c>
      <c r="J2376" t="s">
        <v>830</v>
      </c>
      <c r="K2376" t="s">
        <v>55</v>
      </c>
      <c r="L2376" t="s">
        <v>831</v>
      </c>
      <c r="M2376" t="s">
        <v>57</v>
      </c>
      <c r="N2376" t="str">
        <f>"049460"</f>
        <v>049460</v>
      </c>
      <c r="O2376" t="s">
        <v>827</v>
      </c>
      <c r="P2376" t="s">
        <v>68</v>
      </c>
      <c r="Q2376">
        <v>40</v>
      </c>
      <c r="R2376">
        <v>7.9000000000000057</v>
      </c>
      <c r="S2376" t="s">
        <v>77</v>
      </c>
    </row>
    <row r="2377" spans="1:19" x14ac:dyDescent="0.35">
      <c r="A2377">
        <v>30437</v>
      </c>
      <c r="B2377" t="str">
        <f>"030437"</f>
        <v>030437</v>
      </c>
      <c r="C2377" t="s">
        <v>6594</v>
      </c>
      <c r="D2377" t="s">
        <v>3394</v>
      </c>
      <c r="E2377" t="s">
        <v>3395</v>
      </c>
      <c r="F2377" t="s">
        <v>3396</v>
      </c>
      <c r="G2377" t="s">
        <v>244</v>
      </c>
      <c r="H2377" t="s">
        <v>7797</v>
      </c>
      <c r="I2377" t="s">
        <v>7798</v>
      </c>
      <c r="J2377" t="s">
        <v>1179</v>
      </c>
      <c r="K2377" t="s">
        <v>55</v>
      </c>
      <c r="L2377" t="s">
        <v>1180</v>
      </c>
      <c r="M2377" t="s">
        <v>57</v>
      </c>
      <c r="N2377" t="str">
        <f>"046128"</f>
        <v>046128</v>
      </c>
      <c r="O2377" t="s">
        <v>1934</v>
      </c>
      <c r="P2377" t="s">
        <v>68</v>
      </c>
      <c r="Q2377">
        <v>38.799999999999997</v>
      </c>
      <c r="R2377">
        <v>8.2999999999999972</v>
      </c>
      <c r="S2377" t="s">
        <v>217</v>
      </c>
    </row>
    <row r="2378" spans="1:19" x14ac:dyDescent="0.35">
      <c r="A2378">
        <v>30445</v>
      </c>
      <c r="B2378" t="str">
        <f>"030445"</f>
        <v>030445</v>
      </c>
      <c r="C2378" t="s">
        <v>7799</v>
      </c>
      <c r="D2378" t="s">
        <v>3400</v>
      </c>
      <c r="E2378" t="s">
        <v>3395</v>
      </c>
      <c r="F2378" t="s">
        <v>3396</v>
      </c>
      <c r="G2378" t="s">
        <v>383</v>
      </c>
      <c r="H2378" t="s">
        <v>7800</v>
      </c>
      <c r="I2378" t="s">
        <v>7801</v>
      </c>
      <c r="J2378" t="s">
        <v>1064</v>
      </c>
      <c r="K2378" t="s">
        <v>55</v>
      </c>
      <c r="L2378" t="s">
        <v>1065</v>
      </c>
      <c r="M2378" t="s">
        <v>57</v>
      </c>
      <c r="N2378" t="str">
        <f>"048348"</f>
        <v>048348</v>
      </c>
      <c r="O2378" t="s">
        <v>1061</v>
      </c>
      <c r="P2378" t="s">
        <v>68</v>
      </c>
      <c r="Q2378">
        <v>12.9</v>
      </c>
      <c r="R2378">
        <v>12.900000000000006</v>
      </c>
      <c r="S2378" t="s">
        <v>77</v>
      </c>
    </row>
    <row r="2379" spans="1:19" x14ac:dyDescent="0.35">
      <c r="A2379">
        <v>30452</v>
      </c>
      <c r="B2379" t="str">
        <f>"030452"</f>
        <v>030452</v>
      </c>
      <c r="C2379" t="s">
        <v>7802</v>
      </c>
      <c r="D2379" t="s">
        <v>3398</v>
      </c>
      <c r="E2379" t="s">
        <v>3395</v>
      </c>
      <c r="F2379" t="s">
        <v>3396</v>
      </c>
      <c r="G2379" t="s">
        <v>383</v>
      </c>
      <c r="H2379" t="s">
        <v>7803</v>
      </c>
      <c r="I2379" t="s">
        <v>7804</v>
      </c>
      <c r="J2379" t="s">
        <v>1064</v>
      </c>
      <c r="K2379" t="s">
        <v>55</v>
      </c>
      <c r="L2379" t="s">
        <v>1065</v>
      </c>
      <c r="M2379" t="s">
        <v>57</v>
      </c>
      <c r="N2379" t="str">
        <f>"048348"</f>
        <v>048348</v>
      </c>
      <c r="O2379" t="s">
        <v>1061</v>
      </c>
      <c r="P2379" t="s">
        <v>68</v>
      </c>
      <c r="Q2379">
        <v>10.9</v>
      </c>
      <c r="R2379">
        <v>9.0999999999999943</v>
      </c>
      <c r="S2379" t="s">
        <v>77</v>
      </c>
    </row>
    <row r="2380" spans="1:19" x14ac:dyDescent="0.35">
      <c r="A2380">
        <v>30528</v>
      </c>
      <c r="B2380" t="str">
        <f>"030528"</f>
        <v>030528</v>
      </c>
      <c r="C2380" t="s">
        <v>7805</v>
      </c>
      <c r="D2380" t="s">
        <v>3394</v>
      </c>
      <c r="E2380" t="s">
        <v>3395</v>
      </c>
      <c r="F2380" t="s">
        <v>3396</v>
      </c>
      <c r="G2380" t="s">
        <v>264</v>
      </c>
      <c r="H2380" t="s">
        <v>7806</v>
      </c>
      <c r="I2380" t="s">
        <v>7807</v>
      </c>
      <c r="J2380" t="s">
        <v>2558</v>
      </c>
      <c r="K2380" t="s">
        <v>55</v>
      </c>
      <c r="L2380" t="s">
        <v>2559</v>
      </c>
      <c r="M2380" t="s">
        <v>57</v>
      </c>
      <c r="N2380" t="str">
        <f>"043539"</f>
        <v>043539</v>
      </c>
      <c r="O2380" t="s">
        <v>2555</v>
      </c>
      <c r="P2380" t="s">
        <v>68</v>
      </c>
      <c r="Q2380">
        <v>75.900000000000006</v>
      </c>
      <c r="R2380">
        <v>31.799999999999997</v>
      </c>
      <c r="S2380" t="s">
        <v>77</v>
      </c>
    </row>
    <row r="2381" spans="1:19" x14ac:dyDescent="0.35">
      <c r="A2381">
        <v>30536</v>
      </c>
      <c r="B2381" t="str">
        <f>"030536"</f>
        <v>030536</v>
      </c>
      <c r="C2381" t="s">
        <v>7808</v>
      </c>
      <c r="D2381" t="s">
        <v>3394</v>
      </c>
      <c r="E2381" t="s">
        <v>3395</v>
      </c>
      <c r="F2381" t="s">
        <v>3396</v>
      </c>
      <c r="G2381" t="s">
        <v>264</v>
      </c>
      <c r="H2381" t="s">
        <v>7809</v>
      </c>
      <c r="I2381" t="s">
        <v>7810</v>
      </c>
      <c r="J2381" t="s">
        <v>267</v>
      </c>
      <c r="K2381" t="s">
        <v>55</v>
      </c>
      <c r="L2381" t="s">
        <v>6222</v>
      </c>
      <c r="M2381" t="s">
        <v>57</v>
      </c>
      <c r="N2381" t="str">
        <f>"043489"</f>
        <v>043489</v>
      </c>
      <c r="O2381" t="s">
        <v>3176</v>
      </c>
      <c r="P2381" t="s">
        <v>68</v>
      </c>
      <c r="Q2381">
        <v>100</v>
      </c>
      <c r="R2381">
        <v>93</v>
      </c>
      <c r="S2381" t="s">
        <v>77</v>
      </c>
    </row>
    <row r="2382" spans="1:19" x14ac:dyDescent="0.35">
      <c r="A2382">
        <v>30569</v>
      </c>
      <c r="B2382" t="str">
        <f>"030569"</f>
        <v>030569</v>
      </c>
      <c r="C2382" t="s">
        <v>7811</v>
      </c>
      <c r="D2382" t="s">
        <v>3398</v>
      </c>
      <c r="E2382" t="s">
        <v>3395</v>
      </c>
      <c r="F2382" t="s">
        <v>3396</v>
      </c>
      <c r="G2382" t="s">
        <v>219</v>
      </c>
      <c r="H2382" t="s">
        <v>7812</v>
      </c>
      <c r="I2382" t="s">
        <v>7813</v>
      </c>
      <c r="J2382" t="s">
        <v>222</v>
      </c>
      <c r="K2382" t="s">
        <v>55</v>
      </c>
      <c r="L2382" t="s">
        <v>223</v>
      </c>
      <c r="M2382" t="s">
        <v>57</v>
      </c>
      <c r="N2382" t="str">
        <f>"044669"</f>
        <v>044669</v>
      </c>
      <c r="O2382" t="s">
        <v>3263</v>
      </c>
      <c r="P2382" t="s">
        <v>68</v>
      </c>
      <c r="Q2382">
        <v>100</v>
      </c>
      <c r="R2382">
        <v>30.5</v>
      </c>
      <c r="S2382" t="s">
        <v>130</v>
      </c>
    </row>
    <row r="2383" spans="1:19" x14ac:dyDescent="0.35">
      <c r="A2383">
        <v>30585</v>
      </c>
      <c r="B2383" t="str">
        <f>"030585"</f>
        <v>030585</v>
      </c>
      <c r="C2383" t="s">
        <v>7814</v>
      </c>
      <c r="D2383" t="s">
        <v>3398</v>
      </c>
      <c r="E2383" t="s">
        <v>3395</v>
      </c>
      <c r="F2383" t="s">
        <v>3396</v>
      </c>
      <c r="G2383" t="s">
        <v>219</v>
      </c>
      <c r="H2383" t="s">
        <v>1866</v>
      </c>
      <c r="I2383" t="s">
        <v>1867</v>
      </c>
      <c r="J2383" t="s">
        <v>1868</v>
      </c>
      <c r="K2383" t="s">
        <v>55</v>
      </c>
      <c r="L2383" t="s">
        <v>1869</v>
      </c>
      <c r="M2383" t="s">
        <v>57</v>
      </c>
      <c r="N2383" t="str">
        <f>"049650"</f>
        <v>049650</v>
      </c>
      <c r="O2383" t="s">
        <v>1865</v>
      </c>
      <c r="P2383" t="s">
        <v>68</v>
      </c>
      <c r="Q2383">
        <v>97.7</v>
      </c>
      <c r="R2383">
        <v>5.2999999999999972</v>
      </c>
      <c r="S2383" t="s">
        <v>130</v>
      </c>
    </row>
    <row r="2384" spans="1:19" x14ac:dyDescent="0.35">
      <c r="A2384">
        <v>30593</v>
      </c>
      <c r="B2384" t="str">
        <f>"030593"</f>
        <v>030593</v>
      </c>
      <c r="C2384" t="s">
        <v>7815</v>
      </c>
      <c r="D2384" t="s">
        <v>3394</v>
      </c>
      <c r="E2384" t="s">
        <v>3395</v>
      </c>
      <c r="F2384" t="s">
        <v>3396</v>
      </c>
      <c r="G2384" t="s">
        <v>777</v>
      </c>
      <c r="H2384" t="s">
        <v>7816</v>
      </c>
      <c r="I2384" t="s">
        <v>7817</v>
      </c>
      <c r="J2384" t="s">
        <v>780</v>
      </c>
      <c r="K2384" t="s">
        <v>55</v>
      </c>
      <c r="L2384" t="s">
        <v>781</v>
      </c>
      <c r="M2384" t="s">
        <v>57</v>
      </c>
      <c r="N2384" t="str">
        <f>"046284"</f>
        <v>046284</v>
      </c>
      <c r="O2384" t="s">
        <v>2664</v>
      </c>
      <c r="P2384" t="s">
        <v>68</v>
      </c>
      <c r="Q2384">
        <v>46.1</v>
      </c>
      <c r="R2384">
        <v>20.799999999999997</v>
      </c>
      <c r="S2384" t="s">
        <v>180</v>
      </c>
    </row>
    <row r="2385" spans="1:19" x14ac:dyDescent="0.35">
      <c r="A2385">
        <v>30635</v>
      </c>
      <c r="B2385" t="str">
        <f>"030635"</f>
        <v>030635</v>
      </c>
      <c r="C2385" t="s">
        <v>7818</v>
      </c>
      <c r="D2385" t="s">
        <v>3394</v>
      </c>
      <c r="E2385" t="s">
        <v>3395</v>
      </c>
      <c r="F2385" t="s">
        <v>3396</v>
      </c>
      <c r="G2385" t="s">
        <v>143</v>
      </c>
      <c r="H2385" t="s">
        <v>7819</v>
      </c>
      <c r="I2385" t="s">
        <v>7820</v>
      </c>
      <c r="J2385" t="s">
        <v>1004</v>
      </c>
      <c r="K2385" t="s">
        <v>55</v>
      </c>
      <c r="L2385" t="s">
        <v>1005</v>
      </c>
      <c r="M2385" t="s">
        <v>57</v>
      </c>
      <c r="N2385" t="str">
        <f>"045195"</f>
        <v>045195</v>
      </c>
      <c r="O2385" t="s">
        <v>1001</v>
      </c>
      <c r="P2385" t="s">
        <v>68</v>
      </c>
      <c r="Q2385">
        <v>27.3</v>
      </c>
      <c r="R2385">
        <v>26.200000000000003</v>
      </c>
      <c r="S2385" t="s">
        <v>69</v>
      </c>
    </row>
    <row r="2386" spans="1:19" x14ac:dyDescent="0.35">
      <c r="A2386">
        <v>30643</v>
      </c>
      <c r="B2386" t="str">
        <f>"030643"</f>
        <v>030643</v>
      </c>
      <c r="C2386" t="s">
        <v>7821</v>
      </c>
      <c r="D2386" t="s">
        <v>3394</v>
      </c>
      <c r="E2386" t="s">
        <v>3395</v>
      </c>
      <c r="F2386" t="s">
        <v>3396</v>
      </c>
      <c r="G2386" t="s">
        <v>233</v>
      </c>
      <c r="H2386" t="s">
        <v>7822</v>
      </c>
      <c r="I2386" t="s">
        <v>7823</v>
      </c>
      <c r="J2386" t="s">
        <v>7824</v>
      </c>
      <c r="K2386" t="s">
        <v>55</v>
      </c>
      <c r="L2386" t="s">
        <v>7825</v>
      </c>
      <c r="M2386" t="s">
        <v>57</v>
      </c>
      <c r="N2386" t="str">
        <f>"048652"</f>
        <v>048652</v>
      </c>
      <c r="O2386" t="s">
        <v>2757</v>
      </c>
      <c r="P2386" t="s">
        <v>68</v>
      </c>
      <c r="Q2386">
        <v>55.3</v>
      </c>
      <c r="R2386">
        <v>2.7999999999999972</v>
      </c>
      <c r="S2386" t="s">
        <v>130</v>
      </c>
    </row>
    <row r="2387" spans="1:19" x14ac:dyDescent="0.35">
      <c r="A2387">
        <v>30676</v>
      </c>
      <c r="B2387" t="str">
        <f>"030676"</f>
        <v>030676</v>
      </c>
      <c r="C2387" t="s">
        <v>7826</v>
      </c>
      <c r="D2387" t="s">
        <v>3394</v>
      </c>
      <c r="E2387" t="s">
        <v>3395</v>
      </c>
      <c r="F2387" t="s">
        <v>3396</v>
      </c>
      <c r="G2387" t="s">
        <v>600</v>
      </c>
      <c r="H2387" t="s">
        <v>7827</v>
      </c>
      <c r="I2387" t="s">
        <v>7828</v>
      </c>
      <c r="J2387" t="s">
        <v>1348</v>
      </c>
      <c r="K2387" t="s">
        <v>55</v>
      </c>
      <c r="L2387" t="s">
        <v>1349</v>
      </c>
      <c r="M2387" t="s">
        <v>57</v>
      </c>
      <c r="N2387" t="str">
        <f>"044800"</f>
        <v>044800</v>
      </c>
      <c r="O2387" t="s">
        <v>1133</v>
      </c>
      <c r="P2387" t="s">
        <v>68</v>
      </c>
      <c r="Q2387">
        <v>80.400000000000006</v>
      </c>
      <c r="R2387">
        <v>59.8</v>
      </c>
      <c r="S2387" t="s">
        <v>60</v>
      </c>
    </row>
    <row r="2388" spans="1:19" x14ac:dyDescent="0.35">
      <c r="A2388">
        <v>30684</v>
      </c>
      <c r="B2388" t="str">
        <f>"030684"</f>
        <v>030684</v>
      </c>
      <c r="C2388" t="s">
        <v>7829</v>
      </c>
      <c r="D2388" t="s">
        <v>3394</v>
      </c>
      <c r="E2388" t="s">
        <v>3395</v>
      </c>
      <c r="F2388" t="s">
        <v>3396</v>
      </c>
      <c r="G2388" t="s">
        <v>600</v>
      </c>
      <c r="H2388" t="s">
        <v>7830</v>
      </c>
      <c r="I2388" t="s">
        <v>7831</v>
      </c>
      <c r="J2388" t="s">
        <v>1348</v>
      </c>
      <c r="K2388" t="s">
        <v>55</v>
      </c>
      <c r="L2388" t="s">
        <v>1349</v>
      </c>
      <c r="M2388" t="s">
        <v>57</v>
      </c>
      <c r="N2388" t="str">
        <f>"044800"</f>
        <v>044800</v>
      </c>
      <c r="O2388" t="s">
        <v>1133</v>
      </c>
      <c r="P2388" t="s">
        <v>68</v>
      </c>
      <c r="Q2388">
        <v>73.8</v>
      </c>
      <c r="R2388">
        <v>68.5</v>
      </c>
      <c r="S2388" t="s">
        <v>60</v>
      </c>
    </row>
    <row r="2389" spans="1:19" x14ac:dyDescent="0.35">
      <c r="A2389">
        <v>30692</v>
      </c>
      <c r="B2389" t="str">
        <f>"030692"</f>
        <v>030692</v>
      </c>
      <c r="C2389" t="s">
        <v>7832</v>
      </c>
      <c r="D2389" t="s">
        <v>3394</v>
      </c>
      <c r="E2389" t="s">
        <v>3395</v>
      </c>
      <c r="F2389" t="s">
        <v>3396</v>
      </c>
      <c r="G2389" t="s">
        <v>543</v>
      </c>
      <c r="H2389" t="s">
        <v>7833</v>
      </c>
      <c r="I2389" t="s">
        <v>7834</v>
      </c>
      <c r="J2389" t="s">
        <v>1961</v>
      </c>
      <c r="K2389" t="s">
        <v>55</v>
      </c>
      <c r="L2389" t="s">
        <v>6163</v>
      </c>
      <c r="M2389" t="s">
        <v>57</v>
      </c>
      <c r="N2389" t="str">
        <f>"044180"</f>
        <v>044180</v>
      </c>
      <c r="O2389" t="s">
        <v>1963</v>
      </c>
      <c r="P2389" t="s">
        <v>68</v>
      </c>
      <c r="Q2389">
        <v>32.6</v>
      </c>
      <c r="R2389">
        <v>19.5</v>
      </c>
      <c r="S2389" t="s">
        <v>180</v>
      </c>
    </row>
    <row r="2390" spans="1:19" x14ac:dyDescent="0.35">
      <c r="A2390">
        <v>30700</v>
      </c>
      <c r="B2390" t="str">
        <f>"030700"</f>
        <v>030700</v>
      </c>
      <c r="C2390" t="s">
        <v>7835</v>
      </c>
      <c r="D2390" t="s">
        <v>3394</v>
      </c>
      <c r="E2390" t="s">
        <v>3395</v>
      </c>
      <c r="F2390" t="s">
        <v>3396</v>
      </c>
      <c r="G2390" t="s">
        <v>264</v>
      </c>
      <c r="H2390" t="s">
        <v>7836</v>
      </c>
      <c r="I2390" t="s">
        <v>7837</v>
      </c>
      <c r="J2390" t="s">
        <v>2497</v>
      </c>
      <c r="K2390" t="s">
        <v>55</v>
      </c>
      <c r="L2390" t="s">
        <v>2498</v>
      </c>
      <c r="M2390" t="s">
        <v>57</v>
      </c>
      <c r="N2390" t="str">
        <f>"043836"</f>
        <v>043836</v>
      </c>
      <c r="O2390" t="s">
        <v>2494</v>
      </c>
      <c r="P2390" t="s">
        <v>68</v>
      </c>
      <c r="Q2390">
        <v>59</v>
      </c>
      <c r="R2390">
        <v>48.9</v>
      </c>
      <c r="S2390" t="s">
        <v>77</v>
      </c>
    </row>
    <row r="2391" spans="1:19" x14ac:dyDescent="0.35">
      <c r="A2391">
        <v>30742</v>
      </c>
      <c r="B2391" t="str">
        <f>"030742"</f>
        <v>030742</v>
      </c>
      <c r="C2391" t="s">
        <v>7838</v>
      </c>
      <c r="D2391" t="s">
        <v>3400</v>
      </c>
      <c r="E2391" t="s">
        <v>3395</v>
      </c>
      <c r="F2391" t="s">
        <v>3396</v>
      </c>
      <c r="G2391" t="s">
        <v>212</v>
      </c>
      <c r="H2391" t="s">
        <v>7839</v>
      </c>
      <c r="I2391" t="s">
        <v>7840</v>
      </c>
      <c r="J2391" t="s">
        <v>215</v>
      </c>
      <c r="K2391" t="s">
        <v>55</v>
      </c>
      <c r="L2391" t="s">
        <v>5475</v>
      </c>
      <c r="M2391" t="s">
        <v>57</v>
      </c>
      <c r="N2391" t="str">
        <f>"044677"</f>
        <v>044677</v>
      </c>
      <c r="O2391" t="s">
        <v>2499</v>
      </c>
      <c r="P2391" t="s">
        <v>68</v>
      </c>
      <c r="Q2391">
        <v>70.5</v>
      </c>
      <c r="R2391">
        <v>84.8</v>
      </c>
      <c r="S2391" t="s">
        <v>217</v>
      </c>
    </row>
    <row r="2392" spans="1:19" x14ac:dyDescent="0.35">
      <c r="A2392">
        <v>30759</v>
      </c>
      <c r="B2392" t="str">
        <f>"030759"</f>
        <v>030759</v>
      </c>
      <c r="C2392" t="s">
        <v>7841</v>
      </c>
      <c r="D2392" t="s">
        <v>3398</v>
      </c>
      <c r="E2392" t="s">
        <v>3395</v>
      </c>
      <c r="F2392" t="s">
        <v>3396</v>
      </c>
      <c r="G2392" t="s">
        <v>212</v>
      </c>
      <c r="H2392" t="s">
        <v>7842</v>
      </c>
      <c r="I2392" t="s">
        <v>7843</v>
      </c>
      <c r="J2392" t="s">
        <v>215</v>
      </c>
      <c r="K2392" t="s">
        <v>55</v>
      </c>
      <c r="L2392" t="s">
        <v>5475</v>
      </c>
      <c r="M2392" t="s">
        <v>57</v>
      </c>
      <c r="N2392" t="str">
        <f>"044677"</f>
        <v>044677</v>
      </c>
      <c r="O2392" t="s">
        <v>2499</v>
      </c>
      <c r="P2392" t="s">
        <v>68</v>
      </c>
      <c r="Q2392">
        <v>59.8</v>
      </c>
      <c r="R2392">
        <v>79.900000000000006</v>
      </c>
      <c r="S2392" t="s">
        <v>217</v>
      </c>
    </row>
    <row r="2393" spans="1:19" x14ac:dyDescent="0.35">
      <c r="A2393">
        <v>30783</v>
      </c>
      <c r="B2393" t="str">
        <f>"030783"</f>
        <v>030783</v>
      </c>
      <c r="C2393" t="s">
        <v>7844</v>
      </c>
      <c r="D2393" t="s">
        <v>3394</v>
      </c>
      <c r="E2393" t="s">
        <v>3395</v>
      </c>
      <c r="F2393" t="s">
        <v>3396</v>
      </c>
      <c r="G2393" t="s">
        <v>143</v>
      </c>
      <c r="H2393" t="s">
        <v>5065</v>
      </c>
      <c r="I2393" t="s">
        <v>5066</v>
      </c>
      <c r="J2393" t="s">
        <v>528</v>
      </c>
      <c r="K2393" t="s">
        <v>55</v>
      </c>
      <c r="L2393" t="s">
        <v>529</v>
      </c>
      <c r="M2393" t="s">
        <v>57</v>
      </c>
      <c r="N2393" t="str">
        <f>"043943"</f>
        <v>043943</v>
      </c>
      <c r="O2393" t="s">
        <v>525</v>
      </c>
      <c r="P2393" t="s">
        <v>68</v>
      </c>
      <c r="Q2393">
        <v>66.900000000000006</v>
      </c>
      <c r="R2393">
        <v>47.2</v>
      </c>
      <c r="S2393" t="s">
        <v>69</v>
      </c>
    </row>
    <row r="2394" spans="1:19" x14ac:dyDescent="0.35">
      <c r="A2394">
        <v>30825</v>
      </c>
      <c r="B2394" t="str">
        <f>"030825"</f>
        <v>030825</v>
      </c>
      <c r="C2394" t="s">
        <v>7845</v>
      </c>
      <c r="D2394" t="s">
        <v>3394</v>
      </c>
      <c r="E2394" t="s">
        <v>3395</v>
      </c>
      <c r="F2394" t="s">
        <v>3396</v>
      </c>
      <c r="G2394" t="s">
        <v>312</v>
      </c>
      <c r="H2394" t="s">
        <v>7846</v>
      </c>
      <c r="I2394" t="s">
        <v>7847</v>
      </c>
      <c r="J2394" t="s">
        <v>312</v>
      </c>
      <c r="K2394" t="s">
        <v>55</v>
      </c>
      <c r="L2394" t="s">
        <v>315</v>
      </c>
      <c r="M2394" t="s">
        <v>57</v>
      </c>
      <c r="N2394" t="str">
        <f>"048413"</f>
        <v>048413</v>
      </c>
      <c r="O2394" t="s">
        <v>1918</v>
      </c>
      <c r="P2394" t="s">
        <v>68</v>
      </c>
      <c r="Q2394">
        <v>56.6</v>
      </c>
      <c r="R2394">
        <v>8.2000000000000028</v>
      </c>
      <c r="S2394" t="s">
        <v>156</v>
      </c>
    </row>
    <row r="2395" spans="1:19" x14ac:dyDescent="0.35">
      <c r="A2395">
        <v>30833</v>
      </c>
      <c r="B2395" t="str">
        <f>"030833"</f>
        <v>030833</v>
      </c>
      <c r="C2395" t="s">
        <v>7848</v>
      </c>
      <c r="D2395" t="s">
        <v>3400</v>
      </c>
      <c r="E2395" t="s">
        <v>3395</v>
      </c>
      <c r="F2395" t="s">
        <v>3396</v>
      </c>
      <c r="G2395" t="s">
        <v>257</v>
      </c>
      <c r="H2395" t="s">
        <v>7849</v>
      </c>
      <c r="I2395" t="s">
        <v>7850</v>
      </c>
      <c r="J2395" t="s">
        <v>1725</v>
      </c>
      <c r="K2395" t="s">
        <v>55</v>
      </c>
      <c r="L2395" t="s">
        <v>1726</v>
      </c>
      <c r="M2395" t="s">
        <v>57</v>
      </c>
      <c r="N2395" t="str">
        <f>"044651"</f>
        <v>044651</v>
      </c>
      <c r="O2395" t="s">
        <v>1722</v>
      </c>
      <c r="P2395" t="s">
        <v>68</v>
      </c>
      <c r="Q2395">
        <v>50.8</v>
      </c>
      <c r="R2395">
        <v>23.700000000000003</v>
      </c>
      <c r="S2395" t="s">
        <v>156</v>
      </c>
    </row>
    <row r="2396" spans="1:19" x14ac:dyDescent="0.35">
      <c r="A2396">
        <v>30841</v>
      </c>
      <c r="B2396" t="str">
        <f>"030841"</f>
        <v>030841</v>
      </c>
      <c r="C2396" t="s">
        <v>7851</v>
      </c>
      <c r="D2396" t="s">
        <v>3398</v>
      </c>
      <c r="E2396" t="s">
        <v>3395</v>
      </c>
      <c r="F2396" t="s">
        <v>3396</v>
      </c>
      <c r="G2396" t="s">
        <v>257</v>
      </c>
      <c r="H2396" t="s">
        <v>7852</v>
      </c>
      <c r="I2396" t="s">
        <v>7853</v>
      </c>
      <c r="J2396" t="s">
        <v>1725</v>
      </c>
      <c r="K2396" t="s">
        <v>55</v>
      </c>
      <c r="L2396" t="s">
        <v>1726</v>
      </c>
      <c r="M2396" t="s">
        <v>57</v>
      </c>
      <c r="N2396" t="str">
        <f>"044651"</f>
        <v>044651</v>
      </c>
      <c r="O2396" t="s">
        <v>1722</v>
      </c>
      <c r="P2396" t="s">
        <v>68</v>
      </c>
      <c r="Q2396">
        <v>46.7</v>
      </c>
      <c r="R2396">
        <v>23.400000000000006</v>
      </c>
      <c r="S2396" t="s">
        <v>156</v>
      </c>
    </row>
    <row r="2397" spans="1:19" x14ac:dyDescent="0.35">
      <c r="A2397">
        <v>30866</v>
      </c>
      <c r="B2397" t="str">
        <f>"030866"</f>
        <v>030866</v>
      </c>
      <c r="C2397" t="s">
        <v>7854</v>
      </c>
      <c r="D2397" t="s">
        <v>3394</v>
      </c>
      <c r="E2397" t="s">
        <v>3395</v>
      </c>
      <c r="F2397" t="s">
        <v>3396</v>
      </c>
      <c r="G2397" t="s">
        <v>71</v>
      </c>
      <c r="H2397" t="s">
        <v>7855</v>
      </c>
      <c r="I2397" t="s">
        <v>7856</v>
      </c>
      <c r="J2397" t="s">
        <v>7857</v>
      </c>
      <c r="K2397" t="s">
        <v>55</v>
      </c>
      <c r="L2397" t="s">
        <v>7858</v>
      </c>
      <c r="M2397" t="s">
        <v>57</v>
      </c>
      <c r="N2397" t="str">
        <f>"050286"</f>
        <v>050286</v>
      </c>
      <c r="O2397" t="s">
        <v>2589</v>
      </c>
      <c r="P2397" t="s">
        <v>68</v>
      </c>
      <c r="Q2397">
        <v>34</v>
      </c>
      <c r="R2397">
        <v>1.7999999999999972</v>
      </c>
      <c r="S2397" t="s">
        <v>77</v>
      </c>
    </row>
    <row r="2398" spans="1:19" x14ac:dyDescent="0.35">
      <c r="A2398">
        <v>30890</v>
      </c>
      <c r="B2398" t="str">
        <f>"030890"</f>
        <v>030890</v>
      </c>
      <c r="C2398" t="s">
        <v>7859</v>
      </c>
      <c r="D2398" t="s">
        <v>3394</v>
      </c>
      <c r="E2398" t="s">
        <v>3395</v>
      </c>
      <c r="F2398" t="s">
        <v>3396</v>
      </c>
      <c r="G2398" t="s">
        <v>257</v>
      </c>
      <c r="H2398" t="s">
        <v>7860</v>
      </c>
      <c r="I2398" t="s">
        <v>7861</v>
      </c>
      <c r="J2398" t="s">
        <v>7862</v>
      </c>
      <c r="K2398" t="s">
        <v>55</v>
      </c>
      <c r="L2398" t="s">
        <v>2741</v>
      </c>
      <c r="M2398" t="s">
        <v>57</v>
      </c>
      <c r="N2398" t="str">
        <f>"048975"</f>
        <v>048975</v>
      </c>
      <c r="O2398" t="s">
        <v>2737</v>
      </c>
      <c r="P2398" t="s">
        <v>68</v>
      </c>
      <c r="Q2398">
        <v>0</v>
      </c>
      <c r="R2398">
        <v>5.2999999999999972</v>
      </c>
      <c r="S2398" t="s">
        <v>156</v>
      </c>
    </row>
    <row r="2399" spans="1:19" x14ac:dyDescent="0.35">
      <c r="A2399">
        <v>30908</v>
      </c>
      <c r="B2399" t="str">
        <f>"030908"</f>
        <v>030908</v>
      </c>
      <c r="C2399" t="s">
        <v>7863</v>
      </c>
      <c r="D2399" t="s">
        <v>3398</v>
      </c>
      <c r="E2399" t="s">
        <v>3395</v>
      </c>
      <c r="F2399" t="s">
        <v>3396</v>
      </c>
      <c r="G2399" t="s">
        <v>257</v>
      </c>
      <c r="H2399" t="s">
        <v>7860</v>
      </c>
      <c r="I2399" t="s">
        <v>7861</v>
      </c>
      <c r="J2399" t="s">
        <v>7862</v>
      </c>
      <c r="K2399" t="s">
        <v>55</v>
      </c>
      <c r="L2399" t="s">
        <v>2741</v>
      </c>
      <c r="M2399" t="s">
        <v>57</v>
      </c>
      <c r="N2399" t="str">
        <f>"048975"</f>
        <v>048975</v>
      </c>
      <c r="O2399" t="s">
        <v>2737</v>
      </c>
      <c r="P2399" t="s">
        <v>68</v>
      </c>
      <c r="Q2399">
        <v>0</v>
      </c>
      <c r="R2399">
        <v>0</v>
      </c>
      <c r="S2399" t="s">
        <v>156</v>
      </c>
    </row>
    <row r="2400" spans="1:19" x14ac:dyDescent="0.35">
      <c r="A2400">
        <v>30916</v>
      </c>
      <c r="B2400" t="str">
        <f>"030916"</f>
        <v>030916</v>
      </c>
      <c r="C2400" t="s">
        <v>7864</v>
      </c>
      <c r="D2400" t="s">
        <v>3394</v>
      </c>
      <c r="E2400" t="s">
        <v>3395</v>
      </c>
      <c r="F2400" t="s">
        <v>3396</v>
      </c>
      <c r="G2400" t="s">
        <v>250</v>
      </c>
      <c r="H2400" t="s">
        <v>7865</v>
      </c>
      <c r="I2400" t="s">
        <v>7866</v>
      </c>
      <c r="J2400" t="s">
        <v>253</v>
      </c>
      <c r="K2400" t="s">
        <v>55</v>
      </c>
      <c r="L2400" t="s">
        <v>254</v>
      </c>
      <c r="M2400" t="s">
        <v>57</v>
      </c>
      <c r="N2400" t="str">
        <f>"046383"</f>
        <v>046383</v>
      </c>
      <c r="O2400" t="s">
        <v>249</v>
      </c>
      <c r="P2400" t="s">
        <v>68</v>
      </c>
      <c r="Q2400">
        <v>42.3</v>
      </c>
      <c r="R2400">
        <v>6.2000000000000028</v>
      </c>
      <c r="S2400" t="s">
        <v>60</v>
      </c>
    </row>
    <row r="2401" spans="1:19" x14ac:dyDescent="0.35">
      <c r="A2401">
        <v>30932</v>
      </c>
      <c r="B2401" t="str">
        <f>"030932"</f>
        <v>030932</v>
      </c>
      <c r="C2401" t="s">
        <v>7867</v>
      </c>
      <c r="D2401" t="s">
        <v>3398</v>
      </c>
      <c r="E2401" t="s">
        <v>3395</v>
      </c>
      <c r="F2401" t="s">
        <v>3396</v>
      </c>
      <c r="G2401" t="s">
        <v>132</v>
      </c>
      <c r="H2401" t="s">
        <v>3183</v>
      </c>
      <c r="I2401" t="s">
        <v>3184</v>
      </c>
      <c r="J2401" t="s">
        <v>3185</v>
      </c>
      <c r="K2401" t="s">
        <v>55</v>
      </c>
      <c r="L2401" t="s">
        <v>3186</v>
      </c>
      <c r="M2401" t="s">
        <v>57</v>
      </c>
      <c r="N2401" t="str">
        <f>"045880"</f>
        <v>045880</v>
      </c>
      <c r="O2401" t="s">
        <v>3182</v>
      </c>
      <c r="P2401" t="s">
        <v>68</v>
      </c>
      <c r="Q2401">
        <v>44.5</v>
      </c>
      <c r="R2401">
        <v>6.7000000000000028</v>
      </c>
      <c r="S2401" t="s">
        <v>69</v>
      </c>
    </row>
    <row r="2402" spans="1:19" x14ac:dyDescent="0.35">
      <c r="A2402">
        <v>30973</v>
      </c>
      <c r="B2402" t="str">
        <f>"030973"</f>
        <v>030973</v>
      </c>
      <c r="C2402" t="s">
        <v>7868</v>
      </c>
      <c r="D2402" t="s">
        <v>3394</v>
      </c>
      <c r="E2402" t="s">
        <v>3395</v>
      </c>
      <c r="F2402" t="s">
        <v>3396</v>
      </c>
      <c r="G2402" t="s">
        <v>257</v>
      </c>
      <c r="H2402" t="s">
        <v>7869</v>
      </c>
      <c r="I2402" t="s">
        <v>7870</v>
      </c>
      <c r="J2402" t="s">
        <v>2531</v>
      </c>
      <c r="K2402" t="s">
        <v>55</v>
      </c>
      <c r="L2402" t="s">
        <v>2532</v>
      </c>
      <c r="M2402" t="s">
        <v>57</v>
      </c>
      <c r="N2402" t="str">
        <f>"048926"</f>
        <v>048926</v>
      </c>
      <c r="O2402" t="s">
        <v>2528</v>
      </c>
      <c r="P2402" t="s">
        <v>68</v>
      </c>
      <c r="Q2402">
        <v>35.9</v>
      </c>
      <c r="R2402">
        <v>7.9000000000000057</v>
      </c>
      <c r="S2402" t="s">
        <v>156</v>
      </c>
    </row>
    <row r="2403" spans="1:19" x14ac:dyDescent="0.35">
      <c r="A2403">
        <v>31021</v>
      </c>
      <c r="B2403" t="str">
        <f>"031021"</f>
        <v>031021</v>
      </c>
      <c r="C2403" t="s">
        <v>7871</v>
      </c>
      <c r="D2403" t="s">
        <v>3394</v>
      </c>
      <c r="E2403" t="s">
        <v>3395</v>
      </c>
      <c r="F2403" t="s">
        <v>3396</v>
      </c>
      <c r="G2403" t="s">
        <v>71</v>
      </c>
      <c r="H2403" t="s">
        <v>7872</v>
      </c>
      <c r="I2403" t="s">
        <v>7873</v>
      </c>
      <c r="J2403" t="s">
        <v>2723</v>
      </c>
      <c r="K2403" t="s">
        <v>55</v>
      </c>
      <c r="L2403" t="s">
        <v>2724</v>
      </c>
      <c r="M2403" t="s">
        <v>57</v>
      </c>
      <c r="N2403" t="str">
        <f>"050278"</f>
        <v>050278</v>
      </c>
      <c r="O2403" t="s">
        <v>2720</v>
      </c>
      <c r="P2403" t="s">
        <v>68</v>
      </c>
      <c r="Q2403">
        <v>35.6</v>
      </c>
      <c r="R2403">
        <v>15.400000000000006</v>
      </c>
      <c r="S2403" t="s">
        <v>77</v>
      </c>
    </row>
    <row r="2404" spans="1:19" x14ac:dyDescent="0.35">
      <c r="A2404">
        <v>31039</v>
      </c>
      <c r="B2404" t="str">
        <f>"031039"</f>
        <v>031039</v>
      </c>
      <c r="C2404" t="s">
        <v>7874</v>
      </c>
      <c r="D2404" t="s">
        <v>3394</v>
      </c>
      <c r="E2404" t="s">
        <v>3395</v>
      </c>
      <c r="F2404" t="s">
        <v>3396</v>
      </c>
      <c r="G2404" t="s">
        <v>719</v>
      </c>
      <c r="H2404" t="s">
        <v>7875</v>
      </c>
      <c r="I2404" t="s">
        <v>7876</v>
      </c>
      <c r="J2404" t="s">
        <v>3331</v>
      </c>
      <c r="K2404" t="s">
        <v>55</v>
      </c>
      <c r="L2404" t="s">
        <v>3332</v>
      </c>
      <c r="M2404" t="s">
        <v>57</v>
      </c>
      <c r="N2404" t="str">
        <f>"045401"</f>
        <v>045401</v>
      </c>
      <c r="O2404" t="s">
        <v>2560</v>
      </c>
      <c r="P2404" t="s">
        <v>68</v>
      </c>
      <c r="Q2404">
        <v>66</v>
      </c>
      <c r="R2404">
        <v>8.5999999999999943</v>
      </c>
      <c r="S2404" t="s">
        <v>130</v>
      </c>
    </row>
    <row r="2405" spans="1:19" x14ac:dyDescent="0.35">
      <c r="A2405">
        <v>31054</v>
      </c>
      <c r="B2405" t="str">
        <f>"031054"</f>
        <v>031054</v>
      </c>
      <c r="C2405" t="s">
        <v>7877</v>
      </c>
      <c r="D2405" t="s">
        <v>3400</v>
      </c>
      <c r="E2405" t="s">
        <v>3395</v>
      </c>
      <c r="F2405" t="s">
        <v>3396</v>
      </c>
      <c r="G2405" t="s">
        <v>295</v>
      </c>
      <c r="H2405" t="s">
        <v>1145</v>
      </c>
      <c r="I2405" t="s">
        <v>1146</v>
      </c>
      <c r="J2405" t="s">
        <v>1147</v>
      </c>
      <c r="K2405" t="s">
        <v>55</v>
      </c>
      <c r="L2405" t="s">
        <v>1148</v>
      </c>
      <c r="M2405" t="s">
        <v>57</v>
      </c>
      <c r="N2405" t="str">
        <f>"049247"</f>
        <v>049247</v>
      </c>
      <c r="O2405" t="s">
        <v>1144</v>
      </c>
      <c r="P2405" t="s">
        <v>68</v>
      </c>
      <c r="Q2405">
        <v>38.799999999999997</v>
      </c>
      <c r="R2405">
        <v>6.2000000000000028</v>
      </c>
      <c r="S2405" t="s">
        <v>77</v>
      </c>
    </row>
    <row r="2406" spans="1:19" x14ac:dyDescent="0.35">
      <c r="A2406">
        <v>31070</v>
      </c>
      <c r="B2406" t="str">
        <f>"031070"</f>
        <v>031070</v>
      </c>
      <c r="C2406" t="s">
        <v>7878</v>
      </c>
      <c r="D2406" t="s">
        <v>3394</v>
      </c>
      <c r="E2406" t="s">
        <v>3395</v>
      </c>
      <c r="F2406" t="s">
        <v>3396</v>
      </c>
      <c r="G2406" t="s">
        <v>117</v>
      </c>
      <c r="H2406" t="s">
        <v>7879</v>
      </c>
      <c r="I2406" t="s">
        <v>7880</v>
      </c>
      <c r="J2406" t="s">
        <v>1409</v>
      </c>
      <c r="K2406" t="s">
        <v>55</v>
      </c>
      <c r="L2406" t="s">
        <v>5455</v>
      </c>
      <c r="M2406" t="s">
        <v>57</v>
      </c>
      <c r="N2406" t="str">
        <f>"049932"</f>
        <v>049932</v>
      </c>
      <c r="O2406" t="s">
        <v>1406</v>
      </c>
      <c r="P2406" t="s">
        <v>68</v>
      </c>
      <c r="Q2406">
        <v>58.2</v>
      </c>
      <c r="R2406">
        <v>31.299999999999997</v>
      </c>
      <c r="S2406" t="s">
        <v>77</v>
      </c>
    </row>
    <row r="2407" spans="1:19" x14ac:dyDescent="0.35">
      <c r="A2407">
        <v>31104</v>
      </c>
      <c r="B2407" t="str">
        <f>"031104"</f>
        <v>031104</v>
      </c>
      <c r="C2407" t="s">
        <v>7881</v>
      </c>
      <c r="D2407" t="s">
        <v>3398</v>
      </c>
      <c r="E2407" t="s">
        <v>3395</v>
      </c>
      <c r="F2407" t="s">
        <v>3396</v>
      </c>
      <c r="G2407" t="s">
        <v>295</v>
      </c>
      <c r="H2407" t="s">
        <v>7882</v>
      </c>
      <c r="I2407" t="s">
        <v>7883</v>
      </c>
      <c r="J2407" t="s">
        <v>1764</v>
      </c>
      <c r="K2407" t="s">
        <v>55</v>
      </c>
      <c r="L2407" t="s">
        <v>1765</v>
      </c>
      <c r="M2407" t="s">
        <v>57</v>
      </c>
      <c r="N2407" t="str">
        <f>"044685"</f>
        <v>044685</v>
      </c>
      <c r="O2407" t="s">
        <v>2751</v>
      </c>
      <c r="P2407" t="s">
        <v>68</v>
      </c>
      <c r="Q2407">
        <v>100</v>
      </c>
      <c r="R2407">
        <v>31.299999999999997</v>
      </c>
      <c r="S2407" t="s">
        <v>77</v>
      </c>
    </row>
    <row r="2408" spans="1:19" x14ac:dyDescent="0.35">
      <c r="A2408">
        <v>31120</v>
      </c>
      <c r="B2408" t="str">
        <f>"031120"</f>
        <v>031120</v>
      </c>
      <c r="C2408" t="s">
        <v>7884</v>
      </c>
      <c r="D2408" t="s">
        <v>3394</v>
      </c>
      <c r="E2408" t="s">
        <v>3395</v>
      </c>
      <c r="F2408" t="s">
        <v>3396</v>
      </c>
      <c r="G2408" t="s">
        <v>821</v>
      </c>
      <c r="H2408" t="s">
        <v>2976</v>
      </c>
      <c r="I2408" t="s">
        <v>2977</v>
      </c>
      <c r="J2408" t="s">
        <v>2978</v>
      </c>
      <c r="K2408" t="s">
        <v>55</v>
      </c>
      <c r="L2408" t="s">
        <v>2979</v>
      </c>
      <c r="M2408" t="s">
        <v>57</v>
      </c>
      <c r="N2408" t="str">
        <f>"047431"</f>
        <v>047431</v>
      </c>
      <c r="O2408" t="s">
        <v>2975</v>
      </c>
      <c r="P2408" t="s">
        <v>68</v>
      </c>
      <c r="Q2408">
        <v>41.8</v>
      </c>
      <c r="R2408">
        <v>8.4000000000000057</v>
      </c>
      <c r="S2408" t="s">
        <v>156</v>
      </c>
    </row>
    <row r="2409" spans="1:19" x14ac:dyDescent="0.35">
      <c r="A2409">
        <v>31138</v>
      </c>
      <c r="B2409" t="str">
        <f>"031138"</f>
        <v>031138</v>
      </c>
      <c r="C2409" t="s">
        <v>7885</v>
      </c>
      <c r="D2409" t="s">
        <v>3398</v>
      </c>
      <c r="E2409" t="s">
        <v>3395</v>
      </c>
      <c r="F2409" t="s">
        <v>3396</v>
      </c>
      <c r="G2409" t="s">
        <v>383</v>
      </c>
      <c r="H2409" t="s">
        <v>2473</v>
      </c>
      <c r="I2409" t="s">
        <v>2474</v>
      </c>
      <c r="J2409" t="s">
        <v>1215</v>
      </c>
      <c r="K2409" t="s">
        <v>55</v>
      </c>
      <c r="L2409" t="s">
        <v>1738</v>
      </c>
      <c r="M2409" t="s">
        <v>57</v>
      </c>
      <c r="N2409" t="str">
        <f>"045161"</f>
        <v>045161</v>
      </c>
      <c r="O2409" t="s">
        <v>1212</v>
      </c>
      <c r="P2409" t="s">
        <v>68</v>
      </c>
      <c r="Q2409">
        <v>99.8</v>
      </c>
      <c r="R2409">
        <v>91.6</v>
      </c>
      <c r="S2409" t="s">
        <v>77</v>
      </c>
    </row>
    <row r="2410" spans="1:19" x14ac:dyDescent="0.35">
      <c r="A2410">
        <v>31153</v>
      </c>
      <c r="B2410" t="str">
        <f>"031153"</f>
        <v>031153</v>
      </c>
      <c r="C2410" t="s">
        <v>7886</v>
      </c>
      <c r="D2410" t="s">
        <v>3394</v>
      </c>
      <c r="E2410" t="s">
        <v>3395</v>
      </c>
      <c r="F2410" t="s">
        <v>3396</v>
      </c>
      <c r="G2410" t="s">
        <v>200</v>
      </c>
      <c r="H2410" t="s">
        <v>7887</v>
      </c>
      <c r="I2410" t="s">
        <v>7888</v>
      </c>
      <c r="J2410" t="s">
        <v>304</v>
      </c>
      <c r="K2410" t="s">
        <v>55</v>
      </c>
      <c r="L2410" t="s">
        <v>3858</v>
      </c>
      <c r="M2410" t="s">
        <v>57</v>
      </c>
      <c r="N2410" t="str">
        <f>"044909"</f>
        <v>044909</v>
      </c>
      <c r="O2410" t="s">
        <v>3318</v>
      </c>
      <c r="P2410" t="s">
        <v>68</v>
      </c>
      <c r="Q2410">
        <v>96.3</v>
      </c>
      <c r="R2410">
        <v>59</v>
      </c>
      <c r="S2410" t="s">
        <v>156</v>
      </c>
    </row>
    <row r="2411" spans="1:19" x14ac:dyDescent="0.35">
      <c r="A2411">
        <v>31179</v>
      </c>
      <c r="B2411" t="str">
        <f>"031179"</f>
        <v>031179</v>
      </c>
      <c r="C2411" t="s">
        <v>7889</v>
      </c>
      <c r="D2411" t="s">
        <v>3394</v>
      </c>
      <c r="E2411" t="s">
        <v>3395</v>
      </c>
      <c r="F2411" t="s">
        <v>3396</v>
      </c>
      <c r="G2411" t="s">
        <v>1948</v>
      </c>
      <c r="H2411" t="s">
        <v>7890</v>
      </c>
      <c r="I2411" t="s">
        <v>7891</v>
      </c>
      <c r="J2411" t="s">
        <v>7892</v>
      </c>
      <c r="K2411" t="s">
        <v>55</v>
      </c>
      <c r="L2411" t="s">
        <v>7893</v>
      </c>
      <c r="M2411" t="s">
        <v>57</v>
      </c>
      <c r="N2411" t="str">
        <f>"045476"</f>
        <v>045476</v>
      </c>
      <c r="O2411" t="s">
        <v>1947</v>
      </c>
      <c r="P2411" t="s">
        <v>68</v>
      </c>
      <c r="Q2411">
        <v>15.9</v>
      </c>
      <c r="R2411">
        <v>7.2000000000000028</v>
      </c>
      <c r="S2411" t="s">
        <v>60</v>
      </c>
    </row>
    <row r="2412" spans="1:19" x14ac:dyDescent="0.35">
      <c r="A2412">
        <v>31187</v>
      </c>
      <c r="B2412" t="str">
        <f>"031187"</f>
        <v>031187</v>
      </c>
      <c r="C2412" t="s">
        <v>7894</v>
      </c>
      <c r="D2412" t="s">
        <v>3398</v>
      </c>
      <c r="E2412" t="s">
        <v>3395</v>
      </c>
      <c r="F2412" t="s">
        <v>3396</v>
      </c>
      <c r="G2412" t="s">
        <v>212</v>
      </c>
      <c r="H2412" t="s">
        <v>951</v>
      </c>
      <c r="I2412" t="s">
        <v>952</v>
      </c>
      <c r="J2412" t="s">
        <v>953</v>
      </c>
      <c r="K2412" t="s">
        <v>55</v>
      </c>
      <c r="L2412" t="s">
        <v>954</v>
      </c>
      <c r="M2412" t="s">
        <v>57</v>
      </c>
      <c r="N2412" t="str">
        <f>"044693"</f>
        <v>044693</v>
      </c>
      <c r="O2412" t="s">
        <v>950</v>
      </c>
      <c r="P2412" t="s">
        <v>68</v>
      </c>
      <c r="Q2412">
        <v>43.6</v>
      </c>
      <c r="R2412">
        <v>23.099999999999994</v>
      </c>
      <c r="S2412" t="s">
        <v>217</v>
      </c>
    </row>
    <row r="2413" spans="1:19" x14ac:dyDescent="0.35">
      <c r="A2413">
        <v>31195</v>
      </c>
      <c r="B2413" t="str">
        <f>"031195"</f>
        <v>031195</v>
      </c>
      <c r="C2413" t="s">
        <v>7895</v>
      </c>
      <c r="D2413" t="s">
        <v>3394</v>
      </c>
      <c r="E2413" t="s">
        <v>3395</v>
      </c>
      <c r="F2413" t="s">
        <v>3396</v>
      </c>
      <c r="G2413" t="s">
        <v>600</v>
      </c>
      <c r="H2413" t="s">
        <v>7896</v>
      </c>
      <c r="I2413" t="s">
        <v>7897</v>
      </c>
      <c r="J2413" t="s">
        <v>3622</v>
      </c>
      <c r="K2413" t="s">
        <v>55</v>
      </c>
      <c r="L2413" t="s">
        <v>3623</v>
      </c>
      <c r="M2413" t="s">
        <v>57</v>
      </c>
      <c r="N2413" t="str">
        <f>"047019"</f>
        <v>047019</v>
      </c>
      <c r="O2413" t="s">
        <v>1345</v>
      </c>
      <c r="P2413" t="s">
        <v>68</v>
      </c>
      <c r="Q2413">
        <v>51.5</v>
      </c>
      <c r="R2413">
        <v>45.8</v>
      </c>
      <c r="S2413" t="s">
        <v>60</v>
      </c>
    </row>
    <row r="2414" spans="1:19" x14ac:dyDescent="0.35">
      <c r="A2414">
        <v>31203</v>
      </c>
      <c r="B2414" t="str">
        <f>"031203"</f>
        <v>031203</v>
      </c>
      <c r="C2414" t="s">
        <v>7898</v>
      </c>
      <c r="D2414" t="s">
        <v>3394</v>
      </c>
      <c r="E2414" t="s">
        <v>3395</v>
      </c>
      <c r="F2414" t="s">
        <v>3396</v>
      </c>
      <c r="G2414" t="s">
        <v>481</v>
      </c>
      <c r="H2414" t="s">
        <v>7899</v>
      </c>
      <c r="I2414" t="s">
        <v>7900</v>
      </c>
      <c r="J2414" t="s">
        <v>657</v>
      </c>
      <c r="K2414" t="s">
        <v>55</v>
      </c>
      <c r="L2414" t="s">
        <v>658</v>
      </c>
      <c r="M2414" t="s">
        <v>57</v>
      </c>
      <c r="N2414" t="str">
        <f>"047886"</f>
        <v>047886</v>
      </c>
      <c r="O2414" t="s">
        <v>654</v>
      </c>
      <c r="P2414" t="s">
        <v>68</v>
      </c>
      <c r="Q2414">
        <v>34.700000000000003</v>
      </c>
      <c r="R2414">
        <v>11.900000000000006</v>
      </c>
      <c r="S2414" t="s">
        <v>69</v>
      </c>
    </row>
    <row r="2415" spans="1:19" x14ac:dyDescent="0.35">
      <c r="A2415">
        <v>31211</v>
      </c>
      <c r="B2415" t="str">
        <f>"031211"</f>
        <v>031211</v>
      </c>
      <c r="C2415" t="s">
        <v>7901</v>
      </c>
      <c r="D2415" t="s">
        <v>3394</v>
      </c>
      <c r="E2415" t="s">
        <v>3395</v>
      </c>
      <c r="F2415" t="s">
        <v>3396</v>
      </c>
      <c r="G2415" t="s">
        <v>143</v>
      </c>
      <c r="H2415" t="s">
        <v>7902</v>
      </c>
      <c r="I2415" t="s">
        <v>7903</v>
      </c>
      <c r="J2415" t="s">
        <v>1152</v>
      </c>
      <c r="K2415" t="s">
        <v>55</v>
      </c>
      <c r="L2415" t="s">
        <v>1153</v>
      </c>
      <c r="M2415" t="s">
        <v>57</v>
      </c>
      <c r="N2415" t="str">
        <f>"048124"</f>
        <v>048124</v>
      </c>
      <c r="O2415" t="s">
        <v>1149</v>
      </c>
      <c r="P2415" t="s">
        <v>68</v>
      </c>
      <c r="Q2415">
        <v>11.1</v>
      </c>
      <c r="R2415">
        <v>14.799999999999997</v>
      </c>
      <c r="S2415" t="s">
        <v>69</v>
      </c>
    </row>
    <row r="2416" spans="1:19" x14ac:dyDescent="0.35">
      <c r="A2416">
        <v>31245</v>
      </c>
      <c r="B2416" t="str">
        <f>"031245"</f>
        <v>031245</v>
      </c>
      <c r="C2416" t="s">
        <v>7904</v>
      </c>
      <c r="D2416" t="s">
        <v>3400</v>
      </c>
      <c r="E2416" t="s">
        <v>3395</v>
      </c>
      <c r="F2416" t="s">
        <v>3396</v>
      </c>
      <c r="G2416" t="s">
        <v>169</v>
      </c>
      <c r="H2416" t="s">
        <v>7905</v>
      </c>
      <c r="I2416" t="s">
        <v>7906</v>
      </c>
      <c r="J2416" t="s">
        <v>2266</v>
      </c>
      <c r="K2416" t="s">
        <v>55</v>
      </c>
      <c r="L2416" t="s">
        <v>2267</v>
      </c>
      <c r="M2416" t="s">
        <v>57</v>
      </c>
      <c r="N2416" t="str">
        <f>"045427"</f>
        <v>045427</v>
      </c>
      <c r="O2416" t="s">
        <v>2263</v>
      </c>
      <c r="P2416" t="s">
        <v>68</v>
      </c>
      <c r="Q2416">
        <v>43.3</v>
      </c>
      <c r="R2416">
        <v>12.599999999999994</v>
      </c>
      <c r="S2416" t="s">
        <v>77</v>
      </c>
    </row>
    <row r="2417" spans="1:19" x14ac:dyDescent="0.35">
      <c r="A2417">
        <v>31252</v>
      </c>
      <c r="B2417" t="str">
        <f>"031252"</f>
        <v>031252</v>
      </c>
      <c r="C2417" t="s">
        <v>7907</v>
      </c>
      <c r="D2417" t="s">
        <v>3394</v>
      </c>
      <c r="E2417" t="s">
        <v>3395</v>
      </c>
      <c r="F2417" t="s">
        <v>3396</v>
      </c>
      <c r="G2417" t="s">
        <v>19</v>
      </c>
      <c r="H2417" t="s">
        <v>7908</v>
      </c>
      <c r="I2417" t="s">
        <v>7909</v>
      </c>
      <c r="J2417" t="s">
        <v>1797</v>
      </c>
      <c r="K2417" t="s">
        <v>55</v>
      </c>
      <c r="L2417" t="s">
        <v>1798</v>
      </c>
      <c r="M2417" t="s">
        <v>57</v>
      </c>
      <c r="N2417" t="str">
        <f>"045377"</f>
        <v>045377</v>
      </c>
      <c r="O2417" t="s">
        <v>2502</v>
      </c>
      <c r="P2417" t="s">
        <v>68</v>
      </c>
      <c r="Q2417">
        <v>47.3</v>
      </c>
      <c r="R2417">
        <v>6.2999999999999972</v>
      </c>
      <c r="S2417" t="s">
        <v>217</v>
      </c>
    </row>
    <row r="2418" spans="1:19" x14ac:dyDescent="0.35">
      <c r="A2418">
        <v>31328</v>
      </c>
      <c r="B2418" t="str">
        <f>"031328"</f>
        <v>031328</v>
      </c>
      <c r="C2418" t="s">
        <v>7910</v>
      </c>
      <c r="D2418" t="s">
        <v>3394</v>
      </c>
      <c r="E2418" t="s">
        <v>3395</v>
      </c>
      <c r="F2418" t="s">
        <v>3396</v>
      </c>
      <c r="G2418" t="s">
        <v>536</v>
      </c>
      <c r="H2418" t="s">
        <v>7911</v>
      </c>
      <c r="I2418" t="s">
        <v>7912</v>
      </c>
      <c r="J2418" t="s">
        <v>2351</v>
      </c>
      <c r="K2418" t="s">
        <v>55</v>
      </c>
      <c r="L2418" t="s">
        <v>2352</v>
      </c>
      <c r="M2418" t="s">
        <v>57</v>
      </c>
      <c r="N2418" t="str">
        <f>"044735"</f>
        <v>044735</v>
      </c>
      <c r="O2418" t="s">
        <v>2348</v>
      </c>
      <c r="P2418" t="s">
        <v>68</v>
      </c>
      <c r="Q2418">
        <v>100</v>
      </c>
      <c r="R2418">
        <v>12.599999999999994</v>
      </c>
      <c r="S2418" t="s">
        <v>77</v>
      </c>
    </row>
    <row r="2419" spans="1:19" x14ac:dyDescent="0.35">
      <c r="A2419">
        <v>31369</v>
      </c>
      <c r="B2419" t="str">
        <f>"031369"</f>
        <v>031369</v>
      </c>
      <c r="C2419" t="s">
        <v>7913</v>
      </c>
      <c r="D2419" t="s">
        <v>3394</v>
      </c>
      <c r="E2419" t="s">
        <v>3395</v>
      </c>
      <c r="F2419" t="s">
        <v>3396</v>
      </c>
      <c r="G2419" t="s">
        <v>331</v>
      </c>
      <c r="H2419" t="s">
        <v>7914</v>
      </c>
      <c r="I2419" t="s">
        <v>7915</v>
      </c>
      <c r="J2419" t="s">
        <v>1733</v>
      </c>
      <c r="K2419" t="s">
        <v>55</v>
      </c>
      <c r="L2419" t="s">
        <v>1734</v>
      </c>
      <c r="M2419" t="s">
        <v>57</v>
      </c>
      <c r="N2419" t="str">
        <f>"044024"</f>
        <v>044024</v>
      </c>
      <c r="O2419" t="s">
        <v>2184</v>
      </c>
      <c r="P2419" t="s">
        <v>68</v>
      </c>
      <c r="Q2419">
        <v>62.7</v>
      </c>
      <c r="R2419">
        <v>10.200000000000003</v>
      </c>
      <c r="S2419" t="s">
        <v>156</v>
      </c>
    </row>
    <row r="2420" spans="1:19" x14ac:dyDescent="0.35">
      <c r="A2420">
        <v>31393</v>
      </c>
      <c r="B2420" t="str">
        <f>"031393"</f>
        <v>031393</v>
      </c>
      <c r="C2420" t="s">
        <v>7916</v>
      </c>
      <c r="D2420" t="s">
        <v>3398</v>
      </c>
      <c r="E2420" t="s">
        <v>3395</v>
      </c>
      <c r="F2420" t="s">
        <v>3396</v>
      </c>
      <c r="G2420" t="s">
        <v>264</v>
      </c>
      <c r="H2420" t="s">
        <v>7917</v>
      </c>
      <c r="I2420" t="s">
        <v>7918</v>
      </c>
      <c r="J2420" t="s">
        <v>2279</v>
      </c>
      <c r="K2420" t="s">
        <v>55</v>
      </c>
      <c r="L2420" t="s">
        <v>2280</v>
      </c>
      <c r="M2420" t="s">
        <v>57</v>
      </c>
      <c r="N2420" t="str">
        <f>"050054"</f>
        <v>050054</v>
      </c>
      <c r="O2420" t="s">
        <v>2276</v>
      </c>
      <c r="P2420" t="s">
        <v>68</v>
      </c>
      <c r="Q2420">
        <v>5</v>
      </c>
      <c r="R2420">
        <v>13.200000000000003</v>
      </c>
      <c r="S2420" t="s">
        <v>77</v>
      </c>
    </row>
    <row r="2421" spans="1:19" x14ac:dyDescent="0.35">
      <c r="A2421">
        <v>31401</v>
      </c>
      <c r="B2421" t="str">
        <f>"031401"</f>
        <v>031401</v>
      </c>
      <c r="C2421" t="s">
        <v>7919</v>
      </c>
      <c r="D2421" t="s">
        <v>3394</v>
      </c>
      <c r="E2421" t="s">
        <v>3395</v>
      </c>
      <c r="F2421" t="s">
        <v>3396</v>
      </c>
      <c r="G2421" t="s">
        <v>200</v>
      </c>
      <c r="H2421" t="s">
        <v>7920</v>
      </c>
      <c r="I2421" t="s">
        <v>7921</v>
      </c>
      <c r="J2421" t="s">
        <v>304</v>
      </c>
      <c r="K2421" t="s">
        <v>55</v>
      </c>
      <c r="L2421" t="s">
        <v>5763</v>
      </c>
      <c r="M2421" t="s">
        <v>57</v>
      </c>
      <c r="N2421" t="str">
        <f>"044909"</f>
        <v>044909</v>
      </c>
      <c r="O2421" t="s">
        <v>3318</v>
      </c>
      <c r="P2421" t="s">
        <v>68</v>
      </c>
      <c r="Q2421">
        <v>98.1</v>
      </c>
      <c r="R2421">
        <v>86.9</v>
      </c>
      <c r="S2421" t="s">
        <v>156</v>
      </c>
    </row>
    <row r="2422" spans="1:19" x14ac:dyDescent="0.35">
      <c r="A2422">
        <v>31427</v>
      </c>
      <c r="B2422" t="str">
        <f>"031427"</f>
        <v>031427</v>
      </c>
      <c r="C2422" t="s">
        <v>7922</v>
      </c>
      <c r="D2422" t="s">
        <v>3506</v>
      </c>
      <c r="E2422" t="s">
        <v>3395</v>
      </c>
      <c r="F2422" t="s">
        <v>3396</v>
      </c>
      <c r="G2422" t="s">
        <v>600</v>
      </c>
      <c r="H2422" t="s">
        <v>7923</v>
      </c>
      <c r="I2422" t="s">
        <v>7924</v>
      </c>
      <c r="J2422" t="s">
        <v>603</v>
      </c>
      <c r="K2422" t="s">
        <v>55</v>
      </c>
      <c r="L2422" t="s">
        <v>604</v>
      </c>
      <c r="M2422" t="s">
        <v>57</v>
      </c>
      <c r="N2422" t="str">
        <f>"047001"</f>
        <v>047001</v>
      </c>
      <c r="O2422" t="s">
        <v>599</v>
      </c>
      <c r="P2422" t="s">
        <v>68</v>
      </c>
      <c r="Q2422">
        <v>73.400000000000006</v>
      </c>
      <c r="R2422">
        <v>83.1</v>
      </c>
      <c r="S2422" t="s">
        <v>60</v>
      </c>
    </row>
    <row r="2423" spans="1:19" x14ac:dyDescent="0.35">
      <c r="A2423">
        <v>31468</v>
      </c>
      <c r="B2423" t="str">
        <f>"031468"</f>
        <v>031468</v>
      </c>
      <c r="C2423" t="s">
        <v>7925</v>
      </c>
      <c r="D2423" t="s">
        <v>3394</v>
      </c>
      <c r="E2423" t="s">
        <v>3395</v>
      </c>
      <c r="F2423" t="s">
        <v>3396</v>
      </c>
      <c r="G2423" t="s">
        <v>600</v>
      </c>
      <c r="H2423" t="s">
        <v>7926</v>
      </c>
      <c r="I2423" t="s">
        <v>7927</v>
      </c>
      <c r="J2423" t="s">
        <v>1136</v>
      </c>
      <c r="K2423" t="s">
        <v>55</v>
      </c>
      <c r="L2423" t="s">
        <v>1137</v>
      </c>
      <c r="M2423" t="s">
        <v>57</v>
      </c>
      <c r="N2423" t="str">
        <f>"044800"</f>
        <v>044800</v>
      </c>
      <c r="O2423" t="s">
        <v>1133</v>
      </c>
      <c r="P2423" t="s">
        <v>68</v>
      </c>
      <c r="Q2423">
        <v>51.7</v>
      </c>
      <c r="R2423">
        <v>33.400000000000006</v>
      </c>
      <c r="S2423" t="s">
        <v>60</v>
      </c>
    </row>
    <row r="2424" spans="1:19" x14ac:dyDescent="0.35">
      <c r="A2424">
        <v>31476</v>
      </c>
      <c r="B2424" t="str">
        <f>"031476"</f>
        <v>031476</v>
      </c>
      <c r="C2424" t="s">
        <v>7928</v>
      </c>
      <c r="D2424" t="s">
        <v>3394</v>
      </c>
      <c r="E2424" t="s">
        <v>3395</v>
      </c>
      <c r="F2424" t="s">
        <v>3396</v>
      </c>
      <c r="G2424" t="s">
        <v>264</v>
      </c>
      <c r="H2424" t="s">
        <v>7929</v>
      </c>
      <c r="I2424" t="s">
        <v>7930</v>
      </c>
      <c r="J2424" t="s">
        <v>2497</v>
      </c>
      <c r="K2424" t="s">
        <v>55</v>
      </c>
      <c r="L2424" t="s">
        <v>3908</v>
      </c>
      <c r="M2424" t="s">
        <v>57</v>
      </c>
      <c r="N2424" t="str">
        <f>"043836"</f>
        <v>043836</v>
      </c>
      <c r="O2424" t="s">
        <v>2494</v>
      </c>
      <c r="P2424" t="s">
        <v>68</v>
      </c>
      <c r="Q2424">
        <v>49.3</v>
      </c>
      <c r="R2424">
        <v>30</v>
      </c>
      <c r="S2424" t="s">
        <v>77</v>
      </c>
    </row>
    <row r="2425" spans="1:19" x14ac:dyDescent="0.35">
      <c r="A2425">
        <v>31559</v>
      </c>
      <c r="B2425" t="str">
        <f>"031559"</f>
        <v>031559</v>
      </c>
      <c r="C2425" t="s">
        <v>7931</v>
      </c>
      <c r="D2425" t="s">
        <v>3400</v>
      </c>
      <c r="E2425" t="s">
        <v>3395</v>
      </c>
      <c r="F2425" t="s">
        <v>3396</v>
      </c>
      <c r="G2425" t="s">
        <v>79</v>
      </c>
      <c r="H2425" t="s">
        <v>4266</v>
      </c>
      <c r="I2425" t="s">
        <v>4267</v>
      </c>
      <c r="J2425" t="s">
        <v>82</v>
      </c>
      <c r="K2425" t="s">
        <v>55</v>
      </c>
      <c r="L2425" t="s">
        <v>83</v>
      </c>
      <c r="M2425" t="s">
        <v>57</v>
      </c>
      <c r="N2425" t="str">
        <f>"045096"</f>
        <v>045096</v>
      </c>
      <c r="O2425" t="s">
        <v>78</v>
      </c>
      <c r="P2425" t="s">
        <v>68</v>
      </c>
      <c r="Q2425">
        <v>58.8</v>
      </c>
      <c r="R2425">
        <v>33.700000000000003</v>
      </c>
      <c r="S2425" t="s">
        <v>69</v>
      </c>
    </row>
    <row r="2426" spans="1:19" x14ac:dyDescent="0.35">
      <c r="A2426">
        <v>31575</v>
      </c>
      <c r="B2426" t="str">
        <f>"031575"</f>
        <v>031575</v>
      </c>
      <c r="C2426" t="s">
        <v>7932</v>
      </c>
      <c r="D2426" t="s">
        <v>3394</v>
      </c>
      <c r="E2426" t="s">
        <v>3395</v>
      </c>
      <c r="F2426" t="s">
        <v>3396</v>
      </c>
      <c r="G2426" t="s">
        <v>63</v>
      </c>
      <c r="H2426" t="s">
        <v>2288</v>
      </c>
      <c r="I2426" t="s">
        <v>2289</v>
      </c>
      <c r="J2426" t="s">
        <v>2290</v>
      </c>
      <c r="K2426" t="s">
        <v>55</v>
      </c>
      <c r="L2426" t="s">
        <v>2291</v>
      </c>
      <c r="M2426" t="s">
        <v>57</v>
      </c>
      <c r="N2426" t="str">
        <f>"046599"</f>
        <v>046599</v>
      </c>
      <c r="O2426" t="s">
        <v>2287</v>
      </c>
      <c r="P2426" t="s">
        <v>68</v>
      </c>
      <c r="Q2426">
        <v>74</v>
      </c>
      <c r="R2426">
        <v>97</v>
      </c>
      <c r="S2426" t="s">
        <v>69</v>
      </c>
    </row>
    <row r="2427" spans="1:19" x14ac:dyDescent="0.35">
      <c r="A2427">
        <v>31583</v>
      </c>
      <c r="B2427" t="str">
        <f>"031583"</f>
        <v>031583</v>
      </c>
      <c r="C2427" t="s">
        <v>7933</v>
      </c>
      <c r="D2427" t="s">
        <v>3398</v>
      </c>
      <c r="E2427" t="s">
        <v>3395</v>
      </c>
      <c r="F2427" t="s">
        <v>3396</v>
      </c>
      <c r="G2427" t="s">
        <v>63</v>
      </c>
      <c r="H2427" t="s">
        <v>2288</v>
      </c>
      <c r="I2427" t="s">
        <v>2289</v>
      </c>
      <c r="J2427" t="s">
        <v>2290</v>
      </c>
      <c r="K2427" t="s">
        <v>55</v>
      </c>
      <c r="L2427" t="s">
        <v>2291</v>
      </c>
      <c r="M2427" t="s">
        <v>57</v>
      </c>
      <c r="N2427" t="str">
        <f>"046599"</f>
        <v>046599</v>
      </c>
      <c r="O2427" t="s">
        <v>2287</v>
      </c>
      <c r="P2427" t="s">
        <v>68</v>
      </c>
      <c r="Q2427">
        <v>61.5</v>
      </c>
      <c r="R2427">
        <v>100</v>
      </c>
      <c r="S2427" t="s">
        <v>69</v>
      </c>
    </row>
    <row r="2428" spans="1:19" x14ac:dyDescent="0.35">
      <c r="A2428">
        <v>31617</v>
      </c>
      <c r="B2428" t="str">
        <f>"031617"</f>
        <v>031617</v>
      </c>
      <c r="C2428" t="s">
        <v>7934</v>
      </c>
      <c r="D2428" t="s">
        <v>3394</v>
      </c>
      <c r="E2428" t="s">
        <v>3395</v>
      </c>
      <c r="F2428" t="s">
        <v>3396</v>
      </c>
      <c r="G2428" t="s">
        <v>63</v>
      </c>
      <c r="H2428" t="s">
        <v>7935</v>
      </c>
      <c r="I2428" t="s">
        <v>7936</v>
      </c>
      <c r="J2428" t="s">
        <v>66</v>
      </c>
      <c r="K2428" t="s">
        <v>55</v>
      </c>
      <c r="L2428" t="s">
        <v>7937</v>
      </c>
      <c r="M2428" t="s">
        <v>57</v>
      </c>
      <c r="N2428" t="str">
        <f>"044636"</f>
        <v>044636</v>
      </c>
      <c r="O2428" t="s">
        <v>1331</v>
      </c>
      <c r="P2428" t="s">
        <v>68</v>
      </c>
      <c r="Q2428">
        <v>59.9</v>
      </c>
      <c r="R2428">
        <v>50</v>
      </c>
      <c r="S2428" t="s">
        <v>69</v>
      </c>
    </row>
    <row r="2429" spans="1:19" x14ac:dyDescent="0.35">
      <c r="A2429">
        <v>31666</v>
      </c>
      <c r="B2429" t="str">
        <f>"031666"</f>
        <v>031666</v>
      </c>
      <c r="C2429" t="s">
        <v>7938</v>
      </c>
      <c r="D2429" t="s">
        <v>3398</v>
      </c>
      <c r="E2429" t="s">
        <v>3395</v>
      </c>
      <c r="F2429" t="s">
        <v>3396</v>
      </c>
      <c r="G2429" t="s">
        <v>312</v>
      </c>
      <c r="H2429" t="s">
        <v>7939</v>
      </c>
      <c r="I2429" t="s">
        <v>7940</v>
      </c>
      <c r="J2429" t="s">
        <v>1384</v>
      </c>
      <c r="K2429" t="s">
        <v>55</v>
      </c>
      <c r="L2429" t="s">
        <v>1385</v>
      </c>
      <c r="M2429" t="s">
        <v>57</v>
      </c>
      <c r="N2429" t="str">
        <f>"048439"</f>
        <v>048439</v>
      </c>
      <c r="O2429" t="s">
        <v>1381</v>
      </c>
      <c r="P2429" t="s">
        <v>68</v>
      </c>
      <c r="Q2429">
        <v>47.7</v>
      </c>
      <c r="R2429">
        <v>5.9000000000000057</v>
      </c>
      <c r="S2429" t="s">
        <v>156</v>
      </c>
    </row>
    <row r="2430" spans="1:19" x14ac:dyDescent="0.35">
      <c r="A2430">
        <v>31674</v>
      </c>
      <c r="B2430" t="str">
        <f>"031674"</f>
        <v>031674</v>
      </c>
      <c r="C2430" t="s">
        <v>7941</v>
      </c>
      <c r="D2430" t="s">
        <v>3394</v>
      </c>
      <c r="E2430" t="s">
        <v>3395</v>
      </c>
      <c r="F2430" t="s">
        <v>3396</v>
      </c>
      <c r="G2430" t="s">
        <v>878</v>
      </c>
      <c r="H2430" t="s">
        <v>879</v>
      </c>
      <c r="I2430" t="s">
        <v>880</v>
      </c>
      <c r="J2430" t="s">
        <v>881</v>
      </c>
      <c r="K2430" t="s">
        <v>55</v>
      </c>
      <c r="L2430" t="s">
        <v>882</v>
      </c>
      <c r="M2430" t="s">
        <v>57</v>
      </c>
      <c r="N2430" t="str">
        <f>"047506"</f>
        <v>047506</v>
      </c>
      <c r="O2430" t="s">
        <v>877</v>
      </c>
      <c r="P2430" t="s">
        <v>68</v>
      </c>
      <c r="Q2430">
        <v>44</v>
      </c>
      <c r="R2430">
        <v>7.7999999999999972</v>
      </c>
      <c r="S2430" t="s">
        <v>156</v>
      </c>
    </row>
    <row r="2431" spans="1:19" x14ac:dyDescent="0.35">
      <c r="A2431">
        <v>31682</v>
      </c>
      <c r="B2431" t="str">
        <f>"031682"</f>
        <v>031682</v>
      </c>
      <c r="C2431" t="s">
        <v>7942</v>
      </c>
      <c r="D2431" t="s">
        <v>3394</v>
      </c>
      <c r="E2431" t="s">
        <v>3395</v>
      </c>
      <c r="F2431" t="s">
        <v>3396</v>
      </c>
      <c r="G2431" t="s">
        <v>132</v>
      </c>
      <c r="H2431" t="s">
        <v>7943</v>
      </c>
      <c r="I2431" t="s">
        <v>7944</v>
      </c>
      <c r="J2431" t="s">
        <v>132</v>
      </c>
      <c r="K2431" t="s">
        <v>55</v>
      </c>
      <c r="L2431" t="s">
        <v>184</v>
      </c>
      <c r="M2431" t="s">
        <v>57</v>
      </c>
      <c r="N2431" t="str">
        <f>"045856"</f>
        <v>045856</v>
      </c>
      <c r="O2431" t="s">
        <v>181</v>
      </c>
      <c r="P2431" t="s">
        <v>68</v>
      </c>
      <c r="Q2431">
        <v>70.900000000000006</v>
      </c>
      <c r="R2431">
        <v>21</v>
      </c>
      <c r="S2431" t="s">
        <v>69</v>
      </c>
    </row>
    <row r="2432" spans="1:19" x14ac:dyDescent="0.35">
      <c r="A2432">
        <v>31690</v>
      </c>
      <c r="B2432" t="str">
        <f>"031690"</f>
        <v>031690</v>
      </c>
      <c r="C2432" t="s">
        <v>7945</v>
      </c>
      <c r="D2432" t="s">
        <v>3400</v>
      </c>
      <c r="E2432" t="s">
        <v>3395</v>
      </c>
      <c r="F2432" t="s">
        <v>3396</v>
      </c>
      <c r="G2432" t="s">
        <v>344</v>
      </c>
      <c r="H2432" t="s">
        <v>7946</v>
      </c>
      <c r="I2432" t="s">
        <v>7947</v>
      </c>
      <c r="J2432" t="s">
        <v>274</v>
      </c>
      <c r="K2432" t="s">
        <v>55</v>
      </c>
      <c r="L2432" t="s">
        <v>275</v>
      </c>
      <c r="M2432" t="s">
        <v>57</v>
      </c>
      <c r="N2432" t="str">
        <f>"047043"</f>
        <v>047043</v>
      </c>
      <c r="O2432" t="s">
        <v>1322</v>
      </c>
      <c r="P2432" t="s">
        <v>68</v>
      </c>
      <c r="Q2432">
        <v>20.7</v>
      </c>
      <c r="R2432">
        <v>21.900000000000006</v>
      </c>
      <c r="S2432" t="s">
        <v>156</v>
      </c>
    </row>
    <row r="2433" spans="1:19" x14ac:dyDescent="0.35">
      <c r="A2433">
        <v>31716</v>
      </c>
      <c r="B2433" t="str">
        <f>"031716"</f>
        <v>031716</v>
      </c>
      <c r="C2433" t="s">
        <v>7948</v>
      </c>
      <c r="D2433" t="s">
        <v>3398</v>
      </c>
      <c r="E2433" t="s">
        <v>3395</v>
      </c>
      <c r="F2433" t="s">
        <v>3396</v>
      </c>
      <c r="G2433" t="s">
        <v>878</v>
      </c>
      <c r="H2433" t="s">
        <v>879</v>
      </c>
      <c r="I2433" t="s">
        <v>880</v>
      </c>
      <c r="J2433" t="s">
        <v>881</v>
      </c>
      <c r="K2433" t="s">
        <v>55</v>
      </c>
      <c r="L2433" t="s">
        <v>882</v>
      </c>
      <c r="M2433" t="s">
        <v>57</v>
      </c>
      <c r="N2433" t="str">
        <f>"047506"</f>
        <v>047506</v>
      </c>
      <c r="O2433" t="s">
        <v>877</v>
      </c>
      <c r="P2433" t="s">
        <v>68</v>
      </c>
      <c r="Q2433">
        <v>43.9</v>
      </c>
      <c r="R2433">
        <v>7.0999999999999943</v>
      </c>
      <c r="S2433" t="s">
        <v>156</v>
      </c>
    </row>
    <row r="2434" spans="1:19" x14ac:dyDescent="0.35">
      <c r="A2434">
        <v>31724</v>
      </c>
      <c r="B2434" t="str">
        <f>"031724"</f>
        <v>031724</v>
      </c>
      <c r="C2434" t="s">
        <v>7949</v>
      </c>
      <c r="D2434" t="s">
        <v>3394</v>
      </c>
      <c r="E2434" t="s">
        <v>3395</v>
      </c>
      <c r="F2434" t="s">
        <v>3396</v>
      </c>
      <c r="G2434" t="s">
        <v>600</v>
      </c>
      <c r="H2434" t="s">
        <v>7950</v>
      </c>
      <c r="I2434" t="s">
        <v>7951</v>
      </c>
      <c r="J2434" t="s">
        <v>3622</v>
      </c>
      <c r="K2434" t="s">
        <v>55</v>
      </c>
      <c r="L2434" t="s">
        <v>3623</v>
      </c>
      <c r="M2434" t="s">
        <v>57</v>
      </c>
      <c r="N2434" t="str">
        <f>"047019"</f>
        <v>047019</v>
      </c>
      <c r="O2434" t="s">
        <v>1345</v>
      </c>
      <c r="P2434" t="s">
        <v>68</v>
      </c>
      <c r="Q2434">
        <v>17.600000000000001</v>
      </c>
      <c r="R2434">
        <v>22</v>
      </c>
      <c r="S2434" t="s">
        <v>60</v>
      </c>
    </row>
    <row r="2435" spans="1:19" x14ac:dyDescent="0.35">
      <c r="A2435">
        <v>31732</v>
      </c>
      <c r="B2435" t="str">
        <f>"031732"</f>
        <v>031732</v>
      </c>
      <c r="C2435" t="s">
        <v>7952</v>
      </c>
      <c r="D2435" t="s">
        <v>3398</v>
      </c>
      <c r="E2435" t="s">
        <v>3395</v>
      </c>
      <c r="F2435" t="s">
        <v>3396</v>
      </c>
      <c r="G2435" t="s">
        <v>1613</v>
      </c>
      <c r="H2435" t="s">
        <v>7953</v>
      </c>
      <c r="I2435" t="s">
        <v>7954</v>
      </c>
      <c r="J2435" t="s">
        <v>2378</v>
      </c>
      <c r="K2435" t="s">
        <v>55</v>
      </c>
      <c r="L2435" t="s">
        <v>2379</v>
      </c>
      <c r="M2435" t="s">
        <v>57</v>
      </c>
      <c r="N2435" t="str">
        <f>"046474"</f>
        <v>046474</v>
      </c>
      <c r="O2435" t="s">
        <v>2375</v>
      </c>
      <c r="P2435" t="s">
        <v>68</v>
      </c>
      <c r="Q2435">
        <v>48</v>
      </c>
      <c r="R2435">
        <v>5.0999999999999943</v>
      </c>
      <c r="S2435" t="s">
        <v>130</v>
      </c>
    </row>
    <row r="2436" spans="1:19" x14ac:dyDescent="0.35">
      <c r="A2436">
        <v>31740</v>
      </c>
      <c r="B2436" t="str">
        <f>"031740"</f>
        <v>031740</v>
      </c>
      <c r="C2436" t="s">
        <v>7955</v>
      </c>
      <c r="D2436" t="s">
        <v>3400</v>
      </c>
      <c r="E2436" t="s">
        <v>3395</v>
      </c>
      <c r="F2436" t="s">
        <v>3396</v>
      </c>
      <c r="G2436" t="s">
        <v>600</v>
      </c>
      <c r="H2436" t="s">
        <v>7956</v>
      </c>
      <c r="I2436" t="s">
        <v>7957</v>
      </c>
      <c r="J2436" t="s">
        <v>1348</v>
      </c>
      <c r="K2436" t="s">
        <v>55</v>
      </c>
      <c r="L2436" t="s">
        <v>4473</v>
      </c>
      <c r="M2436" t="s">
        <v>57</v>
      </c>
      <c r="N2436" t="str">
        <f>"043802"</f>
        <v>043802</v>
      </c>
      <c r="O2436" t="s">
        <v>3171</v>
      </c>
      <c r="P2436" t="s">
        <v>68</v>
      </c>
      <c r="Q2436">
        <v>100</v>
      </c>
      <c r="R2436">
        <v>64.599999999999994</v>
      </c>
      <c r="S2436" t="s">
        <v>60</v>
      </c>
    </row>
    <row r="2437" spans="1:19" x14ac:dyDescent="0.35">
      <c r="A2437">
        <v>31757</v>
      </c>
      <c r="B2437" t="str">
        <f>"031757"</f>
        <v>031757</v>
      </c>
      <c r="C2437" t="s">
        <v>7958</v>
      </c>
      <c r="D2437" t="s">
        <v>3394</v>
      </c>
      <c r="E2437" t="s">
        <v>3395</v>
      </c>
      <c r="F2437" t="s">
        <v>3396</v>
      </c>
      <c r="G2437" t="s">
        <v>1296</v>
      </c>
      <c r="H2437" t="s">
        <v>7959</v>
      </c>
      <c r="I2437" t="s">
        <v>7960</v>
      </c>
      <c r="J2437" t="s">
        <v>2893</v>
      </c>
      <c r="K2437" t="s">
        <v>55</v>
      </c>
      <c r="L2437" t="s">
        <v>2894</v>
      </c>
      <c r="M2437" t="s">
        <v>57</v>
      </c>
      <c r="N2437" t="str">
        <f>"043992"</f>
        <v>043992</v>
      </c>
      <c r="O2437" t="s">
        <v>2890</v>
      </c>
      <c r="P2437" t="s">
        <v>68</v>
      </c>
      <c r="Q2437">
        <v>73.5</v>
      </c>
      <c r="R2437">
        <v>46.6</v>
      </c>
      <c r="S2437" t="s">
        <v>156</v>
      </c>
    </row>
    <row r="2438" spans="1:19" x14ac:dyDescent="0.35">
      <c r="A2438">
        <v>31773</v>
      </c>
      <c r="B2438" t="str">
        <f>"031773"</f>
        <v>031773</v>
      </c>
      <c r="C2438" t="s">
        <v>7961</v>
      </c>
      <c r="D2438" t="s">
        <v>3394</v>
      </c>
      <c r="E2438" t="s">
        <v>3395</v>
      </c>
      <c r="F2438" t="s">
        <v>3396</v>
      </c>
      <c r="G2438" t="s">
        <v>264</v>
      </c>
      <c r="H2438" t="s">
        <v>7962</v>
      </c>
      <c r="I2438" t="s">
        <v>7963</v>
      </c>
      <c r="J2438" t="s">
        <v>267</v>
      </c>
      <c r="K2438" t="s">
        <v>55</v>
      </c>
      <c r="L2438" t="s">
        <v>5821</v>
      </c>
      <c r="M2438" t="s">
        <v>57</v>
      </c>
      <c r="N2438" t="str">
        <f>"043489"</f>
        <v>043489</v>
      </c>
      <c r="O2438" t="s">
        <v>3176</v>
      </c>
      <c r="P2438" t="s">
        <v>68</v>
      </c>
      <c r="Q2438">
        <v>100</v>
      </c>
      <c r="R2438">
        <v>56.4</v>
      </c>
      <c r="S2438" t="s">
        <v>77</v>
      </c>
    </row>
    <row r="2439" spans="1:19" x14ac:dyDescent="0.35">
      <c r="A2439">
        <v>31781</v>
      </c>
      <c r="B2439" t="str">
        <f>"031781"</f>
        <v>031781</v>
      </c>
      <c r="C2439" t="s">
        <v>7964</v>
      </c>
      <c r="D2439" t="s">
        <v>3394</v>
      </c>
      <c r="E2439" t="s">
        <v>3395</v>
      </c>
      <c r="F2439" t="s">
        <v>3396</v>
      </c>
      <c r="G2439" t="s">
        <v>861</v>
      </c>
      <c r="H2439" t="s">
        <v>7965</v>
      </c>
      <c r="I2439" t="s">
        <v>7966</v>
      </c>
      <c r="J2439" t="s">
        <v>1743</v>
      </c>
      <c r="K2439" t="s">
        <v>55</v>
      </c>
      <c r="L2439" t="s">
        <v>1744</v>
      </c>
      <c r="M2439" t="s">
        <v>57</v>
      </c>
      <c r="N2439" t="str">
        <f>"044032"</f>
        <v>044032</v>
      </c>
      <c r="O2439" t="s">
        <v>860</v>
      </c>
      <c r="P2439" t="s">
        <v>68</v>
      </c>
      <c r="Q2439">
        <v>52.9</v>
      </c>
      <c r="R2439">
        <v>4.5999999999999943</v>
      </c>
      <c r="S2439" t="s">
        <v>130</v>
      </c>
    </row>
    <row r="2440" spans="1:19" x14ac:dyDescent="0.35">
      <c r="A2440">
        <v>31815</v>
      </c>
      <c r="B2440" t="str">
        <f>"031815"</f>
        <v>031815</v>
      </c>
      <c r="C2440" t="s">
        <v>7967</v>
      </c>
      <c r="D2440" t="s">
        <v>3398</v>
      </c>
      <c r="E2440" t="s">
        <v>3395</v>
      </c>
      <c r="F2440" t="s">
        <v>3396</v>
      </c>
      <c r="G2440" t="s">
        <v>19</v>
      </c>
      <c r="H2440" t="s">
        <v>7968</v>
      </c>
      <c r="I2440" t="s">
        <v>7969</v>
      </c>
      <c r="J2440" t="s">
        <v>704</v>
      </c>
      <c r="K2440" t="s">
        <v>55</v>
      </c>
      <c r="L2440" t="s">
        <v>705</v>
      </c>
      <c r="M2440" t="s">
        <v>57</v>
      </c>
      <c r="N2440" t="str">
        <f>"046078"</f>
        <v>046078</v>
      </c>
      <c r="O2440" t="s">
        <v>701</v>
      </c>
      <c r="P2440" t="s">
        <v>68</v>
      </c>
      <c r="Q2440">
        <v>63.2</v>
      </c>
      <c r="R2440">
        <v>6.9000000000000057</v>
      </c>
      <c r="S2440" t="s">
        <v>217</v>
      </c>
    </row>
    <row r="2441" spans="1:19" x14ac:dyDescent="0.35">
      <c r="A2441">
        <v>31831</v>
      </c>
      <c r="B2441" t="str">
        <f>"031831"</f>
        <v>031831</v>
      </c>
      <c r="C2441" t="s">
        <v>7970</v>
      </c>
      <c r="D2441" t="s">
        <v>3398</v>
      </c>
      <c r="E2441" t="s">
        <v>3395</v>
      </c>
      <c r="F2441" t="s">
        <v>3396</v>
      </c>
      <c r="G2441" t="s">
        <v>187</v>
      </c>
      <c r="H2441" t="s">
        <v>5225</v>
      </c>
      <c r="I2441" t="s">
        <v>5226</v>
      </c>
      <c r="J2441" t="s">
        <v>2020</v>
      </c>
      <c r="K2441" t="s">
        <v>55</v>
      </c>
      <c r="L2441" t="s">
        <v>2021</v>
      </c>
      <c r="M2441" t="s">
        <v>57</v>
      </c>
      <c r="N2441" t="str">
        <f>"045591"</f>
        <v>045591</v>
      </c>
      <c r="O2441" t="s">
        <v>2017</v>
      </c>
      <c r="P2441" t="s">
        <v>68</v>
      </c>
      <c r="Q2441">
        <v>37.9</v>
      </c>
      <c r="R2441">
        <v>11.299999999999997</v>
      </c>
      <c r="S2441" t="s">
        <v>77</v>
      </c>
    </row>
    <row r="2442" spans="1:19" x14ac:dyDescent="0.35">
      <c r="A2442">
        <v>31849</v>
      </c>
      <c r="B2442" t="str">
        <f>"031849"</f>
        <v>031849</v>
      </c>
      <c r="C2442" t="s">
        <v>7971</v>
      </c>
      <c r="D2442" t="s">
        <v>3394</v>
      </c>
      <c r="E2442" t="s">
        <v>3395</v>
      </c>
      <c r="F2442" t="s">
        <v>3396</v>
      </c>
      <c r="G2442" t="s">
        <v>264</v>
      </c>
      <c r="H2442" t="s">
        <v>7972</v>
      </c>
      <c r="I2442" t="s">
        <v>7973</v>
      </c>
      <c r="J2442" t="s">
        <v>267</v>
      </c>
      <c r="K2442" t="s">
        <v>55</v>
      </c>
      <c r="L2442" t="s">
        <v>268</v>
      </c>
      <c r="M2442" t="s">
        <v>57</v>
      </c>
      <c r="N2442" t="str">
        <f>"043489"</f>
        <v>043489</v>
      </c>
      <c r="O2442" t="s">
        <v>3176</v>
      </c>
      <c r="P2442" t="s">
        <v>68</v>
      </c>
      <c r="Q2442">
        <v>100</v>
      </c>
      <c r="R2442">
        <v>35.900000000000006</v>
      </c>
      <c r="S2442" t="s">
        <v>77</v>
      </c>
    </row>
    <row r="2443" spans="1:19" x14ac:dyDescent="0.35">
      <c r="A2443">
        <v>31856</v>
      </c>
      <c r="B2443" t="str">
        <f>"031856"</f>
        <v>031856</v>
      </c>
      <c r="C2443" t="s">
        <v>7974</v>
      </c>
      <c r="D2443" t="s">
        <v>3398</v>
      </c>
      <c r="E2443" t="s">
        <v>3395</v>
      </c>
      <c r="F2443" t="s">
        <v>3396</v>
      </c>
      <c r="G2443" t="s">
        <v>1239</v>
      </c>
      <c r="H2443" t="s">
        <v>7975</v>
      </c>
      <c r="I2443" t="s">
        <v>7976</v>
      </c>
      <c r="J2443" t="s">
        <v>5690</v>
      </c>
      <c r="K2443" t="s">
        <v>55</v>
      </c>
      <c r="L2443" t="s">
        <v>5691</v>
      </c>
      <c r="M2443" t="s">
        <v>57</v>
      </c>
      <c r="N2443" t="str">
        <f>"048652"</f>
        <v>048652</v>
      </c>
      <c r="O2443" t="s">
        <v>2757</v>
      </c>
      <c r="P2443" t="s">
        <v>68</v>
      </c>
      <c r="Q2443">
        <v>39.200000000000003</v>
      </c>
      <c r="R2443">
        <v>2.2999999999999972</v>
      </c>
      <c r="S2443" t="s">
        <v>130</v>
      </c>
    </row>
    <row r="2444" spans="1:19" x14ac:dyDescent="0.35">
      <c r="A2444">
        <v>31872</v>
      </c>
      <c r="B2444" t="str">
        <f>"031872"</f>
        <v>031872</v>
      </c>
      <c r="C2444" t="s">
        <v>6261</v>
      </c>
      <c r="D2444" t="s">
        <v>3398</v>
      </c>
      <c r="E2444" t="s">
        <v>3395</v>
      </c>
      <c r="F2444" t="s">
        <v>3396</v>
      </c>
      <c r="G2444" t="s">
        <v>312</v>
      </c>
      <c r="H2444" t="s">
        <v>7977</v>
      </c>
      <c r="I2444" t="s">
        <v>7978</v>
      </c>
      <c r="J2444" t="s">
        <v>359</v>
      </c>
      <c r="K2444" t="s">
        <v>55</v>
      </c>
      <c r="L2444" t="s">
        <v>360</v>
      </c>
      <c r="M2444" t="s">
        <v>57</v>
      </c>
      <c r="N2444" t="str">
        <f>"048447"</f>
        <v>048447</v>
      </c>
      <c r="O2444" t="s">
        <v>356</v>
      </c>
      <c r="P2444" t="s">
        <v>68</v>
      </c>
      <c r="Q2444">
        <v>30.7</v>
      </c>
      <c r="R2444">
        <v>10</v>
      </c>
      <c r="S2444" t="s">
        <v>156</v>
      </c>
    </row>
    <row r="2445" spans="1:19" x14ac:dyDescent="0.35">
      <c r="A2445">
        <v>31880</v>
      </c>
      <c r="B2445" t="str">
        <f>"031880"</f>
        <v>031880</v>
      </c>
      <c r="C2445" t="s">
        <v>7979</v>
      </c>
      <c r="D2445" t="s">
        <v>3398</v>
      </c>
      <c r="E2445" t="s">
        <v>3395</v>
      </c>
      <c r="F2445" t="s">
        <v>3396</v>
      </c>
      <c r="G2445" t="s">
        <v>1613</v>
      </c>
      <c r="H2445" t="s">
        <v>3356</v>
      </c>
      <c r="I2445" t="s">
        <v>3357</v>
      </c>
      <c r="J2445" t="s">
        <v>3358</v>
      </c>
      <c r="K2445" t="s">
        <v>55</v>
      </c>
      <c r="L2445" t="s">
        <v>3359</v>
      </c>
      <c r="M2445" t="s">
        <v>57</v>
      </c>
      <c r="N2445" t="str">
        <f>"046482"</f>
        <v>046482</v>
      </c>
      <c r="O2445" t="s">
        <v>3355</v>
      </c>
      <c r="P2445" t="s">
        <v>68</v>
      </c>
      <c r="Q2445">
        <v>45.4</v>
      </c>
      <c r="R2445">
        <v>5.2000000000000028</v>
      </c>
      <c r="S2445" t="s">
        <v>130</v>
      </c>
    </row>
    <row r="2446" spans="1:19" x14ac:dyDescent="0.35">
      <c r="A2446">
        <v>31898</v>
      </c>
      <c r="B2446" t="str">
        <f>"031898"</f>
        <v>031898</v>
      </c>
      <c r="C2446" t="s">
        <v>7980</v>
      </c>
      <c r="D2446" t="s">
        <v>3398</v>
      </c>
      <c r="E2446" t="s">
        <v>3395</v>
      </c>
      <c r="F2446" t="s">
        <v>3396</v>
      </c>
      <c r="G2446" t="s">
        <v>821</v>
      </c>
      <c r="H2446" t="s">
        <v>2047</v>
      </c>
      <c r="I2446" t="s">
        <v>2048</v>
      </c>
      <c r="J2446" t="s">
        <v>2049</v>
      </c>
      <c r="K2446" t="s">
        <v>55</v>
      </c>
      <c r="L2446" t="s">
        <v>2050</v>
      </c>
      <c r="M2446" t="s">
        <v>57</v>
      </c>
      <c r="N2446" t="str">
        <f>"047514"</f>
        <v>047514</v>
      </c>
      <c r="O2446" t="s">
        <v>2046</v>
      </c>
      <c r="P2446" t="s">
        <v>68</v>
      </c>
      <c r="Q2446">
        <v>33.6</v>
      </c>
      <c r="R2446">
        <v>3.9000000000000057</v>
      </c>
      <c r="S2446" t="s">
        <v>156</v>
      </c>
    </row>
    <row r="2447" spans="1:19" x14ac:dyDescent="0.35">
      <c r="A2447">
        <v>31914</v>
      </c>
      <c r="B2447" t="str">
        <f>"031914"</f>
        <v>031914</v>
      </c>
      <c r="C2447" t="s">
        <v>7981</v>
      </c>
      <c r="D2447" t="s">
        <v>3394</v>
      </c>
      <c r="E2447" t="s">
        <v>3395</v>
      </c>
      <c r="F2447" t="s">
        <v>3396</v>
      </c>
      <c r="G2447" t="s">
        <v>288</v>
      </c>
      <c r="H2447" t="s">
        <v>289</v>
      </c>
      <c r="I2447" t="s">
        <v>290</v>
      </c>
      <c r="J2447" t="s">
        <v>291</v>
      </c>
      <c r="K2447" t="s">
        <v>55</v>
      </c>
      <c r="L2447" t="s">
        <v>292</v>
      </c>
      <c r="M2447" t="s">
        <v>57</v>
      </c>
      <c r="N2447" t="str">
        <f>"048090"</f>
        <v>048090</v>
      </c>
      <c r="O2447" t="s">
        <v>287</v>
      </c>
      <c r="P2447" t="s">
        <v>68</v>
      </c>
      <c r="Q2447">
        <v>59.8</v>
      </c>
      <c r="R2447">
        <v>9</v>
      </c>
      <c r="S2447" t="s">
        <v>180</v>
      </c>
    </row>
    <row r="2448" spans="1:19" x14ac:dyDescent="0.35">
      <c r="A2448">
        <v>31955</v>
      </c>
      <c r="B2448" t="str">
        <f>"031955"</f>
        <v>031955</v>
      </c>
      <c r="C2448" t="s">
        <v>7981</v>
      </c>
      <c r="D2448" t="s">
        <v>3394</v>
      </c>
      <c r="E2448" t="s">
        <v>3395</v>
      </c>
      <c r="F2448" t="s">
        <v>3396</v>
      </c>
      <c r="G2448" t="s">
        <v>200</v>
      </c>
      <c r="H2448" t="s">
        <v>7982</v>
      </c>
      <c r="I2448" t="s">
        <v>7983</v>
      </c>
      <c r="J2448" t="s">
        <v>304</v>
      </c>
      <c r="K2448" t="s">
        <v>55</v>
      </c>
      <c r="L2448" t="s">
        <v>4350</v>
      </c>
      <c r="M2448" t="s">
        <v>57</v>
      </c>
      <c r="N2448" t="str">
        <f>"044909"</f>
        <v>044909</v>
      </c>
      <c r="O2448" t="s">
        <v>3318</v>
      </c>
      <c r="P2448" t="s">
        <v>68</v>
      </c>
      <c r="Q2448">
        <v>92.4</v>
      </c>
      <c r="R2448">
        <v>69</v>
      </c>
      <c r="S2448" t="s">
        <v>156</v>
      </c>
    </row>
    <row r="2449" spans="1:19" x14ac:dyDescent="0.35">
      <c r="A2449">
        <v>31963</v>
      </c>
      <c r="B2449" t="str">
        <f>"031963"</f>
        <v>031963</v>
      </c>
      <c r="C2449" t="s">
        <v>7984</v>
      </c>
      <c r="D2449" t="s">
        <v>3394</v>
      </c>
      <c r="E2449" t="s">
        <v>3395</v>
      </c>
      <c r="F2449" t="s">
        <v>3396</v>
      </c>
      <c r="G2449" t="s">
        <v>63</v>
      </c>
      <c r="H2449" t="s">
        <v>7985</v>
      </c>
      <c r="I2449" t="s">
        <v>7986</v>
      </c>
      <c r="J2449" t="s">
        <v>285</v>
      </c>
      <c r="K2449" t="s">
        <v>55</v>
      </c>
      <c r="L2449" t="s">
        <v>5375</v>
      </c>
      <c r="M2449" t="s">
        <v>57</v>
      </c>
      <c r="N2449" t="str">
        <f>"043786"</f>
        <v>043786</v>
      </c>
      <c r="O2449" t="s">
        <v>1340</v>
      </c>
      <c r="P2449" t="s">
        <v>68</v>
      </c>
      <c r="Q2449">
        <v>100</v>
      </c>
      <c r="R2449">
        <v>49.1</v>
      </c>
      <c r="S2449" t="s">
        <v>69</v>
      </c>
    </row>
    <row r="2450" spans="1:19" x14ac:dyDescent="0.35">
      <c r="A2450">
        <v>31989</v>
      </c>
      <c r="B2450" t="str">
        <f>"031989"</f>
        <v>031989</v>
      </c>
      <c r="C2450" t="s">
        <v>7987</v>
      </c>
      <c r="D2450" t="s">
        <v>3398</v>
      </c>
      <c r="E2450" t="s">
        <v>3395</v>
      </c>
      <c r="F2450" t="s">
        <v>3396</v>
      </c>
      <c r="G2450" t="s">
        <v>481</v>
      </c>
      <c r="H2450" t="s">
        <v>2072</v>
      </c>
      <c r="I2450" t="s">
        <v>2073</v>
      </c>
      <c r="J2450" t="s">
        <v>876</v>
      </c>
      <c r="K2450" t="s">
        <v>55</v>
      </c>
      <c r="L2450" t="s">
        <v>819</v>
      </c>
      <c r="M2450" t="s">
        <v>57</v>
      </c>
      <c r="N2450" t="str">
        <f>"047894"</f>
        <v>047894</v>
      </c>
      <c r="O2450" t="s">
        <v>287</v>
      </c>
      <c r="P2450" t="s">
        <v>68</v>
      </c>
      <c r="Q2450">
        <v>24.1</v>
      </c>
      <c r="R2450">
        <v>18.200000000000003</v>
      </c>
      <c r="S2450" t="s">
        <v>69</v>
      </c>
    </row>
    <row r="2451" spans="1:19" x14ac:dyDescent="0.35">
      <c r="A2451">
        <v>31997</v>
      </c>
      <c r="B2451" t="str">
        <f>"031997"</f>
        <v>031997</v>
      </c>
      <c r="C2451" t="s">
        <v>7988</v>
      </c>
      <c r="D2451" t="s">
        <v>3398</v>
      </c>
      <c r="E2451" t="s">
        <v>3395</v>
      </c>
      <c r="F2451" t="s">
        <v>3396</v>
      </c>
      <c r="G2451" t="s">
        <v>288</v>
      </c>
      <c r="H2451" t="s">
        <v>289</v>
      </c>
      <c r="I2451" t="s">
        <v>290</v>
      </c>
      <c r="J2451" t="s">
        <v>291</v>
      </c>
      <c r="K2451" t="s">
        <v>55</v>
      </c>
      <c r="L2451" t="s">
        <v>292</v>
      </c>
      <c r="M2451" t="s">
        <v>57</v>
      </c>
      <c r="N2451" t="str">
        <f>"048090"</f>
        <v>048090</v>
      </c>
      <c r="O2451" t="s">
        <v>287</v>
      </c>
      <c r="P2451" t="s">
        <v>68</v>
      </c>
      <c r="Q2451">
        <v>51.2</v>
      </c>
      <c r="R2451">
        <v>9.2999999999999972</v>
      </c>
      <c r="S2451" t="s">
        <v>180</v>
      </c>
    </row>
    <row r="2452" spans="1:19" x14ac:dyDescent="0.35">
      <c r="A2452">
        <v>32011</v>
      </c>
      <c r="B2452" t="str">
        <f>"032011"</f>
        <v>032011</v>
      </c>
      <c r="C2452" t="s">
        <v>5646</v>
      </c>
      <c r="D2452" t="s">
        <v>3394</v>
      </c>
      <c r="E2452" t="s">
        <v>3395</v>
      </c>
      <c r="F2452" t="s">
        <v>3396</v>
      </c>
      <c r="G2452" t="s">
        <v>264</v>
      </c>
      <c r="H2452" t="s">
        <v>7989</v>
      </c>
      <c r="I2452" t="s">
        <v>7990</v>
      </c>
      <c r="J2452" t="s">
        <v>7991</v>
      </c>
      <c r="K2452" t="s">
        <v>55</v>
      </c>
      <c r="L2452" t="s">
        <v>7992</v>
      </c>
      <c r="M2452" t="s">
        <v>57</v>
      </c>
      <c r="N2452" t="str">
        <f>"044834"</f>
        <v>044834</v>
      </c>
      <c r="O2452" t="s">
        <v>1207</v>
      </c>
      <c r="P2452" t="s">
        <v>68</v>
      </c>
      <c r="Q2452">
        <v>31.8</v>
      </c>
      <c r="R2452">
        <v>25.099999999999994</v>
      </c>
      <c r="S2452" t="s">
        <v>77</v>
      </c>
    </row>
    <row r="2453" spans="1:19" x14ac:dyDescent="0.35">
      <c r="A2453">
        <v>32060</v>
      </c>
      <c r="B2453" t="str">
        <f>"032060"</f>
        <v>032060</v>
      </c>
      <c r="C2453" t="s">
        <v>7993</v>
      </c>
      <c r="D2453" t="s">
        <v>3394</v>
      </c>
      <c r="E2453" t="s">
        <v>3395</v>
      </c>
      <c r="F2453" t="s">
        <v>3396</v>
      </c>
      <c r="G2453" t="s">
        <v>63</v>
      </c>
      <c r="H2453" t="s">
        <v>7994</v>
      </c>
      <c r="I2453" t="s">
        <v>7995</v>
      </c>
      <c r="J2453" t="s">
        <v>285</v>
      </c>
      <c r="K2453" t="s">
        <v>55</v>
      </c>
      <c r="L2453" t="s">
        <v>1711</v>
      </c>
      <c r="M2453" t="s">
        <v>57</v>
      </c>
      <c r="N2453" t="str">
        <f>"043786"</f>
        <v>043786</v>
      </c>
      <c r="O2453" t="s">
        <v>1340</v>
      </c>
      <c r="P2453" t="s">
        <v>68</v>
      </c>
      <c r="Q2453">
        <v>100</v>
      </c>
      <c r="R2453">
        <v>97.5</v>
      </c>
      <c r="S2453" t="s">
        <v>69</v>
      </c>
    </row>
    <row r="2454" spans="1:19" x14ac:dyDescent="0.35">
      <c r="A2454">
        <v>32078</v>
      </c>
      <c r="B2454" t="str">
        <f>"032078"</f>
        <v>032078</v>
      </c>
      <c r="C2454" t="s">
        <v>7996</v>
      </c>
      <c r="D2454" t="s">
        <v>3394</v>
      </c>
      <c r="E2454" t="s">
        <v>3395</v>
      </c>
      <c r="F2454" t="s">
        <v>3396</v>
      </c>
      <c r="G2454" t="s">
        <v>600</v>
      </c>
      <c r="H2454" t="s">
        <v>7997</v>
      </c>
      <c r="I2454" t="s">
        <v>7998</v>
      </c>
      <c r="J2454" t="s">
        <v>1348</v>
      </c>
      <c r="K2454" t="s">
        <v>55</v>
      </c>
      <c r="L2454" t="s">
        <v>1783</v>
      </c>
      <c r="M2454" t="s">
        <v>57</v>
      </c>
      <c r="N2454" t="str">
        <f>"044073"</f>
        <v>044073</v>
      </c>
      <c r="O2454" t="s">
        <v>1780</v>
      </c>
      <c r="P2454" t="s">
        <v>68</v>
      </c>
      <c r="Q2454">
        <v>4.3</v>
      </c>
      <c r="R2454">
        <v>12.200000000000003</v>
      </c>
      <c r="S2454" t="s">
        <v>60</v>
      </c>
    </row>
    <row r="2455" spans="1:19" x14ac:dyDescent="0.35">
      <c r="A2455">
        <v>32086</v>
      </c>
      <c r="B2455" t="str">
        <f>"032086"</f>
        <v>032086</v>
      </c>
      <c r="C2455" t="s">
        <v>7999</v>
      </c>
      <c r="D2455" t="s">
        <v>3394</v>
      </c>
      <c r="E2455" t="s">
        <v>3395</v>
      </c>
      <c r="F2455" t="s">
        <v>3396</v>
      </c>
      <c r="G2455" t="s">
        <v>212</v>
      </c>
      <c r="H2455" t="s">
        <v>8000</v>
      </c>
      <c r="I2455" t="s">
        <v>8001</v>
      </c>
      <c r="J2455" t="s">
        <v>215</v>
      </c>
      <c r="K2455" t="s">
        <v>55</v>
      </c>
      <c r="L2455" t="s">
        <v>8002</v>
      </c>
      <c r="M2455" t="s">
        <v>57</v>
      </c>
      <c r="N2455" t="str">
        <f>"043752"</f>
        <v>043752</v>
      </c>
      <c r="O2455" t="s">
        <v>440</v>
      </c>
      <c r="P2455" t="s">
        <v>68</v>
      </c>
      <c r="Q2455">
        <v>99.6</v>
      </c>
      <c r="R2455">
        <v>95.1</v>
      </c>
      <c r="S2455" t="s">
        <v>217</v>
      </c>
    </row>
    <row r="2456" spans="1:19" x14ac:dyDescent="0.35">
      <c r="A2456">
        <v>32102</v>
      </c>
      <c r="B2456" t="str">
        <f>"032102"</f>
        <v>032102</v>
      </c>
      <c r="C2456" t="s">
        <v>8003</v>
      </c>
      <c r="D2456" t="s">
        <v>3394</v>
      </c>
      <c r="E2456" t="s">
        <v>3395</v>
      </c>
      <c r="F2456" t="s">
        <v>3396</v>
      </c>
      <c r="G2456" t="s">
        <v>200</v>
      </c>
      <c r="H2456" t="s">
        <v>8004</v>
      </c>
      <c r="I2456" t="s">
        <v>8005</v>
      </c>
      <c r="J2456" t="s">
        <v>304</v>
      </c>
      <c r="K2456" t="s">
        <v>55</v>
      </c>
      <c r="L2456" t="s">
        <v>305</v>
      </c>
      <c r="M2456" t="s">
        <v>57</v>
      </c>
      <c r="N2456" t="str">
        <f>"044909"</f>
        <v>044909</v>
      </c>
      <c r="O2456" t="s">
        <v>3318</v>
      </c>
      <c r="P2456" t="s">
        <v>68</v>
      </c>
      <c r="Q2456">
        <v>74.099999999999994</v>
      </c>
      <c r="R2456">
        <v>92.9</v>
      </c>
      <c r="S2456" t="s">
        <v>156</v>
      </c>
    </row>
    <row r="2457" spans="1:19" x14ac:dyDescent="0.35">
      <c r="A2457">
        <v>32110</v>
      </c>
      <c r="B2457" t="str">
        <f>"032110"</f>
        <v>032110</v>
      </c>
      <c r="C2457" t="s">
        <v>8006</v>
      </c>
      <c r="D2457" t="s">
        <v>3394</v>
      </c>
      <c r="E2457" t="s">
        <v>3395</v>
      </c>
      <c r="F2457" t="s">
        <v>3396</v>
      </c>
      <c r="G2457" t="s">
        <v>264</v>
      </c>
      <c r="H2457" t="s">
        <v>8007</v>
      </c>
      <c r="I2457" t="s">
        <v>8008</v>
      </c>
      <c r="J2457" t="s">
        <v>267</v>
      </c>
      <c r="K2457" t="s">
        <v>55</v>
      </c>
      <c r="L2457" t="s">
        <v>5503</v>
      </c>
      <c r="M2457" t="s">
        <v>57</v>
      </c>
      <c r="N2457" t="str">
        <f>"043489"</f>
        <v>043489</v>
      </c>
      <c r="O2457" t="s">
        <v>3176</v>
      </c>
      <c r="P2457" t="s">
        <v>68</v>
      </c>
      <c r="Q2457">
        <v>100</v>
      </c>
      <c r="R2457">
        <v>87.2</v>
      </c>
      <c r="S2457" t="s">
        <v>77</v>
      </c>
    </row>
    <row r="2458" spans="1:19" x14ac:dyDescent="0.35">
      <c r="A2458">
        <v>32128</v>
      </c>
      <c r="B2458" t="str">
        <f>"032128"</f>
        <v>032128</v>
      </c>
      <c r="C2458" t="s">
        <v>8009</v>
      </c>
      <c r="D2458" t="s">
        <v>3394</v>
      </c>
      <c r="E2458" t="s">
        <v>3395</v>
      </c>
      <c r="F2458" t="s">
        <v>3396</v>
      </c>
      <c r="G2458" t="s">
        <v>63</v>
      </c>
      <c r="H2458" t="s">
        <v>8010</v>
      </c>
      <c r="I2458" t="s">
        <v>8011</v>
      </c>
      <c r="J2458" t="s">
        <v>285</v>
      </c>
      <c r="K2458" t="s">
        <v>55</v>
      </c>
      <c r="L2458" t="s">
        <v>3561</v>
      </c>
      <c r="M2458" t="s">
        <v>57</v>
      </c>
      <c r="N2458" t="str">
        <f>"043786"</f>
        <v>043786</v>
      </c>
      <c r="O2458" t="s">
        <v>1340</v>
      </c>
      <c r="P2458" t="s">
        <v>68</v>
      </c>
      <c r="Q2458">
        <v>100</v>
      </c>
      <c r="R2458">
        <v>68.900000000000006</v>
      </c>
      <c r="S2458" t="s">
        <v>69</v>
      </c>
    </row>
    <row r="2459" spans="1:19" x14ac:dyDescent="0.35">
      <c r="A2459">
        <v>32136</v>
      </c>
      <c r="B2459" t="str">
        <f>"032136"</f>
        <v>032136</v>
      </c>
      <c r="C2459" t="s">
        <v>8012</v>
      </c>
      <c r="D2459" t="s">
        <v>3394</v>
      </c>
      <c r="E2459" t="s">
        <v>3395</v>
      </c>
      <c r="F2459" t="s">
        <v>3396</v>
      </c>
      <c r="G2459" t="s">
        <v>383</v>
      </c>
      <c r="H2459" t="s">
        <v>8013</v>
      </c>
      <c r="I2459" t="s">
        <v>8014</v>
      </c>
      <c r="J2459" t="s">
        <v>1215</v>
      </c>
      <c r="K2459" t="s">
        <v>55</v>
      </c>
      <c r="L2459" t="s">
        <v>2451</v>
      </c>
      <c r="M2459" t="s">
        <v>57</v>
      </c>
      <c r="N2459" t="str">
        <f>"048306"</f>
        <v>048306</v>
      </c>
      <c r="O2459" t="s">
        <v>2448</v>
      </c>
      <c r="P2459" t="s">
        <v>68</v>
      </c>
      <c r="Q2459">
        <v>55.6</v>
      </c>
      <c r="R2459">
        <v>38</v>
      </c>
      <c r="S2459" t="s">
        <v>77</v>
      </c>
    </row>
    <row r="2460" spans="1:19" x14ac:dyDescent="0.35">
      <c r="A2460">
        <v>32144</v>
      </c>
      <c r="B2460" t="str">
        <f>"032144"</f>
        <v>032144</v>
      </c>
      <c r="C2460" t="s">
        <v>8015</v>
      </c>
      <c r="D2460" t="s">
        <v>3394</v>
      </c>
      <c r="E2460" t="s">
        <v>3395</v>
      </c>
      <c r="F2460" t="s">
        <v>3396</v>
      </c>
      <c r="G2460" t="s">
        <v>132</v>
      </c>
      <c r="H2460" t="s">
        <v>8016</v>
      </c>
      <c r="I2460" t="s">
        <v>8017</v>
      </c>
      <c r="J2460" t="s">
        <v>8018</v>
      </c>
      <c r="K2460" t="s">
        <v>55</v>
      </c>
      <c r="L2460" t="s">
        <v>8019</v>
      </c>
      <c r="M2460" t="s">
        <v>57</v>
      </c>
      <c r="N2460" t="str">
        <f>"045872"</f>
        <v>045872</v>
      </c>
      <c r="O2460" t="s">
        <v>454</v>
      </c>
      <c r="P2460" t="s">
        <v>68</v>
      </c>
      <c r="Q2460">
        <v>38.9</v>
      </c>
      <c r="R2460">
        <v>7.2999999999999972</v>
      </c>
      <c r="S2460" t="s">
        <v>69</v>
      </c>
    </row>
    <row r="2461" spans="1:19" x14ac:dyDescent="0.35">
      <c r="A2461">
        <v>32177</v>
      </c>
      <c r="B2461" t="str">
        <f>"032177"</f>
        <v>032177</v>
      </c>
      <c r="C2461" t="s">
        <v>8020</v>
      </c>
      <c r="D2461" t="s">
        <v>3394</v>
      </c>
      <c r="E2461" t="s">
        <v>3395</v>
      </c>
      <c r="F2461" t="s">
        <v>3396</v>
      </c>
      <c r="G2461" t="s">
        <v>212</v>
      </c>
      <c r="H2461" t="s">
        <v>8021</v>
      </c>
      <c r="I2461" t="s">
        <v>8022</v>
      </c>
      <c r="J2461" t="s">
        <v>215</v>
      </c>
      <c r="K2461" t="s">
        <v>55</v>
      </c>
      <c r="L2461" t="s">
        <v>7168</v>
      </c>
      <c r="M2461" t="s">
        <v>57</v>
      </c>
      <c r="N2461" t="str">
        <f>"043752"</f>
        <v>043752</v>
      </c>
      <c r="O2461" t="s">
        <v>440</v>
      </c>
      <c r="P2461" t="s">
        <v>68</v>
      </c>
      <c r="Q2461">
        <v>98.9</v>
      </c>
      <c r="R2461">
        <v>95.8</v>
      </c>
      <c r="S2461" t="s">
        <v>217</v>
      </c>
    </row>
    <row r="2462" spans="1:19" x14ac:dyDescent="0.35">
      <c r="A2462">
        <v>32235</v>
      </c>
      <c r="B2462" t="str">
        <f>"032235"</f>
        <v>032235</v>
      </c>
      <c r="C2462" t="s">
        <v>8023</v>
      </c>
      <c r="D2462" t="s">
        <v>3400</v>
      </c>
      <c r="E2462" t="s">
        <v>3395</v>
      </c>
      <c r="F2462" t="s">
        <v>3396</v>
      </c>
      <c r="G2462" t="s">
        <v>63</v>
      </c>
      <c r="H2462" t="s">
        <v>8024</v>
      </c>
      <c r="I2462" t="s">
        <v>8025</v>
      </c>
      <c r="J2462" t="s">
        <v>871</v>
      </c>
      <c r="K2462" t="s">
        <v>55</v>
      </c>
      <c r="L2462" t="s">
        <v>872</v>
      </c>
      <c r="M2462" t="s">
        <v>57</v>
      </c>
      <c r="N2462" t="str">
        <f>"044701"</f>
        <v>044701</v>
      </c>
      <c r="O2462" t="s">
        <v>1883</v>
      </c>
      <c r="P2462" t="s">
        <v>68</v>
      </c>
      <c r="Q2462">
        <v>8.6</v>
      </c>
      <c r="R2462">
        <v>12.799999999999997</v>
      </c>
      <c r="S2462" t="s">
        <v>69</v>
      </c>
    </row>
    <row r="2463" spans="1:19" x14ac:dyDescent="0.35">
      <c r="A2463">
        <v>32243</v>
      </c>
      <c r="B2463" t="str">
        <f>"032243"</f>
        <v>032243</v>
      </c>
      <c r="C2463" t="s">
        <v>8026</v>
      </c>
      <c r="D2463" t="s">
        <v>3398</v>
      </c>
      <c r="E2463" t="s">
        <v>3395</v>
      </c>
      <c r="F2463" t="s">
        <v>3396</v>
      </c>
      <c r="G2463" t="s">
        <v>63</v>
      </c>
      <c r="H2463" t="s">
        <v>8027</v>
      </c>
      <c r="I2463" t="s">
        <v>8028</v>
      </c>
      <c r="J2463" t="s">
        <v>871</v>
      </c>
      <c r="K2463" t="s">
        <v>55</v>
      </c>
      <c r="L2463" t="s">
        <v>872</v>
      </c>
      <c r="M2463" t="s">
        <v>57</v>
      </c>
      <c r="N2463" t="str">
        <f>"044701"</f>
        <v>044701</v>
      </c>
      <c r="O2463" t="s">
        <v>1883</v>
      </c>
      <c r="P2463" t="s">
        <v>68</v>
      </c>
      <c r="Q2463">
        <v>9.5</v>
      </c>
      <c r="R2463">
        <v>11.900000000000006</v>
      </c>
      <c r="S2463" t="s">
        <v>69</v>
      </c>
    </row>
    <row r="2464" spans="1:19" x14ac:dyDescent="0.35">
      <c r="A2464">
        <v>32276</v>
      </c>
      <c r="B2464" t="str">
        <f>"032276"</f>
        <v>032276</v>
      </c>
      <c r="C2464" t="s">
        <v>8029</v>
      </c>
      <c r="D2464" t="s">
        <v>3398</v>
      </c>
      <c r="E2464" t="s">
        <v>3395</v>
      </c>
      <c r="F2464" t="s">
        <v>3396</v>
      </c>
      <c r="G2464" t="s">
        <v>200</v>
      </c>
      <c r="H2464" t="s">
        <v>8030</v>
      </c>
      <c r="I2464" t="s">
        <v>8031</v>
      </c>
      <c r="J2464" t="s">
        <v>304</v>
      </c>
      <c r="K2464" t="s">
        <v>55</v>
      </c>
      <c r="L2464" t="s">
        <v>5763</v>
      </c>
      <c r="M2464" t="s">
        <v>57</v>
      </c>
      <c r="N2464" t="str">
        <f>"044909"</f>
        <v>044909</v>
      </c>
      <c r="O2464" t="s">
        <v>3318</v>
      </c>
      <c r="P2464" t="s">
        <v>68</v>
      </c>
      <c r="Q2464">
        <v>99.7</v>
      </c>
      <c r="R2464">
        <v>81.8</v>
      </c>
      <c r="S2464" t="s">
        <v>156</v>
      </c>
    </row>
    <row r="2465" spans="1:19" x14ac:dyDescent="0.35">
      <c r="A2465">
        <v>32359</v>
      </c>
      <c r="B2465" t="str">
        <f>"032359"</f>
        <v>032359</v>
      </c>
      <c r="C2465" t="s">
        <v>8032</v>
      </c>
      <c r="D2465" t="s">
        <v>3394</v>
      </c>
      <c r="E2465" t="s">
        <v>3395</v>
      </c>
      <c r="F2465" t="s">
        <v>3396</v>
      </c>
      <c r="G2465" t="s">
        <v>63</v>
      </c>
      <c r="H2465" t="s">
        <v>8033</v>
      </c>
      <c r="I2465" t="s">
        <v>8034</v>
      </c>
      <c r="J2465" t="s">
        <v>1271</v>
      </c>
      <c r="K2465" t="s">
        <v>55</v>
      </c>
      <c r="L2465" t="s">
        <v>1272</v>
      </c>
      <c r="M2465" t="s">
        <v>57</v>
      </c>
      <c r="N2465" t="str">
        <f>"044198"</f>
        <v>044198</v>
      </c>
      <c r="O2465" t="s">
        <v>1268</v>
      </c>
      <c r="P2465" t="s">
        <v>68</v>
      </c>
      <c r="Q2465">
        <v>47</v>
      </c>
      <c r="R2465">
        <v>22.099999999999994</v>
      </c>
      <c r="S2465" t="s">
        <v>69</v>
      </c>
    </row>
    <row r="2466" spans="1:19" x14ac:dyDescent="0.35">
      <c r="A2466">
        <v>32391</v>
      </c>
      <c r="B2466" t="str">
        <f>"032391"</f>
        <v>032391</v>
      </c>
      <c r="C2466" t="s">
        <v>8035</v>
      </c>
      <c r="D2466" t="s">
        <v>3394</v>
      </c>
      <c r="E2466" t="s">
        <v>3395</v>
      </c>
      <c r="F2466" t="s">
        <v>3396</v>
      </c>
      <c r="G2466" t="s">
        <v>169</v>
      </c>
      <c r="H2466" t="s">
        <v>8036</v>
      </c>
      <c r="I2466" t="s">
        <v>8037</v>
      </c>
      <c r="J2466" t="s">
        <v>2266</v>
      </c>
      <c r="K2466" t="s">
        <v>55</v>
      </c>
      <c r="L2466" t="s">
        <v>2267</v>
      </c>
      <c r="M2466" t="s">
        <v>57</v>
      </c>
      <c r="N2466" t="str">
        <f>"045427"</f>
        <v>045427</v>
      </c>
      <c r="O2466" t="s">
        <v>2263</v>
      </c>
      <c r="P2466" t="s">
        <v>68</v>
      </c>
      <c r="Q2466">
        <v>45</v>
      </c>
      <c r="R2466">
        <v>11.900000000000006</v>
      </c>
      <c r="S2466" t="s">
        <v>77</v>
      </c>
    </row>
    <row r="2467" spans="1:19" x14ac:dyDescent="0.35">
      <c r="A2467">
        <v>32433</v>
      </c>
      <c r="B2467" t="str">
        <f>"032433"</f>
        <v>032433</v>
      </c>
      <c r="C2467" t="s">
        <v>8038</v>
      </c>
      <c r="D2467" t="s">
        <v>3394</v>
      </c>
      <c r="E2467" t="s">
        <v>3395</v>
      </c>
      <c r="F2467" t="s">
        <v>3396</v>
      </c>
      <c r="G2467" t="s">
        <v>135</v>
      </c>
      <c r="H2467" t="s">
        <v>8039</v>
      </c>
      <c r="I2467" t="s">
        <v>8040</v>
      </c>
      <c r="J2467" t="s">
        <v>279</v>
      </c>
      <c r="K2467" t="s">
        <v>55</v>
      </c>
      <c r="L2467" t="s">
        <v>280</v>
      </c>
      <c r="M2467" t="s">
        <v>57</v>
      </c>
      <c r="N2467" t="str">
        <f>"044826"</f>
        <v>044826</v>
      </c>
      <c r="O2467" t="s">
        <v>276</v>
      </c>
      <c r="P2467" t="s">
        <v>68</v>
      </c>
      <c r="Q2467">
        <v>98.3</v>
      </c>
      <c r="R2467">
        <v>62.9</v>
      </c>
      <c r="S2467" t="s">
        <v>130</v>
      </c>
    </row>
    <row r="2468" spans="1:19" x14ac:dyDescent="0.35">
      <c r="A2468">
        <v>32441</v>
      </c>
      <c r="B2468" t="str">
        <f>"032441"</f>
        <v>032441</v>
      </c>
      <c r="C2468" t="s">
        <v>8041</v>
      </c>
      <c r="D2468" t="s">
        <v>3394</v>
      </c>
      <c r="E2468" t="s">
        <v>3395</v>
      </c>
      <c r="F2468" t="s">
        <v>3396</v>
      </c>
      <c r="G2468" t="s">
        <v>200</v>
      </c>
      <c r="H2468" t="s">
        <v>8042</v>
      </c>
      <c r="I2468" t="s">
        <v>8043</v>
      </c>
      <c r="J2468" t="s">
        <v>304</v>
      </c>
      <c r="K2468" t="s">
        <v>55</v>
      </c>
      <c r="L2468" t="s">
        <v>6203</v>
      </c>
      <c r="M2468" t="s">
        <v>57</v>
      </c>
      <c r="N2468" t="str">
        <f>"044909"</f>
        <v>044909</v>
      </c>
      <c r="O2468" t="s">
        <v>3318</v>
      </c>
      <c r="P2468" t="s">
        <v>68</v>
      </c>
      <c r="Q2468">
        <v>91.8</v>
      </c>
      <c r="R2468">
        <v>100</v>
      </c>
      <c r="S2468" t="s">
        <v>156</v>
      </c>
    </row>
    <row r="2469" spans="1:19" x14ac:dyDescent="0.35">
      <c r="A2469">
        <v>32482</v>
      </c>
      <c r="B2469" t="str">
        <f>"032482"</f>
        <v>032482</v>
      </c>
      <c r="C2469" t="s">
        <v>8044</v>
      </c>
      <c r="D2469" t="s">
        <v>3394</v>
      </c>
      <c r="E2469" t="s">
        <v>3395</v>
      </c>
      <c r="F2469" t="s">
        <v>3396</v>
      </c>
      <c r="G2469" t="s">
        <v>264</v>
      </c>
      <c r="H2469" t="s">
        <v>8045</v>
      </c>
      <c r="I2469" t="s">
        <v>8046</v>
      </c>
      <c r="J2469" t="s">
        <v>267</v>
      </c>
      <c r="K2469" t="s">
        <v>55</v>
      </c>
      <c r="L2469" t="s">
        <v>268</v>
      </c>
      <c r="M2469" t="s">
        <v>57</v>
      </c>
      <c r="N2469" t="str">
        <f>"050062"</f>
        <v>050062</v>
      </c>
      <c r="O2469" t="s">
        <v>263</v>
      </c>
      <c r="P2469" t="s">
        <v>68</v>
      </c>
      <c r="Q2469">
        <v>59.8</v>
      </c>
      <c r="R2469">
        <v>19.700000000000003</v>
      </c>
      <c r="S2469" t="s">
        <v>77</v>
      </c>
    </row>
    <row r="2470" spans="1:19" x14ac:dyDescent="0.35">
      <c r="A2470">
        <v>32490</v>
      </c>
      <c r="B2470" t="str">
        <f>"032490"</f>
        <v>032490</v>
      </c>
      <c r="C2470" t="s">
        <v>8032</v>
      </c>
      <c r="D2470" t="s">
        <v>3394</v>
      </c>
      <c r="E2470" t="s">
        <v>3395</v>
      </c>
      <c r="F2470" t="s">
        <v>3396</v>
      </c>
      <c r="G2470" t="s">
        <v>169</v>
      </c>
      <c r="H2470" t="s">
        <v>8047</v>
      </c>
      <c r="I2470" t="s">
        <v>8048</v>
      </c>
      <c r="J2470" t="s">
        <v>2632</v>
      </c>
      <c r="K2470" t="s">
        <v>55</v>
      </c>
      <c r="L2470" t="s">
        <v>2633</v>
      </c>
      <c r="M2470" t="s">
        <v>57</v>
      </c>
      <c r="N2470" t="str">
        <f>"050229"</f>
        <v>050229</v>
      </c>
      <c r="O2470" t="s">
        <v>2629</v>
      </c>
      <c r="P2470" t="s">
        <v>68</v>
      </c>
      <c r="Q2470">
        <v>37.700000000000003</v>
      </c>
      <c r="R2470">
        <v>12.200000000000003</v>
      </c>
      <c r="S2470" t="s">
        <v>77</v>
      </c>
    </row>
    <row r="2471" spans="1:19" x14ac:dyDescent="0.35">
      <c r="A2471">
        <v>32508</v>
      </c>
      <c r="B2471" t="str">
        <f>"032508"</f>
        <v>032508</v>
      </c>
      <c r="C2471" t="s">
        <v>8049</v>
      </c>
      <c r="D2471" t="s">
        <v>3398</v>
      </c>
      <c r="E2471" t="s">
        <v>3395</v>
      </c>
      <c r="F2471" t="s">
        <v>3396</v>
      </c>
      <c r="G2471" t="s">
        <v>295</v>
      </c>
      <c r="H2471" t="s">
        <v>8050</v>
      </c>
      <c r="I2471" t="s">
        <v>8051</v>
      </c>
      <c r="J2471" t="s">
        <v>1012</v>
      </c>
      <c r="K2471" t="s">
        <v>55</v>
      </c>
      <c r="L2471" t="s">
        <v>1013</v>
      </c>
      <c r="M2471" t="s">
        <v>57</v>
      </c>
      <c r="N2471" t="str">
        <f>"044164"</f>
        <v>044164</v>
      </c>
      <c r="O2471" t="s">
        <v>1009</v>
      </c>
      <c r="P2471" t="s">
        <v>68</v>
      </c>
      <c r="Q2471">
        <v>34.6</v>
      </c>
      <c r="R2471">
        <v>26</v>
      </c>
      <c r="S2471" t="s">
        <v>77</v>
      </c>
    </row>
    <row r="2472" spans="1:19" x14ac:dyDescent="0.35">
      <c r="A2472">
        <v>32540</v>
      </c>
      <c r="B2472" t="str">
        <f>"032540"</f>
        <v>032540</v>
      </c>
      <c r="C2472" t="s">
        <v>8052</v>
      </c>
      <c r="D2472" t="s">
        <v>3400</v>
      </c>
      <c r="E2472" t="s">
        <v>3395</v>
      </c>
      <c r="F2472" t="s">
        <v>3396</v>
      </c>
      <c r="G2472" t="s">
        <v>777</v>
      </c>
      <c r="H2472" t="s">
        <v>8053</v>
      </c>
      <c r="I2472" t="s">
        <v>8054</v>
      </c>
      <c r="J2472" t="s">
        <v>780</v>
      </c>
      <c r="K2472" t="s">
        <v>55</v>
      </c>
      <c r="L2472" t="s">
        <v>6175</v>
      </c>
      <c r="M2472" t="s">
        <v>57</v>
      </c>
      <c r="N2472" t="str">
        <f>"044818"</f>
        <v>044818</v>
      </c>
      <c r="O2472" t="s">
        <v>2812</v>
      </c>
      <c r="P2472" t="s">
        <v>68</v>
      </c>
      <c r="Q2472">
        <v>100</v>
      </c>
      <c r="R2472">
        <v>45.4</v>
      </c>
      <c r="S2472" t="s">
        <v>180</v>
      </c>
    </row>
    <row r="2473" spans="1:19" x14ac:dyDescent="0.35">
      <c r="A2473">
        <v>32581</v>
      </c>
      <c r="B2473" t="str">
        <f>"032581"</f>
        <v>032581</v>
      </c>
      <c r="C2473" t="s">
        <v>8055</v>
      </c>
      <c r="D2473" t="s">
        <v>3400</v>
      </c>
      <c r="E2473" t="s">
        <v>3395</v>
      </c>
      <c r="F2473" t="s">
        <v>3396</v>
      </c>
      <c r="G2473" t="s">
        <v>674</v>
      </c>
      <c r="H2473" t="s">
        <v>8056</v>
      </c>
      <c r="I2473" t="s">
        <v>8057</v>
      </c>
      <c r="J2473" t="s">
        <v>927</v>
      </c>
      <c r="K2473" t="s">
        <v>55</v>
      </c>
      <c r="L2473" t="s">
        <v>928</v>
      </c>
      <c r="M2473" t="s">
        <v>57</v>
      </c>
      <c r="N2473" t="str">
        <f>"045179"</f>
        <v>045179</v>
      </c>
      <c r="O2473" t="s">
        <v>2380</v>
      </c>
      <c r="P2473" t="s">
        <v>68</v>
      </c>
      <c r="Q2473">
        <v>99.5</v>
      </c>
      <c r="R2473">
        <v>34.5</v>
      </c>
      <c r="S2473" t="s">
        <v>130</v>
      </c>
    </row>
    <row r="2474" spans="1:19" x14ac:dyDescent="0.35">
      <c r="A2474">
        <v>32599</v>
      </c>
      <c r="B2474" t="str">
        <f>"032599"</f>
        <v>032599</v>
      </c>
      <c r="C2474" t="s">
        <v>8058</v>
      </c>
      <c r="D2474" t="s">
        <v>3394</v>
      </c>
      <c r="E2474" t="s">
        <v>3395</v>
      </c>
      <c r="F2474" t="s">
        <v>3396</v>
      </c>
      <c r="G2474" t="s">
        <v>295</v>
      </c>
      <c r="H2474" t="s">
        <v>1596</v>
      </c>
      <c r="I2474" t="s">
        <v>1597</v>
      </c>
      <c r="J2474" t="s">
        <v>1598</v>
      </c>
      <c r="K2474" t="s">
        <v>55</v>
      </c>
      <c r="L2474" t="s">
        <v>1599</v>
      </c>
      <c r="M2474" t="s">
        <v>57</v>
      </c>
      <c r="N2474" t="str">
        <f>"049213"</f>
        <v>049213</v>
      </c>
      <c r="O2474" t="s">
        <v>1595</v>
      </c>
      <c r="P2474" t="s">
        <v>68</v>
      </c>
      <c r="Q2474">
        <v>28.4</v>
      </c>
      <c r="R2474">
        <v>9.7999999999999972</v>
      </c>
      <c r="S2474" t="s">
        <v>77</v>
      </c>
    </row>
    <row r="2475" spans="1:19" x14ac:dyDescent="0.35">
      <c r="A2475">
        <v>32607</v>
      </c>
      <c r="B2475" t="str">
        <f>"032607"</f>
        <v>032607</v>
      </c>
      <c r="C2475" t="s">
        <v>8059</v>
      </c>
      <c r="D2475" t="s">
        <v>3398</v>
      </c>
      <c r="E2475" t="s">
        <v>3395</v>
      </c>
      <c r="F2475" t="s">
        <v>3396</v>
      </c>
      <c r="G2475" t="s">
        <v>295</v>
      </c>
      <c r="H2475" t="s">
        <v>1596</v>
      </c>
      <c r="I2475" t="s">
        <v>1597</v>
      </c>
      <c r="J2475" t="s">
        <v>1598</v>
      </c>
      <c r="K2475" t="s">
        <v>55</v>
      </c>
      <c r="L2475" t="s">
        <v>1599</v>
      </c>
      <c r="M2475" t="s">
        <v>57</v>
      </c>
      <c r="N2475" t="str">
        <f>"049213"</f>
        <v>049213</v>
      </c>
      <c r="O2475" t="s">
        <v>1595</v>
      </c>
      <c r="P2475" t="s">
        <v>68</v>
      </c>
      <c r="Q2475">
        <v>18</v>
      </c>
      <c r="R2475">
        <v>4.7000000000000028</v>
      </c>
      <c r="S2475" t="s">
        <v>77</v>
      </c>
    </row>
    <row r="2476" spans="1:19" x14ac:dyDescent="0.35">
      <c r="A2476">
        <v>32615</v>
      </c>
      <c r="B2476" t="str">
        <f>"032615"</f>
        <v>032615</v>
      </c>
      <c r="C2476" t="s">
        <v>8060</v>
      </c>
      <c r="D2476" t="s">
        <v>3400</v>
      </c>
      <c r="E2476" t="s">
        <v>3395</v>
      </c>
      <c r="F2476" t="s">
        <v>3396</v>
      </c>
      <c r="G2476" t="s">
        <v>295</v>
      </c>
      <c r="H2476" t="s">
        <v>1596</v>
      </c>
      <c r="I2476" t="s">
        <v>1597</v>
      </c>
      <c r="J2476" t="s">
        <v>1598</v>
      </c>
      <c r="K2476" t="s">
        <v>55</v>
      </c>
      <c r="L2476" t="s">
        <v>1599</v>
      </c>
      <c r="M2476" t="s">
        <v>57</v>
      </c>
      <c r="N2476" t="str">
        <f>"049213"</f>
        <v>049213</v>
      </c>
      <c r="O2476" t="s">
        <v>1595</v>
      </c>
      <c r="P2476" t="s">
        <v>68</v>
      </c>
      <c r="Q2476">
        <v>29.7</v>
      </c>
      <c r="R2476">
        <v>7.2999999999999972</v>
      </c>
      <c r="S2476" t="s">
        <v>77</v>
      </c>
    </row>
    <row r="2477" spans="1:19" x14ac:dyDescent="0.35">
      <c r="A2477">
        <v>32631</v>
      </c>
      <c r="B2477" t="str">
        <f>"032631"</f>
        <v>032631</v>
      </c>
      <c r="C2477" t="s">
        <v>8061</v>
      </c>
      <c r="D2477" t="s">
        <v>3394</v>
      </c>
      <c r="E2477" t="s">
        <v>3395</v>
      </c>
      <c r="F2477" t="s">
        <v>3396</v>
      </c>
      <c r="G2477" t="s">
        <v>600</v>
      </c>
      <c r="H2477" t="s">
        <v>8062</v>
      </c>
      <c r="I2477" t="s">
        <v>8063</v>
      </c>
      <c r="J2477" t="s">
        <v>603</v>
      </c>
      <c r="K2477" t="s">
        <v>55</v>
      </c>
      <c r="L2477" t="s">
        <v>604</v>
      </c>
      <c r="M2477" t="s">
        <v>57</v>
      </c>
      <c r="N2477" t="str">
        <f>"047001"</f>
        <v>047001</v>
      </c>
      <c r="O2477" t="s">
        <v>599</v>
      </c>
      <c r="P2477" t="s">
        <v>68</v>
      </c>
      <c r="Q2477">
        <v>71.8</v>
      </c>
      <c r="R2477">
        <v>72.400000000000006</v>
      </c>
      <c r="S2477" t="s">
        <v>60</v>
      </c>
    </row>
    <row r="2478" spans="1:19" x14ac:dyDescent="0.35">
      <c r="A2478">
        <v>32664</v>
      </c>
      <c r="B2478" t="str">
        <f>"032664"</f>
        <v>032664</v>
      </c>
      <c r="C2478" t="s">
        <v>8064</v>
      </c>
      <c r="D2478" t="s">
        <v>3394</v>
      </c>
      <c r="E2478" t="s">
        <v>3395</v>
      </c>
      <c r="F2478" t="s">
        <v>3396</v>
      </c>
      <c r="G2478" t="s">
        <v>244</v>
      </c>
      <c r="H2478" t="s">
        <v>8065</v>
      </c>
      <c r="I2478" t="s">
        <v>8066</v>
      </c>
      <c r="J2478" t="s">
        <v>1179</v>
      </c>
      <c r="K2478" t="s">
        <v>55</v>
      </c>
      <c r="L2478" t="s">
        <v>1180</v>
      </c>
      <c r="M2478" t="s">
        <v>57</v>
      </c>
      <c r="N2478" t="str">
        <f>"044404"</f>
        <v>044404</v>
      </c>
      <c r="O2478" t="s">
        <v>1176</v>
      </c>
      <c r="P2478" t="s">
        <v>68</v>
      </c>
      <c r="Q2478">
        <v>100</v>
      </c>
      <c r="R2478">
        <v>37.6</v>
      </c>
      <c r="S2478" t="s">
        <v>217</v>
      </c>
    </row>
    <row r="2479" spans="1:19" x14ac:dyDescent="0.35">
      <c r="A2479">
        <v>32680</v>
      </c>
      <c r="B2479" t="str">
        <f>"032680"</f>
        <v>032680</v>
      </c>
      <c r="C2479" t="s">
        <v>8067</v>
      </c>
      <c r="D2479" t="s">
        <v>3394</v>
      </c>
      <c r="E2479" t="s">
        <v>3395</v>
      </c>
      <c r="F2479" t="s">
        <v>3396</v>
      </c>
      <c r="G2479" t="s">
        <v>212</v>
      </c>
      <c r="H2479" t="s">
        <v>8068</v>
      </c>
      <c r="I2479" t="s">
        <v>8069</v>
      </c>
      <c r="J2479" t="s">
        <v>215</v>
      </c>
      <c r="K2479" t="s">
        <v>55</v>
      </c>
      <c r="L2479" t="s">
        <v>3919</v>
      </c>
      <c r="M2479" t="s">
        <v>57</v>
      </c>
      <c r="N2479" t="str">
        <f>"043752"</f>
        <v>043752</v>
      </c>
      <c r="O2479" t="s">
        <v>440</v>
      </c>
      <c r="P2479" t="s">
        <v>68</v>
      </c>
      <c r="Q2479">
        <v>99.8</v>
      </c>
      <c r="R2479">
        <v>95.9</v>
      </c>
      <c r="S2479" t="s">
        <v>217</v>
      </c>
    </row>
    <row r="2480" spans="1:19" x14ac:dyDescent="0.35">
      <c r="A2480">
        <v>32698</v>
      </c>
      <c r="B2480" t="str">
        <f>"032698"</f>
        <v>032698</v>
      </c>
      <c r="C2480" t="s">
        <v>8070</v>
      </c>
      <c r="D2480" t="s">
        <v>3400</v>
      </c>
      <c r="E2480" t="s">
        <v>3395</v>
      </c>
      <c r="F2480" t="s">
        <v>3396</v>
      </c>
      <c r="G2480" t="s">
        <v>600</v>
      </c>
      <c r="H2480" t="s">
        <v>8071</v>
      </c>
      <c r="I2480" t="s">
        <v>8072</v>
      </c>
      <c r="J2480" t="s">
        <v>1889</v>
      </c>
      <c r="K2480" t="s">
        <v>55</v>
      </c>
      <c r="L2480" t="s">
        <v>1890</v>
      </c>
      <c r="M2480" t="s">
        <v>57</v>
      </c>
      <c r="N2480" t="str">
        <f>"045070"</f>
        <v>045070</v>
      </c>
      <c r="O2480" t="s">
        <v>1886</v>
      </c>
      <c r="P2480" t="s">
        <v>68</v>
      </c>
      <c r="Q2480">
        <v>100</v>
      </c>
      <c r="R2480">
        <v>79.099999999999994</v>
      </c>
      <c r="S2480" t="s">
        <v>60</v>
      </c>
    </row>
    <row r="2481" spans="1:19" x14ac:dyDescent="0.35">
      <c r="A2481">
        <v>32706</v>
      </c>
      <c r="B2481" t="str">
        <f>"032706"</f>
        <v>032706</v>
      </c>
      <c r="C2481" t="s">
        <v>8073</v>
      </c>
      <c r="D2481" t="s">
        <v>3394</v>
      </c>
      <c r="E2481" t="s">
        <v>3395</v>
      </c>
      <c r="F2481" t="s">
        <v>3396</v>
      </c>
      <c r="G2481" t="s">
        <v>219</v>
      </c>
      <c r="H2481" t="s">
        <v>220</v>
      </c>
      <c r="I2481" t="s">
        <v>221</v>
      </c>
      <c r="J2481" t="s">
        <v>222</v>
      </c>
      <c r="K2481" t="s">
        <v>55</v>
      </c>
      <c r="L2481" t="s">
        <v>223</v>
      </c>
      <c r="M2481" t="s">
        <v>57</v>
      </c>
      <c r="N2481" t="str">
        <f>"049601"</f>
        <v>049601</v>
      </c>
      <c r="O2481" t="s">
        <v>218</v>
      </c>
      <c r="P2481" t="s">
        <v>68</v>
      </c>
      <c r="Q2481">
        <v>60.5</v>
      </c>
      <c r="R2481">
        <v>6</v>
      </c>
      <c r="S2481" t="s">
        <v>130</v>
      </c>
    </row>
    <row r="2482" spans="1:19" x14ac:dyDescent="0.35">
      <c r="A2482">
        <v>32748</v>
      </c>
      <c r="B2482" t="str">
        <f>"032748"</f>
        <v>032748</v>
      </c>
      <c r="C2482" t="s">
        <v>8074</v>
      </c>
      <c r="D2482" t="s">
        <v>3400</v>
      </c>
      <c r="E2482" t="s">
        <v>3395</v>
      </c>
      <c r="F2482" t="s">
        <v>3396</v>
      </c>
      <c r="G2482" t="s">
        <v>244</v>
      </c>
      <c r="H2482" t="s">
        <v>8075</v>
      </c>
      <c r="I2482" t="s">
        <v>8076</v>
      </c>
      <c r="J2482" t="s">
        <v>212</v>
      </c>
      <c r="K2482" t="s">
        <v>55</v>
      </c>
      <c r="L2482" t="s">
        <v>2312</v>
      </c>
      <c r="M2482" t="s">
        <v>57</v>
      </c>
      <c r="N2482" t="str">
        <f>"046144"</f>
        <v>046144</v>
      </c>
      <c r="O2482" t="s">
        <v>2309</v>
      </c>
      <c r="P2482" t="s">
        <v>68</v>
      </c>
      <c r="Q2482">
        <v>26.8</v>
      </c>
      <c r="R2482">
        <v>3.4000000000000057</v>
      </c>
      <c r="S2482" t="s">
        <v>217</v>
      </c>
    </row>
    <row r="2483" spans="1:19" x14ac:dyDescent="0.35">
      <c r="A2483">
        <v>32755</v>
      </c>
      <c r="B2483" t="str">
        <f>"032755"</f>
        <v>032755</v>
      </c>
      <c r="C2483" t="s">
        <v>8077</v>
      </c>
      <c r="D2483" t="s">
        <v>3398</v>
      </c>
      <c r="E2483" t="s">
        <v>3395</v>
      </c>
      <c r="F2483" t="s">
        <v>3396</v>
      </c>
      <c r="G2483" t="s">
        <v>244</v>
      </c>
      <c r="H2483" t="s">
        <v>8078</v>
      </c>
      <c r="I2483" t="s">
        <v>8079</v>
      </c>
      <c r="J2483" t="s">
        <v>212</v>
      </c>
      <c r="K2483" t="s">
        <v>55</v>
      </c>
      <c r="L2483" t="s">
        <v>2312</v>
      </c>
      <c r="M2483" t="s">
        <v>57</v>
      </c>
      <c r="N2483" t="str">
        <f>"046144"</f>
        <v>046144</v>
      </c>
      <c r="O2483" t="s">
        <v>2309</v>
      </c>
      <c r="P2483" t="s">
        <v>68</v>
      </c>
      <c r="Q2483">
        <v>30.6</v>
      </c>
      <c r="R2483">
        <v>2.9000000000000057</v>
      </c>
      <c r="S2483" t="s">
        <v>217</v>
      </c>
    </row>
    <row r="2484" spans="1:19" x14ac:dyDescent="0.35">
      <c r="A2484">
        <v>32763</v>
      </c>
      <c r="B2484" t="str">
        <f>"032763"</f>
        <v>032763</v>
      </c>
      <c r="C2484" t="s">
        <v>8080</v>
      </c>
      <c r="D2484" t="s">
        <v>3398</v>
      </c>
      <c r="E2484" t="s">
        <v>3395</v>
      </c>
      <c r="F2484" t="s">
        <v>3396</v>
      </c>
      <c r="G2484" t="s">
        <v>226</v>
      </c>
      <c r="H2484" t="s">
        <v>697</v>
      </c>
      <c r="I2484" t="s">
        <v>698</v>
      </c>
      <c r="J2484" t="s">
        <v>699</v>
      </c>
      <c r="K2484" t="s">
        <v>55</v>
      </c>
      <c r="L2484" t="s">
        <v>700</v>
      </c>
      <c r="M2484" t="s">
        <v>57</v>
      </c>
      <c r="N2484" t="str">
        <f>"045609"</f>
        <v>045609</v>
      </c>
      <c r="O2484" t="s">
        <v>696</v>
      </c>
      <c r="P2484" t="s">
        <v>68</v>
      </c>
      <c r="Q2484">
        <v>35.299999999999997</v>
      </c>
      <c r="R2484">
        <v>27.700000000000003</v>
      </c>
      <c r="S2484" t="s">
        <v>156</v>
      </c>
    </row>
    <row r="2485" spans="1:19" x14ac:dyDescent="0.35">
      <c r="A2485">
        <v>32797</v>
      </c>
      <c r="B2485" t="str">
        <f>"032797"</f>
        <v>032797</v>
      </c>
      <c r="C2485" t="s">
        <v>8081</v>
      </c>
      <c r="D2485" t="s">
        <v>3394</v>
      </c>
      <c r="E2485" t="s">
        <v>3395</v>
      </c>
      <c r="F2485" t="s">
        <v>3396</v>
      </c>
      <c r="G2485" t="s">
        <v>212</v>
      </c>
      <c r="H2485" t="s">
        <v>8082</v>
      </c>
      <c r="I2485" t="s">
        <v>8083</v>
      </c>
      <c r="J2485" t="s">
        <v>215</v>
      </c>
      <c r="K2485" t="s">
        <v>55</v>
      </c>
      <c r="L2485" t="s">
        <v>2468</v>
      </c>
      <c r="M2485" t="s">
        <v>57</v>
      </c>
      <c r="N2485" t="str">
        <f>"043752"</f>
        <v>043752</v>
      </c>
      <c r="O2485" t="s">
        <v>440</v>
      </c>
      <c r="P2485" t="s">
        <v>68</v>
      </c>
      <c r="Q2485">
        <v>100</v>
      </c>
      <c r="R2485">
        <v>100</v>
      </c>
      <c r="S2485" t="s">
        <v>217</v>
      </c>
    </row>
    <row r="2486" spans="1:19" x14ac:dyDescent="0.35">
      <c r="A2486">
        <v>32805</v>
      </c>
      <c r="B2486" t="str">
        <f>"032805"</f>
        <v>032805</v>
      </c>
      <c r="C2486" t="s">
        <v>8084</v>
      </c>
      <c r="D2486" t="s">
        <v>3394</v>
      </c>
      <c r="E2486" t="s">
        <v>3395</v>
      </c>
      <c r="F2486" t="s">
        <v>3396</v>
      </c>
      <c r="G2486" t="s">
        <v>878</v>
      </c>
      <c r="H2486" t="s">
        <v>3188</v>
      </c>
      <c r="I2486" t="s">
        <v>3189</v>
      </c>
      <c r="J2486" t="s">
        <v>3190</v>
      </c>
      <c r="K2486" t="s">
        <v>55</v>
      </c>
      <c r="L2486" t="s">
        <v>3191</v>
      </c>
      <c r="M2486" t="s">
        <v>57</v>
      </c>
      <c r="N2486" t="str">
        <f>"047522"</f>
        <v>047522</v>
      </c>
      <c r="O2486" t="s">
        <v>3187</v>
      </c>
      <c r="P2486" t="s">
        <v>68</v>
      </c>
      <c r="Q2486">
        <v>61.8</v>
      </c>
      <c r="R2486">
        <v>10.700000000000003</v>
      </c>
      <c r="S2486" t="s">
        <v>156</v>
      </c>
    </row>
    <row r="2487" spans="1:19" x14ac:dyDescent="0.35">
      <c r="A2487">
        <v>32813</v>
      </c>
      <c r="B2487" t="str">
        <f>"032813"</f>
        <v>032813</v>
      </c>
      <c r="C2487" t="s">
        <v>8085</v>
      </c>
      <c r="D2487" t="s">
        <v>3400</v>
      </c>
      <c r="E2487" t="s">
        <v>3395</v>
      </c>
      <c r="F2487" t="s">
        <v>3396</v>
      </c>
      <c r="G2487" t="s">
        <v>132</v>
      </c>
      <c r="H2487" t="s">
        <v>8086</v>
      </c>
      <c r="I2487" t="s">
        <v>8087</v>
      </c>
      <c r="J2487" t="s">
        <v>241</v>
      </c>
      <c r="K2487" t="s">
        <v>55</v>
      </c>
      <c r="L2487" t="s">
        <v>242</v>
      </c>
      <c r="M2487" t="s">
        <v>57</v>
      </c>
      <c r="N2487" t="str">
        <f>"043810"</f>
        <v>043810</v>
      </c>
      <c r="O2487" t="s">
        <v>238</v>
      </c>
      <c r="P2487" t="s">
        <v>68</v>
      </c>
      <c r="Q2487">
        <v>58.8</v>
      </c>
      <c r="R2487">
        <v>11.599999999999994</v>
      </c>
      <c r="S2487" t="s">
        <v>69</v>
      </c>
    </row>
    <row r="2488" spans="1:19" x14ac:dyDescent="0.35">
      <c r="A2488">
        <v>32821</v>
      </c>
      <c r="B2488" t="str">
        <f>"032821"</f>
        <v>032821</v>
      </c>
      <c r="C2488" t="s">
        <v>8088</v>
      </c>
      <c r="D2488" t="s">
        <v>3394</v>
      </c>
      <c r="E2488" t="s">
        <v>3395</v>
      </c>
      <c r="F2488" t="s">
        <v>3396</v>
      </c>
      <c r="G2488" t="s">
        <v>63</v>
      </c>
      <c r="H2488" t="s">
        <v>8089</v>
      </c>
      <c r="I2488" t="s">
        <v>8090</v>
      </c>
      <c r="J2488" t="s">
        <v>3423</v>
      </c>
      <c r="K2488" t="s">
        <v>55</v>
      </c>
      <c r="L2488" t="s">
        <v>3424</v>
      </c>
      <c r="M2488" t="s">
        <v>57</v>
      </c>
      <c r="N2488" t="str">
        <f>"044792"</f>
        <v>044792</v>
      </c>
      <c r="O2488" t="s">
        <v>2331</v>
      </c>
      <c r="P2488" t="s">
        <v>68</v>
      </c>
      <c r="Q2488">
        <v>58.3</v>
      </c>
      <c r="R2488">
        <v>88.7</v>
      </c>
      <c r="S2488" t="s">
        <v>69</v>
      </c>
    </row>
    <row r="2489" spans="1:19" x14ac:dyDescent="0.35">
      <c r="A2489">
        <v>32839</v>
      </c>
      <c r="B2489" t="str">
        <f>"032839"</f>
        <v>032839</v>
      </c>
      <c r="C2489" t="s">
        <v>8091</v>
      </c>
      <c r="D2489" t="s">
        <v>3394</v>
      </c>
      <c r="E2489" t="s">
        <v>3395</v>
      </c>
      <c r="F2489" t="s">
        <v>3396</v>
      </c>
      <c r="G2489" t="s">
        <v>63</v>
      </c>
      <c r="H2489" t="s">
        <v>8092</v>
      </c>
      <c r="I2489" t="s">
        <v>8093</v>
      </c>
      <c r="J2489" t="s">
        <v>1844</v>
      </c>
      <c r="K2489" t="s">
        <v>55</v>
      </c>
      <c r="L2489" t="s">
        <v>3915</v>
      </c>
      <c r="M2489" t="s">
        <v>57</v>
      </c>
      <c r="N2489" t="str">
        <f>"043794"</f>
        <v>043794</v>
      </c>
      <c r="O2489" t="s">
        <v>1912</v>
      </c>
      <c r="P2489" t="s">
        <v>68</v>
      </c>
      <c r="Q2489">
        <v>100</v>
      </c>
      <c r="R2489">
        <v>70.7</v>
      </c>
      <c r="S2489" t="s">
        <v>69</v>
      </c>
    </row>
    <row r="2490" spans="1:19" x14ac:dyDescent="0.35">
      <c r="A2490">
        <v>32847</v>
      </c>
      <c r="B2490" t="str">
        <f>"032847"</f>
        <v>032847</v>
      </c>
      <c r="C2490" t="s">
        <v>8094</v>
      </c>
      <c r="D2490" t="s">
        <v>3400</v>
      </c>
      <c r="E2490" t="s">
        <v>3395</v>
      </c>
      <c r="F2490" t="s">
        <v>3396</v>
      </c>
      <c r="G2490" t="s">
        <v>63</v>
      </c>
      <c r="H2490" t="s">
        <v>8095</v>
      </c>
      <c r="I2490" t="s">
        <v>8096</v>
      </c>
      <c r="J2490" t="s">
        <v>1844</v>
      </c>
      <c r="K2490" t="s">
        <v>55</v>
      </c>
      <c r="L2490" t="s">
        <v>3915</v>
      </c>
      <c r="M2490" t="s">
        <v>57</v>
      </c>
      <c r="N2490" t="str">
        <f>"043794"</f>
        <v>043794</v>
      </c>
      <c r="O2490" t="s">
        <v>1912</v>
      </c>
      <c r="P2490" t="s">
        <v>68</v>
      </c>
      <c r="Q2490">
        <v>100</v>
      </c>
      <c r="R2490">
        <v>76.900000000000006</v>
      </c>
      <c r="S2490" t="s">
        <v>69</v>
      </c>
    </row>
    <row r="2491" spans="1:19" x14ac:dyDescent="0.35">
      <c r="A2491">
        <v>32854</v>
      </c>
      <c r="B2491" t="str">
        <f>"032854"</f>
        <v>032854</v>
      </c>
      <c r="C2491" t="s">
        <v>8097</v>
      </c>
      <c r="D2491" t="s">
        <v>3394</v>
      </c>
      <c r="E2491" t="s">
        <v>3395</v>
      </c>
      <c r="F2491" t="s">
        <v>3396</v>
      </c>
      <c r="G2491" t="s">
        <v>63</v>
      </c>
      <c r="H2491" t="s">
        <v>8098</v>
      </c>
      <c r="I2491" t="s">
        <v>8099</v>
      </c>
      <c r="J2491" t="s">
        <v>1863</v>
      </c>
      <c r="K2491" t="s">
        <v>55</v>
      </c>
      <c r="L2491" t="s">
        <v>1864</v>
      </c>
      <c r="M2491" t="s">
        <v>57</v>
      </c>
      <c r="N2491" t="str">
        <f>"046607"</f>
        <v>046607</v>
      </c>
      <c r="O2491" t="s">
        <v>1860</v>
      </c>
      <c r="P2491" t="s">
        <v>68</v>
      </c>
      <c r="Q2491">
        <v>13.1</v>
      </c>
      <c r="R2491">
        <v>54.4</v>
      </c>
      <c r="S2491" t="s">
        <v>69</v>
      </c>
    </row>
    <row r="2492" spans="1:19" x14ac:dyDescent="0.35">
      <c r="A2492">
        <v>32862</v>
      </c>
      <c r="B2492" t="str">
        <f>"032862"</f>
        <v>032862</v>
      </c>
      <c r="C2492" t="s">
        <v>8100</v>
      </c>
      <c r="D2492" t="s">
        <v>3394</v>
      </c>
      <c r="E2492" t="s">
        <v>3395</v>
      </c>
      <c r="F2492" t="s">
        <v>3396</v>
      </c>
      <c r="G2492" t="s">
        <v>600</v>
      </c>
      <c r="H2492" t="s">
        <v>8101</v>
      </c>
      <c r="I2492" t="s">
        <v>8102</v>
      </c>
      <c r="J2492" t="s">
        <v>2536</v>
      </c>
      <c r="K2492" t="s">
        <v>55</v>
      </c>
      <c r="L2492" t="s">
        <v>2537</v>
      </c>
      <c r="M2492" t="s">
        <v>57</v>
      </c>
      <c r="N2492" t="str">
        <f>"046961"</f>
        <v>046961</v>
      </c>
      <c r="O2492" t="s">
        <v>2533</v>
      </c>
      <c r="P2492" t="s">
        <v>68</v>
      </c>
      <c r="Q2492">
        <v>50.6</v>
      </c>
      <c r="R2492">
        <v>51.9</v>
      </c>
      <c r="S2492" t="s">
        <v>60</v>
      </c>
    </row>
    <row r="2493" spans="1:19" x14ac:dyDescent="0.35">
      <c r="A2493">
        <v>32904</v>
      </c>
      <c r="B2493" t="str">
        <f>"032904"</f>
        <v>032904</v>
      </c>
      <c r="C2493" t="s">
        <v>8103</v>
      </c>
      <c r="D2493" t="s">
        <v>3394</v>
      </c>
      <c r="E2493" t="s">
        <v>3395</v>
      </c>
      <c r="F2493" t="s">
        <v>3396</v>
      </c>
      <c r="G2493" t="s">
        <v>481</v>
      </c>
      <c r="H2493" t="s">
        <v>8104</v>
      </c>
      <c r="I2493" t="s">
        <v>8105</v>
      </c>
      <c r="J2493" t="s">
        <v>8106</v>
      </c>
      <c r="K2493" t="s">
        <v>55</v>
      </c>
      <c r="L2493" t="s">
        <v>775</v>
      </c>
      <c r="M2493" t="s">
        <v>57</v>
      </c>
      <c r="N2493" t="str">
        <f>"045104"</f>
        <v>045104</v>
      </c>
      <c r="O2493" t="s">
        <v>771</v>
      </c>
      <c r="P2493" t="s">
        <v>68</v>
      </c>
      <c r="Q2493">
        <v>44.1</v>
      </c>
      <c r="R2493">
        <v>29.700000000000003</v>
      </c>
      <c r="S2493" t="s">
        <v>69</v>
      </c>
    </row>
    <row r="2494" spans="1:19" x14ac:dyDescent="0.35">
      <c r="A2494">
        <v>32912</v>
      </c>
      <c r="B2494" t="str">
        <f>"032912"</f>
        <v>032912</v>
      </c>
      <c r="C2494" t="s">
        <v>8107</v>
      </c>
      <c r="D2494" t="s">
        <v>3394</v>
      </c>
      <c r="E2494" t="s">
        <v>3395</v>
      </c>
      <c r="F2494" t="s">
        <v>3396</v>
      </c>
      <c r="G2494" t="s">
        <v>63</v>
      </c>
      <c r="H2494" t="s">
        <v>8108</v>
      </c>
      <c r="I2494" t="s">
        <v>8109</v>
      </c>
      <c r="J2494" t="s">
        <v>1236</v>
      </c>
      <c r="K2494" t="s">
        <v>55</v>
      </c>
      <c r="L2494" t="s">
        <v>1237</v>
      </c>
      <c r="M2494" t="s">
        <v>57</v>
      </c>
      <c r="N2494" t="str">
        <f>"043901"</f>
        <v>043901</v>
      </c>
      <c r="O2494" t="s">
        <v>3351</v>
      </c>
      <c r="P2494" t="s">
        <v>68</v>
      </c>
      <c r="Q2494">
        <v>100</v>
      </c>
      <c r="R2494">
        <v>100</v>
      </c>
      <c r="S2494" t="s">
        <v>69</v>
      </c>
    </row>
    <row r="2495" spans="1:19" x14ac:dyDescent="0.35">
      <c r="A2495">
        <v>32920</v>
      </c>
      <c r="B2495" t="str">
        <f>"032920"</f>
        <v>032920</v>
      </c>
      <c r="C2495" t="s">
        <v>8110</v>
      </c>
      <c r="D2495" t="s">
        <v>3506</v>
      </c>
      <c r="E2495" t="s">
        <v>3395</v>
      </c>
      <c r="F2495" t="s">
        <v>3396</v>
      </c>
      <c r="G2495" t="s">
        <v>226</v>
      </c>
      <c r="H2495" t="s">
        <v>8111</v>
      </c>
      <c r="I2495" t="s">
        <v>8112</v>
      </c>
      <c r="J2495" t="s">
        <v>810</v>
      </c>
      <c r="K2495" t="s">
        <v>55</v>
      </c>
      <c r="L2495" t="s">
        <v>811</v>
      </c>
      <c r="M2495" t="s">
        <v>57</v>
      </c>
      <c r="N2495" t="str">
        <f>"050724"</f>
        <v>050724</v>
      </c>
      <c r="O2495" t="s">
        <v>807</v>
      </c>
      <c r="P2495" t="s">
        <v>68</v>
      </c>
      <c r="Q2495">
        <v>18.100000000000001</v>
      </c>
      <c r="R2495">
        <v>9.9000000000000057</v>
      </c>
      <c r="S2495" t="s">
        <v>156</v>
      </c>
    </row>
    <row r="2496" spans="1:19" x14ac:dyDescent="0.35">
      <c r="A2496">
        <v>32938</v>
      </c>
      <c r="B2496" t="str">
        <f>"032938"</f>
        <v>032938</v>
      </c>
      <c r="C2496" t="s">
        <v>8113</v>
      </c>
      <c r="D2496" t="s">
        <v>3506</v>
      </c>
      <c r="E2496" t="s">
        <v>3395</v>
      </c>
      <c r="F2496" t="s">
        <v>3396</v>
      </c>
      <c r="G2496" t="s">
        <v>219</v>
      </c>
      <c r="H2496" t="s">
        <v>220</v>
      </c>
      <c r="I2496" t="s">
        <v>221</v>
      </c>
      <c r="J2496" t="s">
        <v>222</v>
      </c>
      <c r="K2496" t="s">
        <v>55</v>
      </c>
      <c r="L2496" t="s">
        <v>223</v>
      </c>
      <c r="M2496" t="s">
        <v>57</v>
      </c>
      <c r="N2496" t="str">
        <f>"049601"</f>
        <v>049601</v>
      </c>
      <c r="O2496" t="s">
        <v>218</v>
      </c>
      <c r="P2496" t="s">
        <v>68</v>
      </c>
      <c r="Q2496">
        <v>60.3</v>
      </c>
      <c r="R2496">
        <v>8.7999999999999972</v>
      </c>
      <c r="S2496" t="s">
        <v>130</v>
      </c>
    </row>
    <row r="2497" spans="1:19" x14ac:dyDescent="0.35">
      <c r="A2497">
        <v>32961</v>
      </c>
      <c r="B2497" t="str">
        <f>"032961"</f>
        <v>032961</v>
      </c>
      <c r="C2497" t="s">
        <v>8114</v>
      </c>
      <c r="D2497" t="s">
        <v>3394</v>
      </c>
      <c r="E2497" t="s">
        <v>3395</v>
      </c>
      <c r="F2497" t="s">
        <v>3396</v>
      </c>
      <c r="G2497" t="s">
        <v>543</v>
      </c>
      <c r="H2497" t="s">
        <v>8115</v>
      </c>
      <c r="I2497" t="s">
        <v>8116</v>
      </c>
      <c r="J2497" t="s">
        <v>1252</v>
      </c>
      <c r="K2497" t="s">
        <v>55</v>
      </c>
      <c r="L2497" t="s">
        <v>1253</v>
      </c>
      <c r="M2497" t="s">
        <v>57</v>
      </c>
      <c r="N2497" t="str">
        <f>"048751"</f>
        <v>048751</v>
      </c>
      <c r="O2497" t="s">
        <v>1249</v>
      </c>
      <c r="P2497" t="s">
        <v>68</v>
      </c>
      <c r="Q2497">
        <v>54.5</v>
      </c>
      <c r="R2497">
        <v>44.4</v>
      </c>
      <c r="S2497" t="s">
        <v>180</v>
      </c>
    </row>
    <row r="2498" spans="1:19" x14ac:dyDescent="0.35">
      <c r="A2498">
        <v>33027</v>
      </c>
      <c r="B2498" t="str">
        <f>"033027"</f>
        <v>033027</v>
      </c>
      <c r="C2498" t="s">
        <v>8117</v>
      </c>
      <c r="D2498" t="s">
        <v>3394</v>
      </c>
      <c r="E2498" t="s">
        <v>3395</v>
      </c>
      <c r="F2498" t="s">
        <v>3396</v>
      </c>
      <c r="G2498" t="s">
        <v>543</v>
      </c>
      <c r="H2498" t="s">
        <v>8118</v>
      </c>
      <c r="I2498" t="s">
        <v>8119</v>
      </c>
      <c r="J2498" t="s">
        <v>3204</v>
      </c>
      <c r="K2498" t="s">
        <v>55</v>
      </c>
      <c r="L2498" t="s">
        <v>3205</v>
      </c>
      <c r="M2498" t="s">
        <v>57</v>
      </c>
      <c r="N2498" t="str">
        <f>"045054"</f>
        <v>045054</v>
      </c>
      <c r="O2498" t="s">
        <v>3201</v>
      </c>
      <c r="P2498" t="s">
        <v>68</v>
      </c>
      <c r="Q2498">
        <v>70.599999999999994</v>
      </c>
      <c r="R2498">
        <v>47.7</v>
      </c>
      <c r="S2498" t="s">
        <v>180</v>
      </c>
    </row>
    <row r="2499" spans="1:19" x14ac:dyDescent="0.35">
      <c r="A2499">
        <v>33043</v>
      </c>
      <c r="B2499" t="str">
        <f>"033043"</f>
        <v>033043</v>
      </c>
      <c r="C2499" t="s">
        <v>8120</v>
      </c>
      <c r="D2499" t="s">
        <v>3394</v>
      </c>
      <c r="E2499" t="s">
        <v>3395</v>
      </c>
      <c r="F2499" t="s">
        <v>3396</v>
      </c>
      <c r="G2499" t="s">
        <v>572</v>
      </c>
      <c r="H2499" t="s">
        <v>803</v>
      </c>
      <c r="I2499" t="s">
        <v>804</v>
      </c>
      <c r="J2499" t="s">
        <v>805</v>
      </c>
      <c r="K2499" t="s">
        <v>55</v>
      </c>
      <c r="L2499" t="s">
        <v>806</v>
      </c>
      <c r="M2499" t="s">
        <v>57</v>
      </c>
      <c r="N2499" t="str">
        <f>"049817"</f>
        <v>049817</v>
      </c>
      <c r="O2499" t="s">
        <v>802</v>
      </c>
      <c r="P2499" t="s">
        <v>68</v>
      </c>
      <c r="Q2499">
        <v>6.3</v>
      </c>
      <c r="R2499">
        <v>4.5</v>
      </c>
      <c r="S2499" t="s">
        <v>180</v>
      </c>
    </row>
    <row r="2500" spans="1:19" x14ac:dyDescent="0.35">
      <c r="A2500">
        <v>33050</v>
      </c>
      <c r="B2500" t="str">
        <f>"033050"</f>
        <v>033050</v>
      </c>
      <c r="C2500" t="s">
        <v>8121</v>
      </c>
      <c r="D2500" t="s">
        <v>3398</v>
      </c>
      <c r="E2500" t="s">
        <v>3395</v>
      </c>
      <c r="F2500" t="s">
        <v>3396</v>
      </c>
      <c r="G2500" t="s">
        <v>572</v>
      </c>
      <c r="H2500" t="s">
        <v>803</v>
      </c>
      <c r="I2500" t="s">
        <v>804</v>
      </c>
      <c r="J2500" t="s">
        <v>805</v>
      </c>
      <c r="K2500" t="s">
        <v>55</v>
      </c>
      <c r="L2500" t="s">
        <v>806</v>
      </c>
      <c r="M2500" t="s">
        <v>57</v>
      </c>
      <c r="N2500" t="str">
        <f>"049817"</f>
        <v>049817</v>
      </c>
      <c r="O2500" t="s">
        <v>802</v>
      </c>
      <c r="P2500" t="s">
        <v>68</v>
      </c>
      <c r="Q2500">
        <v>6.1</v>
      </c>
      <c r="R2500">
        <v>3.9000000000000057</v>
      </c>
      <c r="S2500" t="s">
        <v>180</v>
      </c>
    </row>
    <row r="2501" spans="1:19" x14ac:dyDescent="0.35">
      <c r="A2501">
        <v>33084</v>
      </c>
      <c r="B2501" t="str">
        <f>"033084"</f>
        <v>033084</v>
      </c>
      <c r="C2501" t="s">
        <v>8122</v>
      </c>
      <c r="D2501" t="s">
        <v>3398</v>
      </c>
      <c r="E2501" t="s">
        <v>3395</v>
      </c>
      <c r="F2501" t="s">
        <v>3396</v>
      </c>
      <c r="G2501" t="s">
        <v>52</v>
      </c>
      <c r="H2501" t="s">
        <v>8123</v>
      </c>
      <c r="I2501" t="s">
        <v>8124</v>
      </c>
      <c r="J2501" t="s">
        <v>52</v>
      </c>
      <c r="K2501" t="s">
        <v>55</v>
      </c>
      <c r="L2501" t="s">
        <v>56</v>
      </c>
      <c r="M2501" t="s">
        <v>57</v>
      </c>
      <c r="N2501" t="str">
        <f>"043877"</f>
        <v>043877</v>
      </c>
      <c r="O2501" t="s">
        <v>48</v>
      </c>
      <c r="P2501" t="s">
        <v>68</v>
      </c>
      <c r="Q2501">
        <v>24.2</v>
      </c>
      <c r="R2501">
        <v>23.299999999999997</v>
      </c>
      <c r="S2501" t="s">
        <v>60</v>
      </c>
    </row>
    <row r="2502" spans="1:19" x14ac:dyDescent="0.35">
      <c r="A2502">
        <v>33126</v>
      </c>
      <c r="B2502" t="str">
        <f>"033126"</f>
        <v>033126</v>
      </c>
      <c r="C2502" t="s">
        <v>8125</v>
      </c>
      <c r="D2502" t="s">
        <v>3400</v>
      </c>
      <c r="E2502" t="s">
        <v>3395</v>
      </c>
      <c r="F2502" t="s">
        <v>3396</v>
      </c>
      <c r="G2502" t="s">
        <v>143</v>
      </c>
      <c r="H2502" t="s">
        <v>5215</v>
      </c>
      <c r="I2502" t="s">
        <v>5216</v>
      </c>
      <c r="J2502" t="s">
        <v>166</v>
      </c>
      <c r="K2502" t="s">
        <v>55</v>
      </c>
      <c r="L2502" t="s">
        <v>167</v>
      </c>
      <c r="M2502" t="s">
        <v>57</v>
      </c>
      <c r="N2502" t="str">
        <f>"048157"</f>
        <v>048157</v>
      </c>
      <c r="O2502" t="s">
        <v>2140</v>
      </c>
      <c r="P2502" t="s">
        <v>68</v>
      </c>
      <c r="Q2502">
        <v>39.4</v>
      </c>
      <c r="R2502">
        <v>10.400000000000006</v>
      </c>
      <c r="S2502" t="s">
        <v>69</v>
      </c>
    </row>
    <row r="2503" spans="1:19" x14ac:dyDescent="0.35">
      <c r="A2503">
        <v>33134</v>
      </c>
      <c r="B2503" t="str">
        <f>"033134"</f>
        <v>033134</v>
      </c>
      <c r="C2503" t="s">
        <v>8126</v>
      </c>
      <c r="D2503" t="s">
        <v>3394</v>
      </c>
      <c r="E2503" t="s">
        <v>3395</v>
      </c>
      <c r="F2503" t="s">
        <v>3396</v>
      </c>
      <c r="G2503" t="s">
        <v>212</v>
      </c>
      <c r="H2503" t="s">
        <v>8127</v>
      </c>
      <c r="I2503" t="s">
        <v>8128</v>
      </c>
      <c r="J2503" t="s">
        <v>215</v>
      </c>
      <c r="K2503" t="s">
        <v>55</v>
      </c>
      <c r="L2503" t="s">
        <v>7168</v>
      </c>
      <c r="M2503" t="s">
        <v>57</v>
      </c>
      <c r="N2503" t="str">
        <f>"043752"</f>
        <v>043752</v>
      </c>
      <c r="O2503" t="s">
        <v>440</v>
      </c>
      <c r="P2503" t="s">
        <v>68</v>
      </c>
      <c r="Q2503">
        <v>99.7</v>
      </c>
      <c r="R2503">
        <v>100</v>
      </c>
      <c r="S2503" t="s">
        <v>217</v>
      </c>
    </row>
    <row r="2504" spans="1:19" x14ac:dyDescent="0.35">
      <c r="A2504">
        <v>33167</v>
      </c>
      <c r="B2504" t="str">
        <f>"033167"</f>
        <v>033167</v>
      </c>
      <c r="C2504" t="s">
        <v>8129</v>
      </c>
      <c r="D2504" t="s">
        <v>3394</v>
      </c>
      <c r="E2504" t="s">
        <v>3395</v>
      </c>
      <c r="F2504" t="s">
        <v>3396</v>
      </c>
      <c r="G2504" t="s">
        <v>1702</v>
      </c>
      <c r="H2504" t="s">
        <v>8130</v>
      </c>
      <c r="I2504" t="s">
        <v>8131</v>
      </c>
      <c r="J2504" t="s">
        <v>2651</v>
      </c>
      <c r="K2504" t="s">
        <v>55</v>
      </c>
      <c r="L2504" t="s">
        <v>2652</v>
      </c>
      <c r="M2504" t="s">
        <v>57</v>
      </c>
      <c r="N2504" t="str">
        <f>"045625"</f>
        <v>045625</v>
      </c>
      <c r="O2504" t="s">
        <v>2648</v>
      </c>
      <c r="P2504" t="s">
        <v>68</v>
      </c>
      <c r="Q2504">
        <v>44.4</v>
      </c>
      <c r="R2504">
        <v>15</v>
      </c>
      <c r="S2504" t="s">
        <v>156</v>
      </c>
    </row>
    <row r="2505" spans="1:19" x14ac:dyDescent="0.35">
      <c r="A2505">
        <v>33191</v>
      </c>
      <c r="B2505" t="str">
        <f>"033191"</f>
        <v>033191</v>
      </c>
      <c r="C2505" t="s">
        <v>8132</v>
      </c>
      <c r="D2505" t="s">
        <v>3394</v>
      </c>
      <c r="E2505" t="s">
        <v>3395</v>
      </c>
      <c r="F2505" t="s">
        <v>3396</v>
      </c>
      <c r="G2505" t="s">
        <v>600</v>
      </c>
      <c r="H2505" t="s">
        <v>8133</v>
      </c>
      <c r="I2505" t="s">
        <v>8134</v>
      </c>
      <c r="J2505" t="s">
        <v>1136</v>
      </c>
      <c r="K2505" t="s">
        <v>55</v>
      </c>
      <c r="L2505" t="s">
        <v>1137</v>
      </c>
      <c r="M2505" t="s">
        <v>57</v>
      </c>
      <c r="N2505" t="str">
        <f>"044800"</f>
        <v>044800</v>
      </c>
      <c r="O2505" t="s">
        <v>1133</v>
      </c>
      <c r="P2505" t="s">
        <v>68</v>
      </c>
      <c r="Q2505">
        <v>60.4</v>
      </c>
      <c r="R2505">
        <v>39.799999999999997</v>
      </c>
      <c r="S2505" t="s">
        <v>60</v>
      </c>
    </row>
    <row r="2506" spans="1:19" x14ac:dyDescent="0.35">
      <c r="A2506">
        <v>33217</v>
      </c>
      <c r="B2506" t="str">
        <f>"033217"</f>
        <v>033217</v>
      </c>
      <c r="C2506" t="s">
        <v>8135</v>
      </c>
      <c r="D2506" t="s">
        <v>3394</v>
      </c>
      <c r="E2506" t="s">
        <v>3395</v>
      </c>
      <c r="F2506" t="s">
        <v>3396</v>
      </c>
      <c r="G2506" t="s">
        <v>172</v>
      </c>
      <c r="H2506" t="s">
        <v>8136</v>
      </c>
      <c r="I2506" t="s">
        <v>8137</v>
      </c>
      <c r="J2506" t="s">
        <v>1853</v>
      </c>
      <c r="K2506" t="s">
        <v>55</v>
      </c>
      <c r="L2506" t="s">
        <v>1854</v>
      </c>
      <c r="M2506" t="s">
        <v>57</v>
      </c>
      <c r="N2506" t="str">
        <f>"050435"</f>
        <v>050435</v>
      </c>
      <c r="O2506" t="s">
        <v>577</v>
      </c>
      <c r="P2506" t="s">
        <v>68</v>
      </c>
      <c r="Q2506">
        <v>27.6</v>
      </c>
      <c r="R2506">
        <v>20.299999999999997</v>
      </c>
      <c r="S2506" t="s">
        <v>217</v>
      </c>
    </row>
    <row r="2507" spans="1:19" x14ac:dyDescent="0.35">
      <c r="A2507">
        <v>33241</v>
      </c>
      <c r="B2507" t="str">
        <f>"033241"</f>
        <v>033241</v>
      </c>
      <c r="C2507" t="s">
        <v>8138</v>
      </c>
      <c r="D2507" t="s">
        <v>3394</v>
      </c>
      <c r="E2507" t="s">
        <v>3395</v>
      </c>
      <c r="F2507" t="s">
        <v>3396</v>
      </c>
      <c r="G2507" t="s">
        <v>400</v>
      </c>
      <c r="H2507" t="s">
        <v>8139</v>
      </c>
      <c r="I2507" t="s">
        <v>8140</v>
      </c>
      <c r="J2507" t="s">
        <v>403</v>
      </c>
      <c r="K2507" t="s">
        <v>55</v>
      </c>
      <c r="L2507" t="s">
        <v>404</v>
      </c>
      <c r="M2507" t="s">
        <v>57</v>
      </c>
      <c r="N2507" t="str">
        <f>"045302"</f>
        <v>045302</v>
      </c>
      <c r="O2507" t="s">
        <v>399</v>
      </c>
      <c r="P2507" t="s">
        <v>68</v>
      </c>
      <c r="Q2507">
        <v>38.5</v>
      </c>
      <c r="R2507">
        <v>17.200000000000003</v>
      </c>
      <c r="S2507" t="s">
        <v>156</v>
      </c>
    </row>
    <row r="2508" spans="1:19" x14ac:dyDescent="0.35">
      <c r="A2508">
        <v>33258</v>
      </c>
      <c r="B2508" t="str">
        <f>"033258"</f>
        <v>033258</v>
      </c>
      <c r="C2508" t="s">
        <v>8141</v>
      </c>
      <c r="D2508" t="s">
        <v>3394</v>
      </c>
      <c r="E2508" t="s">
        <v>3395</v>
      </c>
      <c r="F2508" t="s">
        <v>3396</v>
      </c>
      <c r="G2508" t="s">
        <v>600</v>
      </c>
      <c r="H2508" t="s">
        <v>8142</v>
      </c>
      <c r="I2508" t="s">
        <v>8143</v>
      </c>
      <c r="J2508" t="s">
        <v>1348</v>
      </c>
      <c r="K2508" t="s">
        <v>55</v>
      </c>
      <c r="L2508" t="s">
        <v>4810</v>
      </c>
      <c r="M2508" t="s">
        <v>57</v>
      </c>
      <c r="N2508" t="str">
        <f>"043802"</f>
        <v>043802</v>
      </c>
      <c r="O2508" t="s">
        <v>3171</v>
      </c>
      <c r="P2508" t="s">
        <v>68</v>
      </c>
      <c r="Q2508">
        <v>100</v>
      </c>
      <c r="R2508">
        <v>95.7</v>
      </c>
      <c r="S2508" t="s">
        <v>60</v>
      </c>
    </row>
    <row r="2509" spans="1:19" x14ac:dyDescent="0.35">
      <c r="A2509">
        <v>33274</v>
      </c>
      <c r="B2509" t="str">
        <f>"033274"</f>
        <v>033274</v>
      </c>
      <c r="C2509" t="s">
        <v>8144</v>
      </c>
      <c r="D2509" t="s">
        <v>3394</v>
      </c>
      <c r="E2509" t="s">
        <v>3395</v>
      </c>
      <c r="F2509" t="s">
        <v>3396</v>
      </c>
      <c r="G2509" t="s">
        <v>1335</v>
      </c>
      <c r="H2509" t="s">
        <v>8145</v>
      </c>
      <c r="I2509" t="s">
        <v>8146</v>
      </c>
      <c r="J2509" t="s">
        <v>2859</v>
      </c>
      <c r="K2509" t="s">
        <v>55</v>
      </c>
      <c r="L2509" t="s">
        <v>2860</v>
      </c>
      <c r="M2509" t="s">
        <v>57</v>
      </c>
      <c r="N2509" t="str">
        <f>"047951"</f>
        <v>047951</v>
      </c>
      <c r="O2509" t="s">
        <v>2856</v>
      </c>
      <c r="P2509" t="s">
        <v>68</v>
      </c>
      <c r="Q2509">
        <v>97.6</v>
      </c>
      <c r="R2509">
        <v>14.299999999999997</v>
      </c>
      <c r="S2509" t="s">
        <v>130</v>
      </c>
    </row>
    <row r="2510" spans="1:19" x14ac:dyDescent="0.35">
      <c r="A2510">
        <v>33282</v>
      </c>
      <c r="B2510" t="str">
        <f>"033282"</f>
        <v>033282</v>
      </c>
      <c r="C2510" t="s">
        <v>8147</v>
      </c>
      <c r="D2510" t="s">
        <v>3398</v>
      </c>
      <c r="E2510" t="s">
        <v>3395</v>
      </c>
      <c r="F2510" t="s">
        <v>3396</v>
      </c>
      <c r="G2510" t="s">
        <v>1335</v>
      </c>
      <c r="H2510" t="s">
        <v>8148</v>
      </c>
      <c r="I2510" t="s">
        <v>8149</v>
      </c>
      <c r="J2510" t="s">
        <v>2859</v>
      </c>
      <c r="K2510" t="s">
        <v>55</v>
      </c>
      <c r="L2510" t="s">
        <v>2860</v>
      </c>
      <c r="M2510" t="s">
        <v>57</v>
      </c>
      <c r="N2510" t="str">
        <f>"047951"</f>
        <v>047951</v>
      </c>
      <c r="O2510" t="s">
        <v>2856</v>
      </c>
      <c r="P2510" t="s">
        <v>68</v>
      </c>
      <c r="Q2510">
        <v>86.4</v>
      </c>
      <c r="R2510">
        <v>19.400000000000006</v>
      </c>
      <c r="S2510" t="s">
        <v>130</v>
      </c>
    </row>
    <row r="2511" spans="1:19" x14ac:dyDescent="0.35">
      <c r="A2511">
        <v>33290</v>
      </c>
      <c r="B2511" t="str">
        <f>"033290"</f>
        <v>033290</v>
      </c>
      <c r="C2511" t="s">
        <v>8150</v>
      </c>
      <c r="D2511" t="s">
        <v>3400</v>
      </c>
      <c r="E2511" t="s">
        <v>3395</v>
      </c>
      <c r="F2511" t="s">
        <v>3396</v>
      </c>
      <c r="G2511" t="s">
        <v>1335</v>
      </c>
      <c r="H2511" t="s">
        <v>8148</v>
      </c>
      <c r="I2511" t="s">
        <v>8149</v>
      </c>
      <c r="J2511" t="s">
        <v>2859</v>
      </c>
      <c r="K2511" t="s">
        <v>55</v>
      </c>
      <c r="L2511" t="s">
        <v>2860</v>
      </c>
      <c r="M2511" t="s">
        <v>57</v>
      </c>
      <c r="N2511" t="str">
        <f>"047951"</f>
        <v>047951</v>
      </c>
      <c r="O2511" t="s">
        <v>2856</v>
      </c>
      <c r="P2511" t="s">
        <v>68</v>
      </c>
      <c r="Q2511">
        <v>85.8</v>
      </c>
      <c r="R2511">
        <v>15.400000000000006</v>
      </c>
      <c r="S2511" t="s">
        <v>130</v>
      </c>
    </row>
    <row r="2512" spans="1:19" x14ac:dyDescent="0.35">
      <c r="A2512">
        <v>33340</v>
      </c>
      <c r="B2512" t="str">
        <f>"033340"</f>
        <v>033340</v>
      </c>
      <c r="C2512" t="s">
        <v>8151</v>
      </c>
      <c r="D2512" t="s">
        <v>3400</v>
      </c>
      <c r="E2512" t="s">
        <v>3395</v>
      </c>
      <c r="F2512" t="s">
        <v>3396</v>
      </c>
      <c r="G2512" t="s">
        <v>536</v>
      </c>
      <c r="H2512" t="s">
        <v>8152</v>
      </c>
      <c r="I2512" t="s">
        <v>8153</v>
      </c>
      <c r="J2512" t="s">
        <v>536</v>
      </c>
      <c r="K2512" t="s">
        <v>55</v>
      </c>
      <c r="L2512" t="s">
        <v>2227</v>
      </c>
      <c r="M2512" t="s">
        <v>57</v>
      </c>
      <c r="N2512" t="str">
        <f>"045328"</f>
        <v>045328</v>
      </c>
      <c r="O2512" t="s">
        <v>3311</v>
      </c>
      <c r="P2512" t="s">
        <v>68</v>
      </c>
      <c r="Q2512">
        <v>21</v>
      </c>
      <c r="R2512">
        <v>7.9000000000000057</v>
      </c>
      <c r="S2512" t="s">
        <v>77</v>
      </c>
    </row>
    <row r="2513" spans="1:19" x14ac:dyDescent="0.35">
      <c r="A2513">
        <v>33399</v>
      </c>
      <c r="B2513" t="str">
        <f>"033399"</f>
        <v>033399</v>
      </c>
      <c r="C2513" t="s">
        <v>8154</v>
      </c>
      <c r="D2513" t="s">
        <v>3394</v>
      </c>
      <c r="E2513" t="s">
        <v>3395</v>
      </c>
      <c r="F2513" t="s">
        <v>3396</v>
      </c>
      <c r="G2513" t="s">
        <v>250</v>
      </c>
      <c r="H2513" t="s">
        <v>8155</v>
      </c>
      <c r="I2513" t="s">
        <v>8156</v>
      </c>
      <c r="J2513" t="s">
        <v>1055</v>
      </c>
      <c r="K2513" t="s">
        <v>55</v>
      </c>
      <c r="L2513" t="s">
        <v>1056</v>
      </c>
      <c r="M2513" t="s">
        <v>57</v>
      </c>
      <c r="N2513" t="str">
        <f>"046409"</f>
        <v>046409</v>
      </c>
      <c r="O2513" t="s">
        <v>1052</v>
      </c>
      <c r="P2513" t="s">
        <v>68</v>
      </c>
      <c r="Q2513">
        <v>58</v>
      </c>
      <c r="R2513">
        <v>6.2999999999999972</v>
      </c>
      <c r="S2513" t="s">
        <v>60</v>
      </c>
    </row>
    <row r="2514" spans="1:19" x14ac:dyDescent="0.35">
      <c r="A2514">
        <v>33431</v>
      </c>
      <c r="B2514" t="str">
        <f>"033431"</f>
        <v>033431</v>
      </c>
      <c r="C2514" t="s">
        <v>8157</v>
      </c>
      <c r="D2514" t="s">
        <v>3506</v>
      </c>
      <c r="E2514" t="s">
        <v>3395</v>
      </c>
      <c r="F2514" t="s">
        <v>3396</v>
      </c>
      <c r="G2514" t="s">
        <v>536</v>
      </c>
      <c r="H2514" t="s">
        <v>8158</v>
      </c>
      <c r="I2514" t="s">
        <v>8159</v>
      </c>
      <c r="J2514" t="s">
        <v>2351</v>
      </c>
      <c r="K2514" t="s">
        <v>55</v>
      </c>
      <c r="L2514" t="s">
        <v>2352</v>
      </c>
      <c r="M2514" t="s">
        <v>57</v>
      </c>
      <c r="N2514" t="str">
        <f>"044735"</f>
        <v>044735</v>
      </c>
      <c r="O2514" t="s">
        <v>2348</v>
      </c>
      <c r="P2514" t="s">
        <v>68</v>
      </c>
      <c r="Q2514">
        <v>55.1</v>
      </c>
      <c r="R2514">
        <v>11.5</v>
      </c>
      <c r="S2514" t="s">
        <v>77</v>
      </c>
    </row>
    <row r="2515" spans="1:19" x14ac:dyDescent="0.35">
      <c r="A2515">
        <v>33464</v>
      </c>
      <c r="B2515" t="str">
        <f>"033464"</f>
        <v>033464</v>
      </c>
      <c r="C2515" t="s">
        <v>8160</v>
      </c>
      <c r="D2515" t="s">
        <v>3394</v>
      </c>
      <c r="E2515" t="s">
        <v>3395</v>
      </c>
      <c r="F2515" t="s">
        <v>3396</v>
      </c>
      <c r="G2515" t="s">
        <v>600</v>
      </c>
      <c r="H2515" t="s">
        <v>8161</v>
      </c>
      <c r="I2515" t="s">
        <v>8162</v>
      </c>
      <c r="J2515" t="s">
        <v>1348</v>
      </c>
      <c r="K2515" t="s">
        <v>55</v>
      </c>
      <c r="L2515" t="s">
        <v>3462</v>
      </c>
      <c r="M2515" t="s">
        <v>57</v>
      </c>
      <c r="N2515" t="str">
        <f>"043802"</f>
        <v>043802</v>
      </c>
      <c r="O2515" t="s">
        <v>3171</v>
      </c>
      <c r="P2515" t="s">
        <v>68</v>
      </c>
      <c r="Q2515">
        <v>100</v>
      </c>
      <c r="R2515">
        <v>79.8</v>
      </c>
      <c r="S2515" t="s">
        <v>60</v>
      </c>
    </row>
    <row r="2516" spans="1:19" x14ac:dyDescent="0.35">
      <c r="A2516">
        <v>33472</v>
      </c>
      <c r="B2516" t="str">
        <f>"033472"</f>
        <v>033472</v>
      </c>
      <c r="C2516" t="s">
        <v>8163</v>
      </c>
      <c r="D2516" t="s">
        <v>3398</v>
      </c>
      <c r="E2516" t="s">
        <v>3395</v>
      </c>
      <c r="F2516" t="s">
        <v>3396</v>
      </c>
      <c r="G2516" t="s">
        <v>536</v>
      </c>
      <c r="H2516" t="s">
        <v>8158</v>
      </c>
      <c r="I2516" t="s">
        <v>8159</v>
      </c>
      <c r="J2516" t="s">
        <v>2351</v>
      </c>
      <c r="K2516" t="s">
        <v>55</v>
      </c>
      <c r="L2516" t="s">
        <v>2352</v>
      </c>
      <c r="M2516" t="s">
        <v>57</v>
      </c>
      <c r="N2516" t="str">
        <f>"044735"</f>
        <v>044735</v>
      </c>
      <c r="O2516" t="s">
        <v>2348</v>
      </c>
      <c r="P2516" t="s">
        <v>68</v>
      </c>
      <c r="Q2516">
        <v>43.1</v>
      </c>
      <c r="R2516">
        <v>13.5</v>
      </c>
      <c r="S2516" t="s">
        <v>77</v>
      </c>
    </row>
    <row r="2517" spans="1:19" x14ac:dyDescent="0.35">
      <c r="A2517">
        <v>33480</v>
      </c>
      <c r="B2517" t="str">
        <f>"033480"</f>
        <v>033480</v>
      </c>
      <c r="C2517" t="s">
        <v>8164</v>
      </c>
      <c r="D2517" t="s">
        <v>3394</v>
      </c>
      <c r="E2517" t="s">
        <v>3395</v>
      </c>
      <c r="F2517" t="s">
        <v>3396</v>
      </c>
      <c r="G2517" t="s">
        <v>124</v>
      </c>
      <c r="H2517" t="s">
        <v>8165</v>
      </c>
      <c r="I2517" t="s">
        <v>8166</v>
      </c>
      <c r="J2517" t="s">
        <v>8167</v>
      </c>
      <c r="K2517" t="s">
        <v>55</v>
      </c>
      <c r="L2517" t="s">
        <v>8168</v>
      </c>
      <c r="M2517" t="s">
        <v>57</v>
      </c>
      <c r="N2517" t="str">
        <f>"050484"</f>
        <v>050484</v>
      </c>
      <c r="O2517" t="s">
        <v>2911</v>
      </c>
      <c r="P2517" t="s">
        <v>68</v>
      </c>
      <c r="Q2517">
        <v>46.8</v>
      </c>
      <c r="R2517">
        <v>10.099999999999994</v>
      </c>
      <c r="S2517" t="s">
        <v>130</v>
      </c>
    </row>
    <row r="2518" spans="1:19" x14ac:dyDescent="0.35">
      <c r="A2518">
        <v>33498</v>
      </c>
      <c r="B2518" t="str">
        <f>"033498"</f>
        <v>033498</v>
      </c>
      <c r="C2518" t="s">
        <v>8169</v>
      </c>
      <c r="D2518" t="s">
        <v>3394</v>
      </c>
      <c r="E2518" t="s">
        <v>3395</v>
      </c>
      <c r="F2518" t="s">
        <v>3396</v>
      </c>
      <c r="G2518" t="s">
        <v>536</v>
      </c>
      <c r="H2518" t="s">
        <v>8170</v>
      </c>
      <c r="I2518" t="s">
        <v>8171</v>
      </c>
      <c r="J2518" t="s">
        <v>2360</v>
      </c>
      <c r="K2518" t="s">
        <v>55</v>
      </c>
      <c r="L2518" t="s">
        <v>2361</v>
      </c>
      <c r="M2518" t="s">
        <v>57</v>
      </c>
      <c r="N2518" t="str">
        <f>"046441"</f>
        <v>046441</v>
      </c>
      <c r="O2518" t="s">
        <v>2238</v>
      </c>
      <c r="P2518" t="s">
        <v>68</v>
      </c>
      <c r="Q2518">
        <v>100</v>
      </c>
      <c r="R2518">
        <v>7.7999999999999972</v>
      </c>
      <c r="S2518" t="s">
        <v>77</v>
      </c>
    </row>
    <row r="2519" spans="1:19" x14ac:dyDescent="0.35">
      <c r="A2519">
        <v>33530</v>
      </c>
      <c r="B2519" t="str">
        <f>"033530"</f>
        <v>033530</v>
      </c>
      <c r="C2519" t="s">
        <v>8172</v>
      </c>
      <c r="D2519" t="s">
        <v>3394</v>
      </c>
      <c r="E2519" t="s">
        <v>3395</v>
      </c>
      <c r="F2519" t="s">
        <v>3396</v>
      </c>
      <c r="G2519" t="s">
        <v>212</v>
      </c>
      <c r="H2519" t="s">
        <v>8173</v>
      </c>
      <c r="I2519" t="s">
        <v>8174</v>
      </c>
      <c r="J2519" t="s">
        <v>215</v>
      </c>
      <c r="K2519" t="s">
        <v>55</v>
      </c>
      <c r="L2519" t="s">
        <v>6589</v>
      </c>
      <c r="M2519" t="s">
        <v>57</v>
      </c>
      <c r="N2519" t="str">
        <f>"043752"</f>
        <v>043752</v>
      </c>
      <c r="O2519" t="s">
        <v>440</v>
      </c>
      <c r="P2519" t="s">
        <v>68</v>
      </c>
      <c r="Q2519">
        <v>22.4</v>
      </c>
      <c r="R2519">
        <v>30.5</v>
      </c>
      <c r="S2519" t="s">
        <v>217</v>
      </c>
    </row>
    <row r="2520" spans="1:19" x14ac:dyDescent="0.35">
      <c r="A2520">
        <v>33548</v>
      </c>
      <c r="B2520" t="str">
        <f>"033548"</f>
        <v>033548</v>
      </c>
      <c r="C2520" t="s">
        <v>8175</v>
      </c>
      <c r="D2520" t="s">
        <v>3394</v>
      </c>
      <c r="E2520" t="s">
        <v>3395</v>
      </c>
      <c r="F2520" t="s">
        <v>3396</v>
      </c>
      <c r="G2520" t="s">
        <v>63</v>
      </c>
      <c r="H2520" t="s">
        <v>8176</v>
      </c>
      <c r="I2520" t="s">
        <v>8177</v>
      </c>
      <c r="J2520" t="s">
        <v>1049</v>
      </c>
      <c r="K2520" t="s">
        <v>55</v>
      </c>
      <c r="L2520" t="s">
        <v>2330</v>
      </c>
      <c r="M2520" t="s">
        <v>57</v>
      </c>
      <c r="N2520" t="str">
        <f>"045286"</f>
        <v>045286</v>
      </c>
      <c r="O2520" t="s">
        <v>2327</v>
      </c>
      <c r="P2520" t="s">
        <v>68</v>
      </c>
      <c r="Q2520">
        <v>3.2</v>
      </c>
      <c r="R2520">
        <v>8.5</v>
      </c>
      <c r="S2520" t="s">
        <v>69</v>
      </c>
    </row>
    <row r="2521" spans="1:19" x14ac:dyDescent="0.35">
      <c r="A2521">
        <v>33555</v>
      </c>
      <c r="B2521" t="str">
        <f>"033555"</f>
        <v>033555</v>
      </c>
      <c r="C2521" t="s">
        <v>8178</v>
      </c>
      <c r="D2521" t="s">
        <v>3398</v>
      </c>
      <c r="E2521" t="s">
        <v>3395</v>
      </c>
      <c r="F2521" t="s">
        <v>3396</v>
      </c>
      <c r="G2521" t="s">
        <v>759</v>
      </c>
      <c r="H2521" t="s">
        <v>8179</v>
      </c>
      <c r="I2521" t="s">
        <v>8180</v>
      </c>
      <c r="J2521" t="s">
        <v>400</v>
      </c>
      <c r="K2521" t="s">
        <v>55</v>
      </c>
      <c r="L2521" t="s">
        <v>762</v>
      </c>
      <c r="M2521" t="s">
        <v>57</v>
      </c>
      <c r="N2521" t="str">
        <f>"044743"</f>
        <v>044743</v>
      </c>
      <c r="O2521" t="s">
        <v>2663</v>
      </c>
      <c r="P2521" t="s">
        <v>68</v>
      </c>
      <c r="Q2521">
        <v>100</v>
      </c>
      <c r="R2521">
        <v>60</v>
      </c>
      <c r="S2521" t="s">
        <v>69</v>
      </c>
    </row>
    <row r="2522" spans="1:19" x14ac:dyDescent="0.35">
      <c r="A2522">
        <v>33563</v>
      </c>
      <c r="B2522" t="str">
        <f>"033563"</f>
        <v>033563</v>
      </c>
      <c r="C2522" t="s">
        <v>8181</v>
      </c>
      <c r="D2522" t="s">
        <v>3398</v>
      </c>
      <c r="E2522" t="s">
        <v>3395</v>
      </c>
      <c r="F2522" t="s">
        <v>3396</v>
      </c>
      <c r="G2522" t="s">
        <v>117</v>
      </c>
      <c r="H2522" t="s">
        <v>8182</v>
      </c>
      <c r="I2522" t="s">
        <v>8183</v>
      </c>
      <c r="J2522" t="s">
        <v>2463</v>
      </c>
      <c r="K2522" t="s">
        <v>55</v>
      </c>
      <c r="L2522" t="s">
        <v>2464</v>
      </c>
      <c r="M2522" t="s">
        <v>57</v>
      </c>
      <c r="N2522" t="str">
        <f>"049940"</f>
        <v>049940</v>
      </c>
      <c r="O2522" t="s">
        <v>2460</v>
      </c>
      <c r="P2522" t="s">
        <v>68</v>
      </c>
      <c r="Q2522">
        <v>40.1</v>
      </c>
      <c r="R2522">
        <v>5.5999999999999943</v>
      </c>
      <c r="S2522" t="s">
        <v>77</v>
      </c>
    </row>
    <row r="2523" spans="1:19" x14ac:dyDescent="0.35">
      <c r="A2523">
        <v>33605</v>
      </c>
      <c r="B2523" t="str">
        <f>"033605"</f>
        <v>033605</v>
      </c>
      <c r="C2523" t="s">
        <v>8184</v>
      </c>
      <c r="D2523" t="s">
        <v>3394</v>
      </c>
      <c r="E2523" t="s">
        <v>3395</v>
      </c>
      <c r="F2523" t="s">
        <v>3396</v>
      </c>
      <c r="G2523" t="s">
        <v>19</v>
      </c>
      <c r="H2523" t="s">
        <v>8185</v>
      </c>
      <c r="I2523" t="s">
        <v>8186</v>
      </c>
      <c r="J2523" t="s">
        <v>8187</v>
      </c>
      <c r="K2523" t="s">
        <v>55</v>
      </c>
      <c r="L2523" t="s">
        <v>8188</v>
      </c>
      <c r="M2523" t="s">
        <v>57</v>
      </c>
      <c r="N2523" t="str">
        <f>"046037"</f>
        <v>046037</v>
      </c>
      <c r="O2523" t="s">
        <v>844</v>
      </c>
      <c r="P2523" t="s">
        <v>68</v>
      </c>
      <c r="Q2523">
        <v>56.9</v>
      </c>
      <c r="R2523">
        <v>2.9000000000000057</v>
      </c>
      <c r="S2523" t="s">
        <v>217</v>
      </c>
    </row>
    <row r="2524" spans="1:19" x14ac:dyDescent="0.35">
      <c r="A2524">
        <v>33621</v>
      </c>
      <c r="B2524" t="str">
        <f>"033621"</f>
        <v>033621</v>
      </c>
      <c r="C2524" t="s">
        <v>8189</v>
      </c>
      <c r="D2524" t="s">
        <v>3394</v>
      </c>
      <c r="E2524" t="s">
        <v>3395</v>
      </c>
      <c r="F2524" t="s">
        <v>3396</v>
      </c>
      <c r="G2524" t="s">
        <v>117</v>
      </c>
      <c r="H2524" t="s">
        <v>8190</v>
      </c>
      <c r="I2524" t="s">
        <v>8191</v>
      </c>
      <c r="J2524" t="s">
        <v>977</v>
      </c>
      <c r="K2524" t="s">
        <v>55</v>
      </c>
      <c r="L2524" t="s">
        <v>978</v>
      </c>
      <c r="M2524" t="s">
        <v>57</v>
      </c>
      <c r="N2524" t="str">
        <f>"049858"</f>
        <v>049858</v>
      </c>
      <c r="O2524" t="s">
        <v>2490</v>
      </c>
      <c r="P2524" t="s">
        <v>68</v>
      </c>
      <c r="Q2524">
        <v>12.4</v>
      </c>
      <c r="R2524">
        <v>12.299999999999997</v>
      </c>
      <c r="S2524" t="s">
        <v>77</v>
      </c>
    </row>
    <row r="2525" spans="1:19" x14ac:dyDescent="0.35">
      <c r="A2525">
        <v>33639</v>
      </c>
      <c r="B2525" t="str">
        <f>"033639"</f>
        <v>033639</v>
      </c>
      <c r="C2525" t="s">
        <v>4590</v>
      </c>
      <c r="D2525" t="s">
        <v>3394</v>
      </c>
      <c r="E2525" t="s">
        <v>3395</v>
      </c>
      <c r="F2525" t="s">
        <v>3396</v>
      </c>
      <c r="G2525" t="s">
        <v>663</v>
      </c>
      <c r="H2525" t="s">
        <v>1455</v>
      </c>
      <c r="I2525" t="s">
        <v>1456</v>
      </c>
      <c r="J2525" t="s">
        <v>855</v>
      </c>
      <c r="K2525" t="s">
        <v>55</v>
      </c>
      <c r="L2525" t="s">
        <v>1457</v>
      </c>
      <c r="M2525" t="s">
        <v>57</v>
      </c>
      <c r="N2525" t="str">
        <f>"049429"</f>
        <v>049429</v>
      </c>
      <c r="O2525" t="s">
        <v>1228</v>
      </c>
      <c r="P2525" t="s">
        <v>68</v>
      </c>
      <c r="Q2525">
        <v>39.9</v>
      </c>
      <c r="R2525">
        <v>7.2000000000000028</v>
      </c>
      <c r="S2525" t="s">
        <v>77</v>
      </c>
    </row>
    <row r="2526" spans="1:19" x14ac:dyDescent="0.35">
      <c r="A2526">
        <v>33647</v>
      </c>
      <c r="B2526" t="str">
        <f>"033647"</f>
        <v>033647</v>
      </c>
      <c r="C2526" t="s">
        <v>8192</v>
      </c>
      <c r="D2526" t="s">
        <v>3394</v>
      </c>
      <c r="E2526" t="s">
        <v>3395</v>
      </c>
      <c r="F2526" t="s">
        <v>3396</v>
      </c>
      <c r="G2526" t="s">
        <v>543</v>
      </c>
      <c r="H2526" t="s">
        <v>8193</v>
      </c>
      <c r="I2526" t="s">
        <v>8194</v>
      </c>
      <c r="J2526" t="s">
        <v>687</v>
      </c>
      <c r="K2526" t="s">
        <v>55</v>
      </c>
      <c r="L2526" t="s">
        <v>688</v>
      </c>
      <c r="M2526" t="s">
        <v>57</v>
      </c>
      <c r="N2526" t="str">
        <f>"048702"</f>
        <v>048702</v>
      </c>
      <c r="O2526" t="s">
        <v>866</v>
      </c>
      <c r="P2526" t="s">
        <v>68</v>
      </c>
      <c r="Q2526">
        <v>66.099999999999994</v>
      </c>
      <c r="R2526">
        <v>22</v>
      </c>
      <c r="S2526" t="s">
        <v>180</v>
      </c>
    </row>
    <row r="2527" spans="1:19" x14ac:dyDescent="0.35">
      <c r="A2527">
        <v>33670</v>
      </c>
      <c r="B2527" t="str">
        <f>"033670"</f>
        <v>033670</v>
      </c>
      <c r="C2527" t="s">
        <v>8195</v>
      </c>
      <c r="D2527" t="s">
        <v>3394</v>
      </c>
      <c r="E2527" t="s">
        <v>3395</v>
      </c>
      <c r="F2527" t="s">
        <v>3396</v>
      </c>
      <c r="G2527" t="s">
        <v>132</v>
      </c>
      <c r="H2527" t="s">
        <v>8196</v>
      </c>
      <c r="I2527" t="s">
        <v>8197</v>
      </c>
      <c r="J2527" t="s">
        <v>132</v>
      </c>
      <c r="K2527" t="s">
        <v>55</v>
      </c>
      <c r="L2527" t="s">
        <v>184</v>
      </c>
      <c r="M2527" t="s">
        <v>57</v>
      </c>
      <c r="N2527" t="str">
        <f>"043513"</f>
        <v>043513</v>
      </c>
      <c r="O2527" t="s">
        <v>1141</v>
      </c>
      <c r="P2527" t="s">
        <v>68</v>
      </c>
      <c r="Q2527">
        <v>99.8</v>
      </c>
      <c r="R2527">
        <v>40.799999999999997</v>
      </c>
      <c r="S2527" t="s">
        <v>69</v>
      </c>
    </row>
    <row r="2528" spans="1:19" x14ac:dyDescent="0.35">
      <c r="A2528">
        <v>33688</v>
      </c>
      <c r="B2528" t="str">
        <f>"033688"</f>
        <v>033688</v>
      </c>
      <c r="C2528" t="s">
        <v>8198</v>
      </c>
      <c r="D2528" t="s">
        <v>3394</v>
      </c>
      <c r="E2528" t="s">
        <v>3395</v>
      </c>
      <c r="F2528" t="s">
        <v>3396</v>
      </c>
      <c r="G2528" t="s">
        <v>212</v>
      </c>
      <c r="H2528" t="s">
        <v>8199</v>
      </c>
      <c r="I2528" t="s">
        <v>8200</v>
      </c>
      <c r="J2528" t="s">
        <v>215</v>
      </c>
      <c r="K2528" t="s">
        <v>55</v>
      </c>
      <c r="L2528" t="s">
        <v>1512</v>
      </c>
      <c r="M2528" t="s">
        <v>57</v>
      </c>
      <c r="N2528" t="str">
        <f>"043752"</f>
        <v>043752</v>
      </c>
      <c r="O2528" t="s">
        <v>440</v>
      </c>
      <c r="P2528" t="s">
        <v>68</v>
      </c>
      <c r="Q2528">
        <v>99.4</v>
      </c>
      <c r="R2528">
        <v>37.9</v>
      </c>
      <c r="S2528" t="s">
        <v>217</v>
      </c>
    </row>
    <row r="2529" spans="1:19" x14ac:dyDescent="0.35">
      <c r="A2529">
        <v>33704</v>
      </c>
      <c r="B2529" t="str">
        <f>"033704"</f>
        <v>033704</v>
      </c>
      <c r="C2529" t="s">
        <v>8201</v>
      </c>
      <c r="D2529" t="s">
        <v>3400</v>
      </c>
      <c r="E2529" t="s">
        <v>3395</v>
      </c>
      <c r="F2529" t="s">
        <v>3396</v>
      </c>
      <c r="G2529" t="s">
        <v>777</v>
      </c>
      <c r="H2529" t="s">
        <v>8202</v>
      </c>
      <c r="I2529" t="s">
        <v>8203</v>
      </c>
      <c r="J2529" t="s">
        <v>780</v>
      </c>
      <c r="K2529" t="s">
        <v>55</v>
      </c>
      <c r="L2529" t="s">
        <v>894</v>
      </c>
      <c r="M2529" t="s">
        <v>57</v>
      </c>
      <c r="N2529" t="str">
        <f>"044818"</f>
        <v>044818</v>
      </c>
      <c r="O2529" t="s">
        <v>2812</v>
      </c>
      <c r="P2529" t="s">
        <v>68</v>
      </c>
      <c r="Q2529">
        <v>100</v>
      </c>
      <c r="R2529">
        <v>39.6</v>
      </c>
      <c r="S2529" t="s">
        <v>180</v>
      </c>
    </row>
    <row r="2530" spans="1:19" x14ac:dyDescent="0.35">
      <c r="A2530">
        <v>33738</v>
      </c>
      <c r="B2530" t="str">
        <f>"033738"</f>
        <v>033738</v>
      </c>
      <c r="C2530" t="s">
        <v>8204</v>
      </c>
      <c r="D2530" t="s">
        <v>3394</v>
      </c>
      <c r="E2530" t="s">
        <v>3395</v>
      </c>
      <c r="F2530" t="s">
        <v>3396</v>
      </c>
      <c r="G2530" t="s">
        <v>264</v>
      </c>
      <c r="H2530" t="s">
        <v>8205</v>
      </c>
      <c r="I2530" t="s">
        <v>8206</v>
      </c>
      <c r="J2530" t="s">
        <v>267</v>
      </c>
      <c r="K2530" t="s">
        <v>55</v>
      </c>
      <c r="L2530" t="s">
        <v>268</v>
      </c>
      <c r="M2530" t="s">
        <v>57</v>
      </c>
      <c r="N2530" t="str">
        <f>"050062"</f>
        <v>050062</v>
      </c>
      <c r="O2530" t="s">
        <v>263</v>
      </c>
      <c r="P2530" t="s">
        <v>68</v>
      </c>
      <c r="Q2530">
        <v>57.6</v>
      </c>
      <c r="R2530">
        <v>15</v>
      </c>
      <c r="S2530" t="s">
        <v>77</v>
      </c>
    </row>
    <row r="2531" spans="1:19" x14ac:dyDescent="0.35">
      <c r="A2531">
        <v>33746</v>
      </c>
      <c r="B2531" t="str">
        <f>"033746"</f>
        <v>033746</v>
      </c>
      <c r="C2531" t="s">
        <v>8207</v>
      </c>
      <c r="D2531" t="s">
        <v>3394</v>
      </c>
      <c r="E2531" t="s">
        <v>3395</v>
      </c>
      <c r="F2531" t="s">
        <v>3396</v>
      </c>
      <c r="G2531" t="s">
        <v>264</v>
      </c>
      <c r="H2531" t="s">
        <v>8208</v>
      </c>
      <c r="I2531" t="s">
        <v>8209</v>
      </c>
      <c r="J2531" t="s">
        <v>267</v>
      </c>
      <c r="K2531" t="s">
        <v>55</v>
      </c>
      <c r="L2531" t="s">
        <v>4045</v>
      </c>
      <c r="M2531" t="s">
        <v>57</v>
      </c>
      <c r="N2531" t="str">
        <f>"043489"</f>
        <v>043489</v>
      </c>
      <c r="O2531" t="s">
        <v>3176</v>
      </c>
      <c r="P2531" t="s">
        <v>68</v>
      </c>
      <c r="Q2531">
        <v>100</v>
      </c>
      <c r="R2531">
        <v>94.6</v>
      </c>
      <c r="S2531" t="s">
        <v>77</v>
      </c>
    </row>
    <row r="2532" spans="1:19" x14ac:dyDescent="0.35">
      <c r="A2532">
        <v>33811</v>
      </c>
      <c r="B2532" t="str">
        <f>"033811"</f>
        <v>033811</v>
      </c>
      <c r="C2532" t="s">
        <v>8210</v>
      </c>
      <c r="D2532" t="s">
        <v>3394</v>
      </c>
      <c r="E2532" t="s">
        <v>3395</v>
      </c>
      <c r="F2532" t="s">
        <v>3396</v>
      </c>
      <c r="G2532" t="s">
        <v>1567</v>
      </c>
      <c r="H2532" t="s">
        <v>8211</v>
      </c>
      <c r="I2532" t="s">
        <v>8212</v>
      </c>
      <c r="J2532" t="s">
        <v>8213</v>
      </c>
      <c r="K2532" t="s">
        <v>55</v>
      </c>
      <c r="L2532" t="s">
        <v>8214</v>
      </c>
      <c r="M2532" t="s">
        <v>57</v>
      </c>
      <c r="N2532" t="str">
        <f>"049098"</f>
        <v>049098</v>
      </c>
      <c r="O2532" t="s">
        <v>3053</v>
      </c>
      <c r="P2532" t="s">
        <v>68</v>
      </c>
      <c r="Q2532">
        <v>21.2</v>
      </c>
      <c r="R2532">
        <v>11.299999999999997</v>
      </c>
      <c r="S2532" t="s">
        <v>60</v>
      </c>
    </row>
    <row r="2533" spans="1:19" x14ac:dyDescent="0.35">
      <c r="A2533">
        <v>33894</v>
      </c>
      <c r="B2533" t="str">
        <f>"033894"</f>
        <v>033894</v>
      </c>
      <c r="C2533" t="s">
        <v>8215</v>
      </c>
      <c r="D2533" t="s">
        <v>3394</v>
      </c>
      <c r="E2533" t="s">
        <v>3395</v>
      </c>
      <c r="F2533" t="s">
        <v>3396</v>
      </c>
      <c r="G2533" t="s">
        <v>600</v>
      </c>
      <c r="H2533" t="s">
        <v>8216</v>
      </c>
      <c r="I2533" t="s">
        <v>8217</v>
      </c>
      <c r="J2533" t="s">
        <v>1348</v>
      </c>
      <c r="K2533" t="s">
        <v>55</v>
      </c>
      <c r="L2533" t="s">
        <v>6119</v>
      </c>
      <c r="M2533" t="s">
        <v>57</v>
      </c>
      <c r="N2533" t="str">
        <f>"043802"</f>
        <v>043802</v>
      </c>
      <c r="O2533" t="s">
        <v>3171</v>
      </c>
      <c r="P2533" t="s">
        <v>68</v>
      </c>
      <c r="Q2533">
        <v>100</v>
      </c>
      <c r="R2533">
        <v>96.2</v>
      </c>
      <c r="S2533" t="s">
        <v>60</v>
      </c>
    </row>
    <row r="2534" spans="1:19" x14ac:dyDescent="0.35">
      <c r="A2534">
        <v>33902</v>
      </c>
      <c r="B2534" t="str">
        <f>"033902"</f>
        <v>033902</v>
      </c>
      <c r="C2534" t="s">
        <v>8218</v>
      </c>
      <c r="D2534" t="s">
        <v>3394</v>
      </c>
      <c r="E2534" t="s">
        <v>3395</v>
      </c>
      <c r="F2534" t="s">
        <v>3396</v>
      </c>
      <c r="G2534" t="s">
        <v>63</v>
      </c>
      <c r="H2534" t="s">
        <v>8219</v>
      </c>
      <c r="I2534" t="s">
        <v>8220</v>
      </c>
      <c r="J2534" t="s">
        <v>285</v>
      </c>
      <c r="K2534" t="s">
        <v>55</v>
      </c>
      <c r="L2534" t="s">
        <v>7551</v>
      </c>
      <c r="M2534" t="s">
        <v>57</v>
      </c>
      <c r="N2534" t="str">
        <f>"043786"</f>
        <v>043786</v>
      </c>
      <c r="O2534" t="s">
        <v>1340</v>
      </c>
      <c r="P2534" t="s">
        <v>68</v>
      </c>
      <c r="Q2534">
        <v>100</v>
      </c>
      <c r="R2534">
        <v>86.8</v>
      </c>
      <c r="S2534" t="s">
        <v>69</v>
      </c>
    </row>
    <row r="2535" spans="1:19" x14ac:dyDescent="0.35">
      <c r="A2535">
        <v>33928</v>
      </c>
      <c r="B2535" t="str">
        <f>"033928"</f>
        <v>033928</v>
      </c>
      <c r="C2535" t="s">
        <v>8221</v>
      </c>
      <c r="D2535" t="s">
        <v>3394</v>
      </c>
      <c r="E2535" t="s">
        <v>3395</v>
      </c>
      <c r="F2535" t="s">
        <v>3396</v>
      </c>
      <c r="G2535" t="s">
        <v>169</v>
      </c>
      <c r="H2535" t="s">
        <v>8222</v>
      </c>
      <c r="I2535" t="s">
        <v>8223</v>
      </c>
      <c r="J2535" t="s">
        <v>2065</v>
      </c>
      <c r="K2535" t="s">
        <v>55</v>
      </c>
      <c r="L2535" t="s">
        <v>2066</v>
      </c>
      <c r="M2535" t="s">
        <v>57</v>
      </c>
      <c r="N2535" t="str">
        <f>"050252"</f>
        <v>050252</v>
      </c>
      <c r="O2535" t="s">
        <v>2062</v>
      </c>
      <c r="P2535" t="s">
        <v>68</v>
      </c>
      <c r="Q2535">
        <v>41.8</v>
      </c>
      <c r="R2535">
        <v>9.7000000000000028</v>
      </c>
      <c r="S2535" t="s">
        <v>77</v>
      </c>
    </row>
    <row r="2536" spans="1:19" x14ac:dyDescent="0.35">
      <c r="A2536">
        <v>33936</v>
      </c>
      <c r="B2536" t="str">
        <f>"033936"</f>
        <v>033936</v>
      </c>
      <c r="C2536" t="s">
        <v>8224</v>
      </c>
      <c r="D2536" t="s">
        <v>3394</v>
      </c>
      <c r="E2536" t="s">
        <v>3395</v>
      </c>
      <c r="F2536" t="s">
        <v>3396</v>
      </c>
      <c r="G2536" t="s">
        <v>621</v>
      </c>
      <c r="H2536" t="s">
        <v>8225</v>
      </c>
      <c r="I2536" t="s">
        <v>8226</v>
      </c>
      <c r="J2536" t="s">
        <v>8227</v>
      </c>
      <c r="K2536" t="s">
        <v>55</v>
      </c>
      <c r="L2536" t="s">
        <v>8228</v>
      </c>
      <c r="M2536" t="s">
        <v>57</v>
      </c>
      <c r="N2536" t="str">
        <f>"061903"</f>
        <v>061903</v>
      </c>
      <c r="O2536" t="s">
        <v>620</v>
      </c>
      <c r="P2536" t="s">
        <v>68</v>
      </c>
      <c r="Q2536">
        <v>48.1</v>
      </c>
      <c r="R2536">
        <v>2.5</v>
      </c>
      <c r="S2536" t="s">
        <v>130</v>
      </c>
    </row>
    <row r="2537" spans="1:19" x14ac:dyDescent="0.35">
      <c r="A2537">
        <v>33944</v>
      </c>
      <c r="B2537" t="str">
        <f>"033944"</f>
        <v>033944</v>
      </c>
      <c r="C2537" t="s">
        <v>8229</v>
      </c>
      <c r="D2537" t="s">
        <v>3398</v>
      </c>
      <c r="E2537" t="s">
        <v>3395</v>
      </c>
      <c r="F2537" t="s">
        <v>3396</v>
      </c>
      <c r="G2537" t="s">
        <v>621</v>
      </c>
      <c r="H2537" t="s">
        <v>8230</v>
      </c>
      <c r="I2537" t="s">
        <v>8231</v>
      </c>
      <c r="J2537" t="s">
        <v>8227</v>
      </c>
      <c r="K2537" t="s">
        <v>55</v>
      </c>
      <c r="L2537" t="s">
        <v>8228</v>
      </c>
      <c r="M2537" t="s">
        <v>57</v>
      </c>
      <c r="N2537" t="str">
        <f>"061903"</f>
        <v>061903</v>
      </c>
      <c r="O2537" t="s">
        <v>620</v>
      </c>
      <c r="P2537" t="s">
        <v>68</v>
      </c>
      <c r="Q2537">
        <v>40.4</v>
      </c>
      <c r="R2537">
        <v>2.7999999999999972</v>
      </c>
      <c r="S2537" t="s">
        <v>130</v>
      </c>
    </row>
    <row r="2538" spans="1:19" x14ac:dyDescent="0.35">
      <c r="A2538">
        <v>33977</v>
      </c>
      <c r="B2538" t="str">
        <f>"033977"</f>
        <v>033977</v>
      </c>
      <c r="C2538" t="s">
        <v>8232</v>
      </c>
      <c r="D2538" t="s">
        <v>3394</v>
      </c>
      <c r="E2538" t="s">
        <v>3395</v>
      </c>
      <c r="F2538" t="s">
        <v>3396</v>
      </c>
      <c r="G2538" t="s">
        <v>264</v>
      </c>
      <c r="H2538" t="s">
        <v>8233</v>
      </c>
      <c r="I2538" t="s">
        <v>8234</v>
      </c>
      <c r="J2538" t="s">
        <v>267</v>
      </c>
      <c r="K2538" t="s">
        <v>55</v>
      </c>
      <c r="L2538" t="s">
        <v>3658</v>
      </c>
      <c r="M2538" t="s">
        <v>57</v>
      </c>
      <c r="N2538" t="str">
        <f>"043489"</f>
        <v>043489</v>
      </c>
      <c r="O2538" t="s">
        <v>3176</v>
      </c>
      <c r="P2538" t="s">
        <v>68</v>
      </c>
      <c r="Q2538">
        <v>100</v>
      </c>
      <c r="R2538">
        <v>72.900000000000006</v>
      </c>
      <c r="S2538" t="s">
        <v>77</v>
      </c>
    </row>
    <row r="2539" spans="1:19" x14ac:dyDescent="0.35">
      <c r="A2539">
        <v>33985</v>
      </c>
      <c r="B2539" t="str">
        <f>"033985"</f>
        <v>033985</v>
      </c>
      <c r="C2539" t="s">
        <v>8235</v>
      </c>
      <c r="D2539" t="s">
        <v>3400</v>
      </c>
      <c r="E2539" t="s">
        <v>3395</v>
      </c>
      <c r="F2539" t="s">
        <v>3396</v>
      </c>
      <c r="G2539" t="s">
        <v>212</v>
      </c>
      <c r="H2539" t="s">
        <v>8236</v>
      </c>
      <c r="I2539" t="s">
        <v>8237</v>
      </c>
      <c r="J2539" t="s">
        <v>8238</v>
      </c>
      <c r="K2539" t="s">
        <v>55</v>
      </c>
      <c r="L2539" t="s">
        <v>216</v>
      </c>
      <c r="M2539" t="s">
        <v>57</v>
      </c>
      <c r="N2539" t="str">
        <f>"044289"</f>
        <v>044289</v>
      </c>
      <c r="O2539" t="s">
        <v>2441</v>
      </c>
      <c r="P2539" t="s">
        <v>68</v>
      </c>
      <c r="Q2539">
        <v>8.3000000000000007</v>
      </c>
      <c r="R2539">
        <v>15.099999999999994</v>
      </c>
      <c r="S2539" t="s">
        <v>217</v>
      </c>
    </row>
    <row r="2540" spans="1:19" x14ac:dyDescent="0.35">
      <c r="A2540">
        <v>34041</v>
      </c>
      <c r="B2540" t="str">
        <f>"034041"</f>
        <v>034041</v>
      </c>
      <c r="C2540" t="s">
        <v>8239</v>
      </c>
      <c r="D2540" t="s">
        <v>3394</v>
      </c>
      <c r="E2540" t="s">
        <v>3395</v>
      </c>
      <c r="F2540" t="s">
        <v>3396</v>
      </c>
      <c r="G2540" t="s">
        <v>406</v>
      </c>
      <c r="H2540" t="s">
        <v>8240</v>
      </c>
      <c r="I2540" t="s">
        <v>8241</v>
      </c>
      <c r="J2540" t="s">
        <v>8242</v>
      </c>
      <c r="K2540" t="s">
        <v>55</v>
      </c>
      <c r="L2540" t="s">
        <v>8243</v>
      </c>
      <c r="M2540" t="s">
        <v>57</v>
      </c>
      <c r="N2540" t="str">
        <f>"048488"</f>
        <v>048488</v>
      </c>
      <c r="O2540" t="s">
        <v>2164</v>
      </c>
      <c r="P2540" t="s">
        <v>68</v>
      </c>
      <c r="Q2540">
        <v>34.299999999999997</v>
      </c>
      <c r="R2540">
        <v>6.7999999999999972</v>
      </c>
      <c r="S2540" t="s">
        <v>77</v>
      </c>
    </row>
    <row r="2541" spans="1:19" x14ac:dyDescent="0.35">
      <c r="A2541">
        <v>34074</v>
      </c>
      <c r="B2541" t="str">
        <f>"034074"</f>
        <v>034074</v>
      </c>
      <c r="C2541" t="s">
        <v>8244</v>
      </c>
      <c r="D2541" t="s">
        <v>3394</v>
      </c>
      <c r="E2541" t="s">
        <v>3395</v>
      </c>
      <c r="F2541" t="s">
        <v>3396</v>
      </c>
      <c r="G2541" t="s">
        <v>543</v>
      </c>
      <c r="H2541" t="s">
        <v>8245</v>
      </c>
      <c r="I2541" t="s">
        <v>8246</v>
      </c>
      <c r="J2541" t="s">
        <v>3204</v>
      </c>
      <c r="K2541" t="s">
        <v>55</v>
      </c>
      <c r="L2541" t="s">
        <v>3205</v>
      </c>
      <c r="M2541" t="s">
        <v>57</v>
      </c>
      <c r="N2541" t="str">
        <f>"045054"</f>
        <v>045054</v>
      </c>
      <c r="O2541" t="s">
        <v>3201</v>
      </c>
      <c r="P2541" t="s">
        <v>68</v>
      </c>
      <c r="Q2541">
        <v>62.9</v>
      </c>
      <c r="R2541">
        <v>45.8</v>
      </c>
      <c r="S2541" t="s">
        <v>180</v>
      </c>
    </row>
    <row r="2542" spans="1:19" x14ac:dyDescent="0.35">
      <c r="A2542">
        <v>34082</v>
      </c>
      <c r="B2542" t="str">
        <f>"034082"</f>
        <v>034082</v>
      </c>
      <c r="C2542" t="s">
        <v>8247</v>
      </c>
      <c r="D2542" t="s">
        <v>3394</v>
      </c>
      <c r="E2542" t="s">
        <v>3395</v>
      </c>
      <c r="F2542" t="s">
        <v>3396</v>
      </c>
      <c r="G2542" t="s">
        <v>600</v>
      </c>
      <c r="H2542" t="s">
        <v>8248</v>
      </c>
      <c r="I2542" t="s">
        <v>8249</v>
      </c>
      <c r="J2542" t="s">
        <v>1348</v>
      </c>
      <c r="K2542" t="s">
        <v>55</v>
      </c>
      <c r="L2542" t="s">
        <v>6119</v>
      </c>
      <c r="M2542" t="s">
        <v>57</v>
      </c>
      <c r="N2542" t="str">
        <f>"043802"</f>
        <v>043802</v>
      </c>
      <c r="O2542" t="s">
        <v>3171</v>
      </c>
      <c r="P2542" t="s">
        <v>68</v>
      </c>
      <c r="Q2542">
        <v>100</v>
      </c>
      <c r="R2542">
        <v>85.4</v>
      </c>
      <c r="S2542" t="s">
        <v>60</v>
      </c>
    </row>
    <row r="2543" spans="1:19" x14ac:dyDescent="0.35">
      <c r="A2543">
        <v>34090</v>
      </c>
      <c r="B2543" t="str">
        <f>"034090"</f>
        <v>034090</v>
      </c>
      <c r="C2543" t="s">
        <v>8250</v>
      </c>
      <c r="D2543" t="s">
        <v>3398</v>
      </c>
      <c r="E2543" t="s">
        <v>3395</v>
      </c>
      <c r="F2543" t="s">
        <v>3396</v>
      </c>
      <c r="G2543" t="s">
        <v>233</v>
      </c>
      <c r="H2543" t="s">
        <v>2620</v>
      </c>
      <c r="I2543" t="s">
        <v>2621</v>
      </c>
      <c r="J2543" t="s">
        <v>2622</v>
      </c>
      <c r="K2543" t="s">
        <v>55</v>
      </c>
      <c r="L2543" t="s">
        <v>2623</v>
      </c>
      <c r="M2543" t="s">
        <v>57</v>
      </c>
      <c r="N2543" t="str">
        <f>"046003"</f>
        <v>046003</v>
      </c>
      <c r="O2543" t="s">
        <v>2619</v>
      </c>
      <c r="P2543" t="s">
        <v>68</v>
      </c>
      <c r="Q2543">
        <v>23.6</v>
      </c>
      <c r="R2543">
        <v>6.0999999999999943</v>
      </c>
      <c r="S2543" t="s">
        <v>130</v>
      </c>
    </row>
    <row r="2544" spans="1:19" x14ac:dyDescent="0.35">
      <c r="A2544">
        <v>34108</v>
      </c>
      <c r="B2544" t="str">
        <f>"034108"</f>
        <v>034108</v>
      </c>
      <c r="C2544" t="s">
        <v>8251</v>
      </c>
      <c r="D2544" t="s">
        <v>3398</v>
      </c>
      <c r="E2544" t="s">
        <v>3395</v>
      </c>
      <c r="F2544" t="s">
        <v>3396</v>
      </c>
      <c r="G2544" t="s">
        <v>63</v>
      </c>
      <c r="H2544" t="s">
        <v>8252</v>
      </c>
      <c r="I2544" t="s">
        <v>8253</v>
      </c>
      <c r="J2544" t="s">
        <v>101</v>
      </c>
      <c r="K2544" t="s">
        <v>55</v>
      </c>
      <c r="L2544" t="s">
        <v>102</v>
      </c>
      <c r="M2544" t="s">
        <v>57</v>
      </c>
      <c r="N2544" t="str">
        <f>"044750"</f>
        <v>044750</v>
      </c>
      <c r="O2544" t="s">
        <v>98</v>
      </c>
      <c r="P2544" t="s">
        <v>68</v>
      </c>
      <c r="Q2544">
        <v>34</v>
      </c>
      <c r="R2544">
        <v>61.2</v>
      </c>
      <c r="S2544" t="s">
        <v>69</v>
      </c>
    </row>
    <row r="2545" spans="1:19" x14ac:dyDescent="0.35">
      <c r="A2545">
        <v>34132</v>
      </c>
      <c r="B2545" t="str">
        <f>"034132"</f>
        <v>034132</v>
      </c>
      <c r="C2545" t="s">
        <v>8254</v>
      </c>
      <c r="D2545" t="s">
        <v>3394</v>
      </c>
      <c r="E2545" t="s">
        <v>3395</v>
      </c>
      <c r="F2545" t="s">
        <v>3396</v>
      </c>
      <c r="G2545" t="s">
        <v>406</v>
      </c>
      <c r="H2545" t="s">
        <v>8255</v>
      </c>
      <c r="I2545" t="s">
        <v>8256</v>
      </c>
      <c r="J2545" t="s">
        <v>465</v>
      </c>
      <c r="K2545" t="s">
        <v>55</v>
      </c>
      <c r="L2545" t="s">
        <v>466</v>
      </c>
      <c r="M2545" t="s">
        <v>57</v>
      </c>
      <c r="N2545" t="str">
        <f>"048496"</f>
        <v>048496</v>
      </c>
      <c r="O2545" t="s">
        <v>405</v>
      </c>
      <c r="P2545" t="s">
        <v>68</v>
      </c>
      <c r="Q2545">
        <v>3.3</v>
      </c>
      <c r="R2545">
        <v>10.099999999999994</v>
      </c>
      <c r="S2545" t="s">
        <v>77</v>
      </c>
    </row>
    <row r="2546" spans="1:19" x14ac:dyDescent="0.35">
      <c r="A2546">
        <v>34157</v>
      </c>
      <c r="B2546" t="str">
        <f>"034157"</f>
        <v>034157</v>
      </c>
      <c r="C2546" t="s">
        <v>8257</v>
      </c>
      <c r="D2546" t="s">
        <v>3394</v>
      </c>
      <c r="E2546" t="s">
        <v>3395</v>
      </c>
      <c r="F2546" t="s">
        <v>3396</v>
      </c>
      <c r="G2546" t="s">
        <v>212</v>
      </c>
      <c r="H2546" t="s">
        <v>8258</v>
      </c>
      <c r="I2546" t="s">
        <v>8259</v>
      </c>
      <c r="J2546" t="s">
        <v>215</v>
      </c>
      <c r="K2546" t="s">
        <v>55</v>
      </c>
      <c r="L2546" t="s">
        <v>520</v>
      </c>
      <c r="M2546" t="s">
        <v>57</v>
      </c>
      <c r="N2546" t="str">
        <f>"044677"</f>
        <v>044677</v>
      </c>
      <c r="O2546" t="s">
        <v>2499</v>
      </c>
      <c r="P2546" t="s">
        <v>68</v>
      </c>
      <c r="Q2546">
        <v>98.9</v>
      </c>
      <c r="R2546">
        <v>73.400000000000006</v>
      </c>
      <c r="S2546" t="s">
        <v>217</v>
      </c>
    </row>
    <row r="2547" spans="1:19" x14ac:dyDescent="0.35">
      <c r="A2547">
        <v>34181</v>
      </c>
      <c r="B2547" t="str">
        <f>"034181"</f>
        <v>034181</v>
      </c>
      <c r="C2547" t="s">
        <v>8260</v>
      </c>
      <c r="D2547" t="s">
        <v>3394</v>
      </c>
      <c r="E2547" t="s">
        <v>3395</v>
      </c>
      <c r="F2547" t="s">
        <v>3396</v>
      </c>
      <c r="G2547" t="s">
        <v>642</v>
      </c>
      <c r="H2547" t="s">
        <v>8261</v>
      </c>
      <c r="I2547" t="s">
        <v>8262</v>
      </c>
      <c r="J2547" t="s">
        <v>2447</v>
      </c>
      <c r="K2547" t="s">
        <v>55</v>
      </c>
      <c r="L2547" t="s">
        <v>688</v>
      </c>
      <c r="M2547" t="s">
        <v>57</v>
      </c>
      <c r="N2547" t="str">
        <f>"047241"</f>
        <v>047241</v>
      </c>
      <c r="O2547" t="s">
        <v>2444</v>
      </c>
      <c r="P2547" t="s">
        <v>68</v>
      </c>
      <c r="Q2547">
        <v>20.100000000000001</v>
      </c>
      <c r="R2547">
        <v>35.299999999999997</v>
      </c>
      <c r="S2547" t="s">
        <v>180</v>
      </c>
    </row>
    <row r="2548" spans="1:19" x14ac:dyDescent="0.35">
      <c r="A2548">
        <v>34199</v>
      </c>
      <c r="B2548" t="str">
        <f>"034199"</f>
        <v>034199</v>
      </c>
      <c r="C2548" t="s">
        <v>8263</v>
      </c>
      <c r="D2548" t="s">
        <v>3398</v>
      </c>
      <c r="E2548" t="s">
        <v>3395</v>
      </c>
      <c r="F2548" t="s">
        <v>3396</v>
      </c>
      <c r="G2548" t="s">
        <v>63</v>
      </c>
      <c r="H2548" t="s">
        <v>8264</v>
      </c>
      <c r="I2548" t="s">
        <v>8265</v>
      </c>
      <c r="J2548" t="s">
        <v>1236</v>
      </c>
      <c r="K2548" t="s">
        <v>55</v>
      </c>
      <c r="L2548" t="s">
        <v>1237</v>
      </c>
      <c r="M2548" t="s">
        <v>57</v>
      </c>
      <c r="N2548" t="str">
        <f>"043901"</f>
        <v>043901</v>
      </c>
      <c r="O2548" t="s">
        <v>3351</v>
      </c>
      <c r="P2548" t="s">
        <v>68</v>
      </c>
      <c r="Q2548">
        <v>100</v>
      </c>
      <c r="R2548">
        <v>100</v>
      </c>
      <c r="S2548" t="s">
        <v>69</v>
      </c>
    </row>
    <row r="2549" spans="1:19" x14ac:dyDescent="0.35">
      <c r="A2549">
        <v>34207</v>
      </c>
      <c r="B2549" t="str">
        <f>"034207"</f>
        <v>034207</v>
      </c>
      <c r="C2549" t="s">
        <v>5024</v>
      </c>
      <c r="D2549" t="s">
        <v>3394</v>
      </c>
      <c r="E2549" t="s">
        <v>3395</v>
      </c>
      <c r="F2549" t="s">
        <v>3396</v>
      </c>
      <c r="G2549" t="s">
        <v>1193</v>
      </c>
      <c r="H2549" t="s">
        <v>8266</v>
      </c>
      <c r="I2549" t="s">
        <v>8267</v>
      </c>
      <c r="J2549" t="s">
        <v>1196</v>
      </c>
      <c r="K2549" t="s">
        <v>55</v>
      </c>
      <c r="L2549" t="s">
        <v>1648</v>
      </c>
      <c r="M2549" t="s">
        <v>57</v>
      </c>
      <c r="N2549" t="str">
        <f>"045799"</f>
        <v>045799</v>
      </c>
      <c r="O2549" t="s">
        <v>2835</v>
      </c>
      <c r="P2549" t="s">
        <v>68</v>
      </c>
      <c r="Q2549">
        <v>32.1</v>
      </c>
      <c r="R2549">
        <v>19.599999999999994</v>
      </c>
      <c r="S2549" t="s">
        <v>156</v>
      </c>
    </row>
    <row r="2550" spans="1:19" x14ac:dyDescent="0.35">
      <c r="A2550">
        <v>34215</v>
      </c>
      <c r="B2550" t="str">
        <f>"034215"</f>
        <v>034215</v>
      </c>
      <c r="C2550" t="s">
        <v>8268</v>
      </c>
      <c r="D2550" t="s">
        <v>3400</v>
      </c>
      <c r="E2550" t="s">
        <v>3395</v>
      </c>
      <c r="F2550" t="s">
        <v>3396</v>
      </c>
      <c r="G2550" t="s">
        <v>1193</v>
      </c>
      <c r="H2550" t="s">
        <v>8269</v>
      </c>
      <c r="I2550" t="s">
        <v>8270</v>
      </c>
      <c r="J2550" t="s">
        <v>1196</v>
      </c>
      <c r="K2550" t="s">
        <v>55</v>
      </c>
      <c r="L2550" t="s">
        <v>1648</v>
      </c>
      <c r="M2550" t="s">
        <v>57</v>
      </c>
      <c r="N2550" t="str">
        <f>"045799"</f>
        <v>045799</v>
      </c>
      <c r="O2550" t="s">
        <v>2835</v>
      </c>
      <c r="P2550" t="s">
        <v>68</v>
      </c>
      <c r="Q2550">
        <v>31.1</v>
      </c>
      <c r="R2550">
        <v>19.599999999999994</v>
      </c>
      <c r="S2550" t="s">
        <v>156</v>
      </c>
    </row>
    <row r="2551" spans="1:19" x14ac:dyDescent="0.35">
      <c r="A2551">
        <v>34249</v>
      </c>
      <c r="B2551" t="str">
        <f>"034249"</f>
        <v>034249</v>
      </c>
      <c r="C2551" t="s">
        <v>7815</v>
      </c>
      <c r="D2551" t="s">
        <v>3394</v>
      </c>
      <c r="E2551" t="s">
        <v>3395</v>
      </c>
      <c r="F2551" t="s">
        <v>3396</v>
      </c>
      <c r="G2551" t="s">
        <v>642</v>
      </c>
      <c r="H2551" t="s">
        <v>8271</v>
      </c>
      <c r="I2551" t="s">
        <v>8272</v>
      </c>
      <c r="J2551" t="s">
        <v>1469</v>
      </c>
      <c r="K2551" t="s">
        <v>55</v>
      </c>
      <c r="L2551" t="s">
        <v>1470</v>
      </c>
      <c r="M2551" t="s">
        <v>57</v>
      </c>
      <c r="N2551" t="str">
        <f>"045153"</f>
        <v>045153</v>
      </c>
      <c r="O2551" t="s">
        <v>2754</v>
      </c>
      <c r="P2551" t="s">
        <v>68</v>
      </c>
      <c r="Q2551">
        <v>100</v>
      </c>
      <c r="R2551">
        <v>26</v>
      </c>
      <c r="S2551" t="s">
        <v>180</v>
      </c>
    </row>
    <row r="2552" spans="1:19" x14ac:dyDescent="0.35">
      <c r="A2552">
        <v>34256</v>
      </c>
      <c r="B2552" t="str">
        <f>"034256"</f>
        <v>034256</v>
      </c>
      <c r="C2552" t="s">
        <v>8273</v>
      </c>
      <c r="D2552" t="s">
        <v>3398</v>
      </c>
      <c r="E2552" t="s">
        <v>3395</v>
      </c>
      <c r="F2552" t="s">
        <v>3396</v>
      </c>
      <c r="G2552" t="s">
        <v>777</v>
      </c>
      <c r="H2552" t="s">
        <v>8274</v>
      </c>
      <c r="I2552" t="s">
        <v>8275</v>
      </c>
      <c r="J2552" t="s">
        <v>780</v>
      </c>
      <c r="K2552" t="s">
        <v>55</v>
      </c>
      <c r="L2552" t="s">
        <v>781</v>
      </c>
      <c r="M2552" t="s">
        <v>57</v>
      </c>
      <c r="N2552" t="str">
        <f>"046284"</f>
        <v>046284</v>
      </c>
      <c r="O2552" t="s">
        <v>2664</v>
      </c>
      <c r="P2552" t="s">
        <v>68</v>
      </c>
      <c r="Q2552">
        <v>42.6</v>
      </c>
      <c r="R2552">
        <v>16.5</v>
      </c>
      <c r="S2552" t="s">
        <v>180</v>
      </c>
    </row>
    <row r="2553" spans="1:19" x14ac:dyDescent="0.35">
      <c r="A2553">
        <v>34264</v>
      </c>
      <c r="B2553" t="str">
        <f>"034264"</f>
        <v>034264</v>
      </c>
      <c r="C2553" t="s">
        <v>8276</v>
      </c>
      <c r="D2553" t="s">
        <v>3398</v>
      </c>
      <c r="E2553" t="s">
        <v>3395</v>
      </c>
      <c r="F2553" t="s">
        <v>3396</v>
      </c>
      <c r="G2553" t="s">
        <v>362</v>
      </c>
      <c r="H2553" t="s">
        <v>363</v>
      </c>
      <c r="I2553" t="s">
        <v>364</v>
      </c>
      <c r="J2553" t="s">
        <v>365</v>
      </c>
      <c r="K2553" t="s">
        <v>55</v>
      </c>
      <c r="L2553" t="s">
        <v>366</v>
      </c>
      <c r="M2553" t="s">
        <v>57</v>
      </c>
      <c r="N2553" t="str">
        <f>"049288"</f>
        <v>049288</v>
      </c>
      <c r="O2553" t="s">
        <v>361</v>
      </c>
      <c r="P2553" t="s">
        <v>68</v>
      </c>
      <c r="Q2553">
        <v>36.1</v>
      </c>
      <c r="R2553">
        <v>2.5</v>
      </c>
      <c r="S2553" t="s">
        <v>180</v>
      </c>
    </row>
    <row r="2554" spans="1:19" x14ac:dyDescent="0.35">
      <c r="A2554">
        <v>34272</v>
      </c>
      <c r="B2554" t="str">
        <f>"034272"</f>
        <v>034272</v>
      </c>
      <c r="C2554" t="s">
        <v>8277</v>
      </c>
      <c r="D2554" t="s">
        <v>3398</v>
      </c>
      <c r="E2554" t="s">
        <v>3395</v>
      </c>
      <c r="F2554" t="s">
        <v>3396</v>
      </c>
      <c r="G2554" t="s">
        <v>1193</v>
      </c>
      <c r="H2554" t="s">
        <v>8278</v>
      </c>
      <c r="I2554" t="s">
        <v>8279</v>
      </c>
      <c r="J2554" t="s">
        <v>1196</v>
      </c>
      <c r="K2554" t="s">
        <v>55</v>
      </c>
      <c r="L2554" t="s">
        <v>1648</v>
      </c>
      <c r="M2554" t="s">
        <v>57</v>
      </c>
      <c r="N2554" t="str">
        <f>"045799"</f>
        <v>045799</v>
      </c>
      <c r="O2554" t="s">
        <v>2835</v>
      </c>
      <c r="P2554" t="s">
        <v>68</v>
      </c>
      <c r="Q2554">
        <v>20.7</v>
      </c>
      <c r="R2554">
        <v>18.5</v>
      </c>
      <c r="S2554" t="s">
        <v>156</v>
      </c>
    </row>
    <row r="2555" spans="1:19" x14ac:dyDescent="0.35">
      <c r="A2555">
        <v>34280</v>
      </c>
      <c r="B2555" t="str">
        <f>"034280"</f>
        <v>034280</v>
      </c>
      <c r="C2555" t="s">
        <v>8280</v>
      </c>
      <c r="D2555" t="s">
        <v>3400</v>
      </c>
      <c r="E2555" t="s">
        <v>3395</v>
      </c>
      <c r="F2555" t="s">
        <v>3396</v>
      </c>
      <c r="G2555" t="s">
        <v>143</v>
      </c>
      <c r="H2555" t="s">
        <v>4010</v>
      </c>
      <c r="I2555" t="s">
        <v>4011</v>
      </c>
      <c r="J2555" t="s">
        <v>3076</v>
      </c>
      <c r="K2555" t="s">
        <v>55</v>
      </c>
      <c r="L2555" t="s">
        <v>3077</v>
      </c>
      <c r="M2555" t="s">
        <v>57</v>
      </c>
      <c r="N2555" t="str">
        <f>"044768"</f>
        <v>044768</v>
      </c>
      <c r="O2555" t="s">
        <v>3073</v>
      </c>
      <c r="P2555" t="s">
        <v>68</v>
      </c>
      <c r="Q2555">
        <v>42.2</v>
      </c>
      <c r="R2555">
        <v>23.700000000000003</v>
      </c>
      <c r="S2555" t="s">
        <v>69</v>
      </c>
    </row>
    <row r="2556" spans="1:19" x14ac:dyDescent="0.35">
      <c r="A2556">
        <v>34298</v>
      </c>
      <c r="B2556" t="str">
        <f>"034298"</f>
        <v>034298</v>
      </c>
      <c r="C2556" t="s">
        <v>8281</v>
      </c>
      <c r="D2556" t="s">
        <v>3400</v>
      </c>
      <c r="E2556" t="s">
        <v>3395</v>
      </c>
      <c r="F2556" t="s">
        <v>3396</v>
      </c>
      <c r="G2556" t="s">
        <v>663</v>
      </c>
      <c r="H2556" t="s">
        <v>1464</v>
      </c>
      <c r="I2556" t="s">
        <v>1465</v>
      </c>
      <c r="J2556" t="s">
        <v>572</v>
      </c>
      <c r="K2556" t="s">
        <v>55</v>
      </c>
      <c r="L2556" t="s">
        <v>835</v>
      </c>
      <c r="M2556" t="s">
        <v>57</v>
      </c>
      <c r="N2556" t="str">
        <f>"044776"</f>
        <v>044776</v>
      </c>
      <c r="O2556" t="s">
        <v>1463</v>
      </c>
      <c r="P2556" t="s">
        <v>68</v>
      </c>
      <c r="Q2556">
        <v>50.6</v>
      </c>
      <c r="R2556">
        <v>5.2999999999999972</v>
      </c>
      <c r="S2556" t="s">
        <v>77</v>
      </c>
    </row>
    <row r="2557" spans="1:19" x14ac:dyDescent="0.35">
      <c r="A2557">
        <v>34306</v>
      </c>
      <c r="B2557" t="str">
        <f>"034306"</f>
        <v>034306</v>
      </c>
      <c r="C2557" t="s">
        <v>8282</v>
      </c>
      <c r="D2557" t="s">
        <v>3398</v>
      </c>
      <c r="E2557" t="s">
        <v>3395</v>
      </c>
      <c r="F2557" t="s">
        <v>3396</v>
      </c>
      <c r="G2557" t="s">
        <v>663</v>
      </c>
      <c r="H2557" t="s">
        <v>8283</v>
      </c>
      <c r="I2557" t="s">
        <v>8284</v>
      </c>
      <c r="J2557" t="s">
        <v>572</v>
      </c>
      <c r="K2557" t="s">
        <v>55</v>
      </c>
      <c r="L2557" t="s">
        <v>835</v>
      </c>
      <c r="M2557" t="s">
        <v>57</v>
      </c>
      <c r="N2557" t="str">
        <f>"044776"</f>
        <v>044776</v>
      </c>
      <c r="O2557" t="s">
        <v>1463</v>
      </c>
      <c r="P2557" t="s">
        <v>68</v>
      </c>
      <c r="Q2557">
        <v>36.200000000000003</v>
      </c>
      <c r="R2557">
        <v>5.7999999999999972</v>
      </c>
      <c r="S2557" t="s">
        <v>77</v>
      </c>
    </row>
    <row r="2558" spans="1:19" x14ac:dyDescent="0.35">
      <c r="A2558">
        <v>34314</v>
      </c>
      <c r="B2558" t="str">
        <f>"034314"</f>
        <v>034314</v>
      </c>
      <c r="C2558" t="s">
        <v>8285</v>
      </c>
      <c r="D2558" t="s">
        <v>3398</v>
      </c>
      <c r="E2558" t="s">
        <v>3395</v>
      </c>
      <c r="F2558" t="s">
        <v>3396</v>
      </c>
      <c r="G2558" t="s">
        <v>2212</v>
      </c>
      <c r="H2558" t="s">
        <v>8286</v>
      </c>
      <c r="I2558" t="s">
        <v>8287</v>
      </c>
      <c r="J2558" t="s">
        <v>2215</v>
      </c>
      <c r="K2558" t="s">
        <v>55</v>
      </c>
      <c r="L2558" t="s">
        <v>2216</v>
      </c>
      <c r="M2558" t="s">
        <v>57</v>
      </c>
      <c r="N2558" t="str">
        <f>"048900"</f>
        <v>048900</v>
      </c>
      <c r="O2558" t="s">
        <v>2211</v>
      </c>
      <c r="P2558" t="s">
        <v>68</v>
      </c>
      <c r="Q2558">
        <v>29.2</v>
      </c>
      <c r="R2558">
        <v>0.79999999999999716</v>
      </c>
      <c r="S2558" t="s">
        <v>130</v>
      </c>
    </row>
    <row r="2559" spans="1:19" x14ac:dyDescent="0.35">
      <c r="A2559">
        <v>34363</v>
      </c>
      <c r="B2559" t="str">
        <f>"034363"</f>
        <v>034363</v>
      </c>
      <c r="C2559" t="s">
        <v>8288</v>
      </c>
      <c r="D2559" t="s">
        <v>3398</v>
      </c>
      <c r="E2559" t="s">
        <v>3395</v>
      </c>
      <c r="F2559" t="s">
        <v>3396</v>
      </c>
      <c r="G2559" t="s">
        <v>1551</v>
      </c>
      <c r="H2559" t="s">
        <v>8289</v>
      </c>
      <c r="I2559" t="s">
        <v>8290</v>
      </c>
      <c r="J2559" t="s">
        <v>1593</v>
      </c>
      <c r="K2559" t="s">
        <v>55</v>
      </c>
      <c r="L2559" t="s">
        <v>1594</v>
      </c>
      <c r="M2559" t="s">
        <v>57</v>
      </c>
      <c r="N2559" t="str">
        <f>"049056"</f>
        <v>049056</v>
      </c>
      <c r="O2559" t="s">
        <v>1590</v>
      </c>
      <c r="P2559" t="s">
        <v>68</v>
      </c>
      <c r="Q2559">
        <v>19.7</v>
      </c>
      <c r="R2559">
        <v>2.5</v>
      </c>
      <c r="S2559" t="s">
        <v>130</v>
      </c>
    </row>
    <row r="2560" spans="1:19" x14ac:dyDescent="0.35">
      <c r="A2560">
        <v>34389</v>
      </c>
      <c r="B2560" t="str">
        <f>"034389"</f>
        <v>034389</v>
      </c>
      <c r="C2560" t="s">
        <v>8291</v>
      </c>
      <c r="D2560" t="s">
        <v>3394</v>
      </c>
      <c r="E2560" t="s">
        <v>3395</v>
      </c>
      <c r="F2560" t="s">
        <v>3396</v>
      </c>
      <c r="G2560" t="s">
        <v>200</v>
      </c>
      <c r="H2560" t="s">
        <v>8292</v>
      </c>
      <c r="I2560" t="s">
        <v>8293</v>
      </c>
      <c r="J2560" t="s">
        <v>304</v>
      </c>
      <c r="K2560" t="s">
        <v>55</v>
      </c>
      <c r="L2560" t="s">
        <v>4360</v>
      </c>
      <c r="M2560" t="s">
        <v>57</v>
      </c>
      <c r="N2560" t="str">
        <f>"044909"</f>
        <v>044909</v>
      </c>
      <c r="O2560" t="s">
        <v>3318</v>
      </c>
      <c r="P2560" t="s">
        <v>68</v>
      </c>
      <c r="Q2560">
        <v>95</v>
      </c>
      <c r="R2560">
        <v>94.3</v>
      </c>
      <c r="S2560" t="s">
        <v>156</v>
      </c>
    </row>
    <row r="2561" spans="1:19" x14ac:dyDescent="0.35">
      <c r="A2561">
        <v>34405</v>
      </c>
      <c r="B2561" t="str">
        <f>"034405"</f>
        <v>034405</v>
      </c>
      <c r="C2561" t="s">
        <v>8291</v>
      </c>
      <c r="D2561" t="s">
        <v>3394</v>
      </c>
      <c r="E2561" t="s">
        <v>3395</v>
      </c>
      <c r="F2561" t="s">
        <v>3396</v>
      </c>
      <c r="G2561" t="s">
        <v>663</v>
      </c>
      <c r="H2561" t="s">
        <v>8294</v>
      </c>
      <c r="I2561" t="s">
        <v>8295</v>
      </c>
      <c r="J2561" t="s">
        <v>666</v>
      </c>
      <c r="K2561" t="s">
        <v>55</v>
      </c>
      <c r="L2561" t="s">
        <v>1605</v>
      </c>
      <c r="M2561" t="s">
        <v>57</v>
      </c>
      <c r="N2561" t="str">
        <f>"044297"</f>
        <v>044297</v>
      </c>
      <c r="O2561" t="s">
        <v>662</v>
      </c>
      <c r="P2561" t="s">
        <v>68</v>
      </c>
      <c r="Q2561">
        <v>100</v>
      </c>
      <c r="R2561">
        <v>44.6</v>
      </c>
      <c r="S2561" t="s">
        <v>77</v>
      </c>
    </row>
    <row r="2562" spans="1:19" x14ac:dyDescent="0.35">
      <c r="A2562">
        <v>34439</v>
      </c>
      <c r="B2562" t="str">
        <f>"034439"</f>
        <v>034439</v>
      </c>
      <c r="C2562" t="s">
        <v>8296</v>
      </c>
      <c r="D2562" t="s">
        <v>3400</v>
      </c>
      <c r="E2562" t="s">
        <v>3395</v>
      </c>
      <c r="F2562" t="s">
        <v>3396</v>
      </c>
      <c r="G2562" t="s">
        <v>600</v>
      </c>
      <c r="H2562" t="s">
        <v>8297</v>
      </c>
      <c r="I2562" t="s">
        <v>8298</v>
      </c>
      <c r="J2562" t="s">
        <v>1348</v>
      </c>
      <c r="K2562" t="s">
        <v>55</v>
      </c>
      <c r="L2562" t="s">
        <v>6119</v>
      </c>
      <c r="M2562" t="s">
        <v>57</v>
      </c>
      <c r="N2562" t="str">
        <f>"043802"</f>
        <v>043802</v>
      </c>
      <c r="O2562" t="s">
        <v>3171</v>
      </c>
      <c r="P2562" t="s">
        <v>68</v>
      </c>
      <c r="Q2562">
        <v>100</v>
      </c>
      <c r="R2562">
        <v>90.2</v>
      </c>
      <c r="S2562" t="s">
        <v>60</v>
      </c>
    </row>
    <row r="2563" spans="1:19" x14ac:dyDescent="0.35">
      <c r="A2563">
        <v>34447</v>
      </c>
      <c r="B2563" t="str">
        <f>"034447"</f>
        <v>034447</v>
      </c>
      <c r="C2563" t="s">
        <v>8299</v>
      </c>
      <c r="D2563" t="s">
        <v>3400</v>
      </c>
      <c r="E2563" t="s">
        <v>3395</v>
      </c>
      <c r="F2563" t="s">
        <v>3396</v>
      </c>
      <c r="G2563" t="s">
        <v>663</v>
      </c>
      <c r="H2563" t="s">
        <v>7795</v>
      </c>
      <c r="I2563" t="s">
        <v>7796</v>
      </c>
      <c r="J2563" t="s">
        <v>830</v>
      </c>
      <c r="K2563" t="s">
        <v>55</v>
      </c>
      <c r="L2563" t="s">
        <v>831</v>
      </c>
      <c r="M2563" t="s">
        <v>57</v>
      </c>
      <c r="N2563" t="str">
        <f>"049460"</f>
        <v>049460</v>
      </c>
      <c r="O2563" t="s">
        <v>827</v>
      </c>
      <c r="P2563" t="s">
        <v>68</v>
      </c>
      <c r="Q2563">
        <v>51.8</v>
      </c>
      <c r="R2563">
        <v>12.799999999999997</v>
      </c>
      <c r="S2563" t="s">
        <v>77</v>
      </c>
    </row>
    <row r="2564" spans="1:19" x14ac:dyDescent="0.35">
      <c r="A2564">
        <v>34462</v>
      </c>
      <c r="B2564" t="str">
        <f>"034462"</f>
        <v>034462</v>
      </c>
      <c r="C2564" t="s">
        <v>8299</v>
      </c>
      <c r="D2564" t="s">
        <v>3400</v>
      </c>
      <c r="E2564" t="s">
        <v>3395</v>
      </c>
      <c r="F2564" t="s">
        <v>3396</v>
      </c>
      <c r="G2564" t="s">
        <v>63</v>
      </c>
      <c r="H2564" t="s">
        <v>8300</v>
      </c>
      <c r="I2564" t="s">
        <v>8301</v>
      </c>
      <c r="J2564" t="s">
        <v>66</v>
      </c>
      <c r="K2564" t="s">
        <v>55</v>
      </c>
      <c r="L2564" t="s">
        <v>67</v>
      </c>
      <c r="M2564" t="s">
        <v>57</v>
      </c>
      <c r="N2564" t="str">
        <f>"044636"</f>
        <v>044636</v>
      </c>
      <c r="O2564" t="s">
        <v>1331</v>
      </c>
      <c r="P2564" t="s">
        <v>68</v>
      </c>
      <c r="Q2564">
        <v>62.7</v>
      </c>
      <c r="R2564">
        <v>37.5</v>
      </c>
      <c r="S2564" t="s">
        <v>69</v>
      </c>
    </row>
    <row r="2565" spans="1:19" x14ac:dyDescent="0.35">
      <c r="A2565">
        <v>34504</v>
      </c>
      <c r="B2565" t="str">
        <f>"034504"</f>
        <v>034504</v>
      </c>
      <c r="C2565" t="s">
        <v>8302</v>
      </c>
      <c r="D2565" t="s">
        <v>3394</v>
      </c>
      <c r="E2565" t="s">
        <v>3395</v>
      </c>
      <c r="F2565" t="s">
        <v>3396</v>
      </c>
      <c r="G2565" t="s">
        <v>200</v>
      </c>
      <c r="H2565" t="s">
        <v>8303</v>
      </c>
      <c r="I2565" t="s">
        <v>8304</v>
      </c>
      <c r="J2565" t="s">
        <v>304</v>
      </c>
      <c r="K2565" t="s">
        <v>55</v>
      </c>
      <c r="L2565" t="s">
        <v>4350</v>
      </c>
      <c r="M2565" t="s">
        <v>57</v>
      </c>
      <c r="N2565" t="str">
        <f>"048231"</f>
        <v>048231</v>
      </c>
      <c r="O2565" t="s">
        <v>1553</v>
      </c>
      <c r="P2565" t="s">
        <v>68</v>
      </c>
      <c r="Q2565">
        <v>51.9</v>
      </c>
      <c r="R2565">
        <v>35.400000000000006</v>
      </c>
      <c r="S2565" t="s">
        <v>156</v>
      </c>
    </row>
    <row r="2566" spans="1:19" x14ac:dyDescent="0.35">
      <c r="A2566">
        <v>34520</v>
      </c>
      <c r="B2566" t="str">
        <f>"034520"</f>
        <v>034520</v>
      </c>
      <c r="C2566" t="s">
        <v>8305</v>
      </c>
      <c r="D2566" t="s">
        <v>3394</v>
      </c>
      <c r="E2566" t="s">
        <v>3395</v>
      </c>
      <c r="F2566" t="s">
        <v>3396</v>
      </c>
      <c r="G2566" t="s">
        <v>187</v>
      </c>
      <c r="H2566" t="s">
        <v>8306</v>
      </c>
      <c r="I2566" t="s">
        <v>8307</v>
      </c>
      <c r="J2566" t="s">
        <v>8308</v>
      </c>
      <c r="K2566" t="s">
        <v>55</v>
      </c>
      <c r="L2566" t="s">
        <v>8309</v>
      </c>
      <c r="M2566" t="s">
        <v>57</v>
      </c>
      <c r="N2566" t="str">
        <f>"050591"</f>
        <v>050591</v>
      </c>
      <c r="O2566" t="s">
        <v>522</v>
      </c>
      <c r="P2566" t="s">
        <v>68</v>
      </c>
      <c r="Q2566">
        <v>41.2</v>
      </c>
      <c r="R2566">
        <v>4.5999999999999943</v>
      </c>
      <c r="S2566" t="s">
        <v>77</v>
      </c>
    </row>
    <row r="2567" spans="1:19" x14ac:dyDescent="0.35">
      <c r="A2567">
        <v>34538</v>
      </c>
      <c r="B2567" t="str">
        <f>"034538"</f>
        <v>034538</v>
      </c>
      <c r="C2567" t="s">
        <v>8310</v>
      </c>
      <c r="D2567" t="s">
        <v>3398</v>
      </c>
      <c r="E2567" t="s">
        <v>3395</v>
      </c>
      <c r="F2567" t="s">
        <v>3396</v>
      </c>
      <c r="G2567" t="s">
        <v>212</v>
      </c>
      <c r="H2567" t="s">
        <v>8311</v>
      </c>
      <c r="I2567" t="s">
        <v>8312</v>
      </c>
      <c r="J2567" t="s">
        <v>215</v>
      </c>
      <c r="K2567" t="s">
        <v>55</v>
      </c>
      <c r="L2567" t="s">
        <v>1693</v>
      </c>
      <c r="M2567" t="s">
        <v>57</v>
      </c>
      <c r="N2567" t="str">
        <f>"043752"</f>
        <v>043752</v>
      </c>
      <c r="O2567" t="s">
        <v>440</v>
      </c>
      <c r="P2567" t="s">
        <v>68</v>
      </c>
      <c r="Q2567">
        <v>98.6</v>
      </c>
      <c r="R2567">
        <v>96.1</v>
      </c>
      <c r="S2567" t="s">
        <v>217</v>
      </c>
    </row>
    <row r="2568" spans="1:19" x14ac:dyDescent="0.35">
      <c r="A2568">
        <v>34553</v>
      </c>
      <c r="B2568" t="str">
        <f>"034553"</f>
        <v>034553</v>
      </c>
      <c r="C2568" t="s">
        <v>8313</v>
      </c>
      <c r="D2568" t="s">
        <v>3394</v>
      </c>
      <c r="E2568" t="s">
        <v>3395</v>
      </c>
      <c r="F2568" t="s">
        <v>3396</v>
      </c>
      <c r="G2568" t="s">
        <v>143</v>
      </c>
      <c r="H2568" t="s">
        <v>8314</v>
      </c>
      <c r="I2568" t="s">
        <v>8315</v>
      </c>
      <c r="J2568" t="s">
        <v>1004</v>
      </c>
      <c r="K2568" t="s">
        <v>55</v>
      </c>
      <c r="L2568" t="s">
        <v>1005</v>
      </c>
      <c r="M2568" t="s">
        <v>57</v>
      </c>
      <c r="N2568" t="str">
        <f>"045195"</f>
        <v>045195</v>
      </c>
      <c r="O2568" t="s">
        <v>1001</v>
      </c>
      <c r="P2568" t="s">
        <v>68</v>
      </c>
      <c r="Q2568">
        <v>29.9</v>
      </c>
      <c r="R2568">
        <v>27.099999999999994</v>
      </c>
      <c r="S2568" t="s">
        <v>69</v>
      </c>
    </row>
    <row r="2569" spans="1:19" x14ac:dyDescent="0.35">
      <c r="A2569">
        <v>34561</v>
      </c>
      <c r="B2569" t="str">
        <f>"034561"</f>
        <v>034561</v>
      </c>
      <c r="C2569" t="s">
        <v>8316</v>
      </c>
      <c r="D2569" t="s">
        <v>3398</v>
      </c>
      <c r="E2569" t="s">
        <v>3395</v>
      </c>
      <c r="F2569" t="s">
        <v>3396</v>
      </c>
      <c r="G2569" t="s">
        <v>572</v>
      </c>
      <c r="H2569" t="s">
        <v>8317</v>
      </c>
      <c r="I2569" t="s">
        <v>8318</v>
      </c>
      <c r="J2569" t="s">
        <v>2954</v>
      </c>
      <c r="K2569" t="s">
        <v>55</v>
      </c>
      <c r="L2569" t="s">
        <v>2955</v>
      </c>
      <c r="M2569" t="s">
        <v>57</v>
      </c>
      <c r="N2569" t="str">
        <f>"044784"</f>
        <v>044784</v>
      </c>
      <c r="O2569" t="s">
        <v>2951</v>
      </c>
      <c r="P2569" t="s">
        <v>68</v>
      </c>
      <c r="Q2569">
        <v>43</v>
      </c>
      <c r="R2569">
        <v>21.099999999999994</v>
      </c>
      <c r="S2569" t="s">
        <v>180</v>
      </c>
    </row>
    <row r="2570" spans="1:19" x14ac:dyDescent="0.35">
      <c r="A2570">
        <v>34579</v>
      </c>
      <c r="B2570" t="str">
        <f>"034579"</f>
        <v>034579</v>
      </c>
      <c r="C2570" t="s">
        <v>8319</v>
      </c>
      <c r="D2570" t="s">
        <v>3394</v>
      </c>
      <c r="E2570" t="s">
        <v>3395</v>
      </c>
      <c r="F2570" t="s">
        <v>3396</v>
      </c>
      <c r="G2570" t="s">
        <v>406</v>
      </c>
      <c r="H2570" t="s">
        <v>8320</v>
      </c>
      <c r="I2570" t="s">
        <v>8321</v>
      </c>
      <c r="J2570" t="s">
        <v>406</v>
      </c>
      <c r="K2570" t="s">
        <v>55</v>
      </c>
      <c r="L2570" t="s">
        <v>409</v>
      </c>
      <c r="M2570" t="s">
        <v>57</v>
      </c>
      <c r="N2570" t="str">
        <f>"044388"</f>
        <v>044388</v>
      </c>
      <c r="O2570" t="s">
        <v>3325</v>
      </c>
      <c r="P2570" t="s">
        <v>68</v>
      </c>
      <c r="Q2570">
        <v>21.9</v>
      </c>
      <c r="R2570">
        <v>15.5</v>
      </c>
      <c r="S2570" t="s">
        <v>77</v>
      </c>
    </row>
    <row r="2571" spans="1:19" x14ac:dyDescent="0.35">
      <c r="A2571">
        <v>34587</v>
      </c>
      <c r="B2571" t="str">
        <f>"034587"</f>
        <v>034587</v>
      </c>
      <c r="C2571" t="s">
        <v>8322</v>
      </c>
      <c r="D2571" t="s">
        <v>3394</v>
      </c>
      <c r="E2571" t="s">
        <v>3395</v>
      </c>
      <c r="F2571" t="s">
        <v>3396</v>
      </c>
      <c r="G2571" t="s">
        <v>600</v>
      </c>
      <c r="H2571" t="s">
        <v>8323</v>
      </c>
      <c r="I2571" t="s">
        <v>8324</v>
      </c>
      <c r="J2571" t="s">
        <v>1348</v>
      </c>
      <c r="K2571" t="s">
        <v>55</v>
      </c>
      <c r="L2571" t="s">
        <v>8325</v>
      </c>
      <c r="M2571" t="s">
        <v>57</v>
      </c>
      <c r="N2571" t="str">
        <f>"043802"</f>
        <v>043802</v>
      </c>
      <c r="O2571" t="s">
        <v>3171</v>
      </c>
      <c r="P2571" t="s">
        <v>68</v>
      </c>
      <c r="Q2571">
        <v>100</v>
      </c>
      <c r="R2571">
        <v>89</v>
      </c>
      <c r="S2571" t="s">
        <v>60</v>
      </c>
    </row>
    <row r="2572" spans="1:19" x14ac:dyDescent="0.35">
      <c r="A2572">
        <v>34603</v>
      </c>
      <c r="B2572" t="str">
        <f>"034603"</f>
        <v>034603</v>
      </c>
      <c r="C2572" t="s">
        <v>8326</v>
      </c>
      <c r="D2572" t="s">
        <v>3394</v>
      </c>
      <c r="E2572" t="s">
        <v>3395</v>
      </c>
      <c r="F2572" t="s">
        <v>3396</v>
      </c>
      <c r="G2572" t="s">
        <v>264</v>
      </c>
      <c r="H2572" t="s">
        <v>8327</v>
      </c>
      <c r="I2572" t="s">
        <v>8328</v>
      </c>
      <c r="J2572" t="s">
        <v>8329</v>
      </c>
      <c r="K2572" t="s">
        <v>55</v>
      </c>
      <c r="L2572" t="s">
        <v>1211</v>
      </c>
      <c r="M2572" t="s">
        <v>57</v>
      </c>
      <c r="N2572" t="str">
        <f>"043836"</f>
        <v>043836</v>
      </c>
      <c r="O2572" t="s">
        <v>2494</v>
      </c>
      <c r="P2572" t="s">
        <v>68</v>
      </c>
      <c r="Q2572">
        <v>46</v>
      </c>
      <c r="R2572">
        <v>20.5</v>
      </c>
      <c r="S2572" t="s">
        <v>77</v>
      </c>
    </row>
    <row r="2573" spans="1:19" x14ac:dyDescent="0.35">
      <c r="A2573">
        <v>34611</v>
      </c>
      <c r="B2573" t="str">
        <f>"034611"</f>
        <v>034611</v>
      </c>
      <c r="C2573" t="s">
        <v>8330</v>
      </c>
      <c r="D2573" t="s">
        <v>3394</v>
      </c>
      <c r="E2573" t="s">
        <v>3395</v>
      </c>
      <c r="F2573" t="s">
        <v>3396</v>
      </c>
      <c r="G2573" t="s">
        <v>312</v>
      </c>
      <c r="H2573" t="s">
        <v>8331</v>
      </c>
      <c r="I2573" t="s">
        <v>8332</v>
      </c>
      <c r="J2573" t="s">
        <v>312</v>
      </c>
      <c r="K2573" t="s">
        <v>55</v>
      </c>
      <c r="L2573" t="s">
        <v>315</v>
      </c>
      <c r="M2573" t="s">
        <v>57</v>
      </c>
      <c r="N2573" t="str">
        <f>"044339"</f>
        <v>044339</v>
      </c>
      <c r="O2573" t="s">
        <v>2453</v>
      </c>
      <c r="P2573" t="s">
        <v>68</v>
      </c>
      <c r="Q2573">
        <v>100</v>
      </c>
      <c r="R2573">
        <v>25.299999999999997</v>
      </c>
      <c r="S2573" t="s">
        <v>156</v>
      </c>
    </row>
    <row r="2574" spans="1:19" x14ac:dyDescent="0.35">
      <c r="A2574">
        <v>34629</v>
      </c>
      <c r="B2574" t="str">
        <f>"034629"</f>
        <v>034629</v>
      </c>
      <c r="C2574" t="s">
        <v>8333</v>
      </c>
      <c r="D2574" t="s">
        <v>3394</v>
      </c>
      <c r="E2574" t="s">
        <v>3395</v>
      </c>
      <c r="F2574" t="s">
        <v>3396</v>
      </c>
      <c r="G2574" t="s">
        <v>212</v>
      </c>
      <c r="H2574" t="s">
        <v>8334</v>
      </c>
      <c r="I2574" t="s">
        <v>8335</v>
      </c>
      <c r="J2574" t="s">
        <v>215</v>
      </c>
      <c r="K2574" t="s">
        <v>55</v>
      </c>
      <c r="L2574" t="s">
        <v>1405</v>
      </c>
      <c r="M2574" t="s">
        <v>57</v>
      </c>
      <c r="N2574" t="str">
        <f>"043752"</f>
        <v>043752</v>
      </c>
      <c r="O2574" t="s">
        <v>440</v>
      </c>
      <c r="P2574" t="s">
        <v>68</v>
      </c>
      <c r="Q2574">
        <v>99.4</v>
      </c>
      <c r="R2574">
        <v>93.1</v>
      </c>
      <c r="S2574" t="s">
        <v>217</v>
      </c>
    </row>
    <row r="2575" spans="1:19" x14ac:dyDescent="0.35">
      <c r="A2575">
        <v>34678</v>
      </c>
      <c r="B2575" t="str">
        <f>"034678"</f>
        <v>034678</v>
      </c>
      <c r="C2575" t="s">
        <v>8336</v>
      </c>
      <c r="D2575" t="s">
        <v>3394</v>
      </c>
      <c r="E2575" t="s">
        <v>3395</v>
      </c>
      <c r="F2575" t="s">
        <v>3396</v>
      </c>
      <c r="G2575" t="s">
        <v>1239</v>
      </c>
      <c r="H2575" t="s">
        <v>8337</v>
      </c>
      <c r="I2575" t="s">
        <v>8338</v>
      </c>
      <c r="J2575" t="s">
        <v>8339</v>
      </c>
      <c r="K2575" t="s">
        <v>55</v>
      </c>
      <c r="L2575" t="s">
        <v>8340</v>
      </c>
      <c r="M2575" t="s">
        <v>57</v>
      </c>
      <c r="N2575" t="str">
        <f>"048652"</f>
        <v>048652</v>
      </c>
      <c r="O2575" t="s">
        <v>2757</v>
      </c>
      <c r="P2575" t="s">
        <v>68</v>
      </c>
      <c r="Q2575">
        <v>38.6</v>
      </c>
      <c r="R2575">
        <v>2.2999999999999972</v>
      </c>
      <c r="S2575" t="s">
        <v>130</v>
      </c>
    </row>
    <row r="2576" spans="1:19" x14ac:dyDescent="0.35">
      <c r="A2576">
        <v>34694</v>
      </c>
      <c r="B2576" t="str">
        <f>"034694"</f>
        <v>034694</v>
      </c>
      <c r="C2576" t="s">
        <v>8341</v>
      </c>
      <c r="D2576" t="s">
        <v>3394</v>
      </c>
      <c r="E2576" t="s">
        <v>3395</v>
      </c>
      <c r="F2576" t="s">
        <v>3396</v>
      </c>
      <c r="G2576" t="s">
        <v>543</v>
      </c>
      <c r="H2576" t="s">
        <v>8342</v>
      </c>
      <c r="I2576" t="s">
        <v>8343</v>
      </c>
      <c r="J2576" t="s">
        <v>687</v>
      </c>
      <c r="K2576" t="s">
        <v>55</v>
      </c>
      <c r="L2576" t="s">
        <v>2846</v>
      </c>
      <c r="M2576" t="s">
        <v>57</v>
      </c>
      <c r="N2576" t="str">
        <f>"044586"</f>
        <v>044586</v>
      </c>
      <c r="O2576" t="s">
        <v>1367</v>
      </c>
      <c r="P2576" t="s">
        <v>68</v>
      </c>
      <c r="Q2576">
        <v>6.1</v>
      </c>
      <c r="R2576">
        <v>20.400000000000006</v>
      </c>
      <c r="S2576" t="s">
        <v>180</v>
      </c>
    </row>
    <row r="2577" spans="1:19" x14ac:dyDescent="0.35">
      <c r="A2577">
        <v>34710</v>
      </c>
      <c r="B2577" t="str">
        <f>"034710"</f>
        <v>034710</v>
      </c>
      <c r="C2577" t="s">
        <v>8344</v>
      </c>
      <c r="D2577" t="s">
        <v>3394</v>
      </c>
      <c r="E2577" t="s">
        <v>3395</v>
      </c>
      <c r="F2577" t="s">
        <v>3396</v>
      </c>
      <c r="G2577" t="s">
        <v>63</v>
      </c>
      <c r="H2577" t="s">
        <v>8345</v>
      </c>
      <c r="I2577" t="s">
        <v>8346</v>
      </c>
      <c r="J2577" t="s">
        <v>3071</v>
      </c>
      <c r="K2577" t="s">
        <v>55</v>
      </c>
      <c r="L2577" t="s">
        <v>3072</v>
      </c>
      <c r="M2577" t="s">
        <v>57</v>
      </c>
      <c r="N2577" t="str">
        <f>"043612"</f>
        <v>043612</v>
      </c>
      <c r="O2577" t="s">
        <v>3068</v>
      </c>
      <c r="P2577" t="s">
        <v>68</v>
      </c>
      <c r="Q2577">
        <v>26.1</v>
      </c>
      <c r="R2577">
        <v>25.799999999999997</v>
      </c>
      <c r="S2577" t="s">
        <v>69</v>
      </c>
    </row>
    <row r="2578" spans="1:19" x14ac:dyDescent="0.35">
      <c r="A2578">
        <v>34736</v>
      </c>
      <c r="B2578" t="str">
        <f>"034736"</f>
        <v>034736</v>
      </c>
      <c r="C2578" t="s">
        <v>8347</v>
      </c>
      <c r="D2578" t="s">
        <v>3400</v>
      </c>
      <c r="E2578" t="s">
        <v>3395</v>
      </c>
      <c r="F2578" t="s">
        <v>3396</v>
      </c>
      <c r="G2578" t="s">
        <v>318</v>
      </c>
      <c r="H2578" t="s">
        <v>8348</v>
      </c>
      <c r="I2578" t="s">
        <v>8349</v>
      </c>
      <c r="J2578" t="s">
        <v>321</v>
      </c>
      <c r="K2578" t="s">
        <v>55</v>
      </c>
      <c r="L2578" t="s">
        <v>322</v>
      </c>
      <c r="M2578" t="s">
        <v>57</v>
      </c>
      <c r="N2578" t="str">
        <f>"043745"</f>
        <v>043745</v>
      </c>
      <c r="O2578" t="s">
        <v>2515</v>
      </c>
      <c r="P2578" t="s">
        <v>68</v>
      </c>
      <c r="Q2578">
        <v>100</v>
      </c>
      <c r="R2578">
        <v>28.900000000000006</v>
      </c>
      <c r="S2578" t="s">
        <v>130</v>
      </c>
    </row>
    <row r="2579" spans="1:19" x14ac:dyDescent="0.35">
      <c r="A2579">
        <v>34793</v>
      </c>
      <c r="B2579" t="str">
        <f>"034793"</f>
        <v>034793</v>
      </c>
      <c r="C2579" t="s">
        <v>8350</v>
      </c>
      <c r="D2579" t="s">
        <v>3398</v>
      </c>
      <c r="E2579" t="s">
        <v>3395</v>
      </c>
      <c r="F2579" t="s">
        <v>3396</v>
      </c>
      <c r="G2579" t="s">
        <v>187</v>
      </c>
      <c r="H2579" t="s">
        <v>5589</v>
      </c>
      <c r="I2579" t="s">
        <v>5590</v>
      </c>
      <c r="J2579" t="s">
        <v>397</v>
      </c>
      <c r="K2579" t="s">
        <v>55</v>
      </c>
      <c r="L2579" t="s">
        <v>398</v>
      </c>
      <c r="M2579" t="s">
        <v>57</v>
      </c>
      <c r="N2579" t="str">
        <f>"050559"</f>
        <v>050559</v>
      </c>
      <c r="O2579" t="s">
        <v>2579</v>
      </c>
      <c r="P2579" t="s">
        <v>68</v>
      </c>
      <c r="Q2579">
        <v>20.9</v>
      </c>
      <c r="R2579">
        <v>8.0999999999999943</v>
      </c>
      <c r="S2579" t="s">
        <v>77</v>
      </c>
    </row>
    <row r="2580" spans="1:19" x14ac:dyDescent="0.35">
      <c r="A2580">
        <v>34801</v>
      </c>
      <c r="B2580" t="str">
        <f>"034801"</f>
        <v>034801</v>
      </c>
      <c r="C2580" t="s">
        <v>8351</v>
      </c>
      <c r="D2580" t="s">
        <v>3394</v>
      </c>
      <c r="E2580" t="s">
        <v>3395</v>
      </c>
      <c r="F2580" t="s">
        <v>3396</v>
      </c>
      <c r="G2580" t="s">
        <v>777</v>
      </c>
      <c r="H2580" t="s">
        <v>8352</v>
      </c>
      <c r="I2580" t="s">
        <v>8353</v>
      </c>
      <c r="J2580" t="s">
        <v>780</v>
      </c>
      <c r="K2580" t="s">
        <v>55</v>
      </c>
      <c r="L2580" t="s">
        <v>8354</v>
      </c>
      <c r="M2580" t="s">
        <v>57</v>
      </c>
      <c r="N2580" t="str">
        <f>"044818"</f>
        <v>044818</v>
      </c>
      <c r="O2580" t="s">
        <v>2812</v>
      </c>
      <c r="P2580" t="s">
        <v>68</v>
      </c>
      <c r="Q2580">
        <v>100</v>
      </c>
      <c r="R2580">
        <v>37.200000000000003</v>
      </c>
      <c r="S2580" t="s">
        <v>180</v>
      </c>
    </row>
    <row r="2581" spans="1:19" x14ac:dyDescent="0.35">
      <c r="A2581">
        <v>34827</v>
      </c>
      <c r="B2581" t="str">
        <f>"034827"</f>
        <v>034827</v>
      </c>
      <c r="C2581" t="s">
        <v>8355</v>
      </c>
      <c r="D2581" t="s">
        <v>3394</v>
      </c>
      <c r="E2581" t="s">
        <v>3395</v>
      </c>
      <c r="F2581" t="s">
        <v>3396</v>
      </c>
      <c r="G2581" t="s">
        <v>777</v>
      </c>
      <c r="H2581" t="s">
        <v>8356</v>
      </c>
      <c r="I2581" t="s">
        <v>8357</v>
      </c>
      <c r="J2581" t="s">
        <v>780</v>
      </c>
      <c r="K2581" t="s">
        <v>55</v>
      </c>
      <c r="L2581" t="s">
        <v>8354</v>
      </c>
      <c r="M2581" t="s">
        <v>57</v>
      </c>
      <c r="N2581" t="str">
        <f>"044818"</f>
        <v>044818</v>
      </c>
      <c r="O2581" t="s">
        <v>2812</v>
      </c>
      <c r="P2581" t="s">
        <v>68</v>
      </c>
      <c r="Q2581">
        <v>100</v>
      </c>
      <c r="R2581">
        <v>49.2</v>
      </c>
      <c r="S2581" t="s">
        <v>180</v>
      </c>
    </row>
    <row r="2582" spans="1:19" x14ac:dyDescent="0.35">
      <c r="A2582">
        <v>34835</v>
      </c>
      <c r="B2582" t="str">
        <f>"034835"</f>
        <v>034835</v>
      </c>
      <c r="C2582" t="s">
        <v>8358</v>
      </c>
      <c r="D2582" t="s">
        <v>3398</v>
      </c>
      <c r="E2582" t="s">
        <v>3395</v>
      </c>
      <c r="F2582" t="s">
        <v>3396</v>
      </c>
      <c r="G2582" t="s">
        <v>63</v>
      </c>
      <c r="H2582" t="s">
        <v>8359</v>
      </c>
      <c r="I2582" t="s">
        <v>8360</v>
      </c>
      <c r="J2582" t="s">
        <v>1863</v>
      </c>
      <c r="K2582" t="s">
        <v>55</v>
      </c>
      <c r="L2582" t="s">
        <v>1864</v>
      </c>
      <c r="M2582" t="s">
        <v>57</v>
      </c>
      <c r="N2582" t="str">
        <f>"046607"</f>
        <v>046607</v>
      </c>
      <c r="O2582" t="s">
        <v>1860</v>
      </c>
      <c r="P2582" t="s">
        <v>68</v>
      </c>
      <c r="Q2582">
        <v>12</v>
      </c>
      <c r="R2582">
        <v>47.4</v>
      </c>
      <c r="S2582" t="s">
        <v>69</v>
      </c>
    </row>
    <row r="2583" spans="1:19" x14ac:dyDescent="0.35">
      <c r="A2583">
        <v>34850</v>
      </c>
      <c r="B2583" t="str">
        <f>"034850"</f>
        <v>034850</v>
      </c>
      <c r="C2583" t="s">
        <v>8361</v>
      </c>
      <c r="D2583" t="s">
        <v>3394</v>
      </c>
      <c r="E2583" t="s">
        <v>3395</v>
      </c>
      <c r="F2583" t="s">
        <v>3396</v>
      </c>
      <c r="G2583" t="s">
        <v>264</v>
      </c>
      <c r="H2583" t="s">
        <v>8362</v>
      </c>
      <c r="I2583" t="s">
        <v>8363</v>
      </c>
      <c r="J2583" t="s">
        <v>298</v>
      </c>
      <c r="K2583" t="s">
        <v>55</v>
      </c>
      <c r="L2583" t="s">
        <v>299</v>
      </c>
      <c r="M2583" t="s">
        <v>57</v>
      </c>
      <c r="N2583" t="str">
        <f>"050039"</f>
        <v>050039</v>
      </c>
      <c r="O2583" t="s">
        <v>1921</v>
      </c>
      <c r="P2583" t="s">
        <v>68</v>
      </c>
      <c r="Q2583">
        <v>30.8</v>
      </c>
      <c r="R2583">
        <v>3.4000000000000057</v>
      </c>
      <c r="S2583" t="s">
        <v>77</v>
      </c>
    </row>
    <row r="2584" spans="1:19" x14ac:dyDescent="0.35">
      <c r="A2584">
        <v>34868</v>
      </c>
      <c r="B2584" t="str">
        <f>"034868"</f>
        <v>034868</v>
      </c>
      <c r="C2584" t="s">
        <v>8364</v>
      </c>
      <c r="D2584" t="s">
        <v>3394</v>
      </c>
      <c r="E2584" t="s">
        <v>3395</v>
      </c>
      <c r="F2584" t="s">
        <v>3396</v>
      </c>
      <c r="G2584" t="s">
        <v>1551</v>
      </c>
      <c r="H2584" t="s">
        <v>8365</v>
      </c>
      <c r="I2584" t="s">
        <v>8366</v>
      </c>
      <c r="J2584" t="s">
        <v>8367</v>
      </c>
      <c r="K2584" t="s">
        <v>55</v>
      </c>
      <c r="L2584" t="s">
        <v>8368</v>
      </c>
      <c r="M2584" t="s">
        <v>57</v>
      </c>
      <c r="N2584" t="str">
        <f>"049056"</f>
        <v>049056</v>
      </c>
      <c r="O2584" t="s">
        <v>1590</v>
      </c>
      <c r="P2584" t="s">
        <v>68</v>
      </c>
      <c r="Q2584">
        <v>37.200000000000003</v>
      </c>
      <c r="R2584">
        <v>4.5999999999999943</v>
      </c>
      <c r="S2584" t="s">
        <v>130</v>
      </c>
    </row>
    <row r="2585" spans="1:19" x14ac:dyDescent="0.35">
      <c r="A2585">
        <v>34892</v>
      </c>
      <c r="B2585" t="str">
        <f>"034892"</f>
        <v>034892</v>
      </c>
      <c r="C2585" t="s">
        <v>8369</v>
      </c>
      <c r="D2585" t="s">
        <v>3394</v>
      </c>
      <c r="E2585" t="s">
        <v>3395</v>
      </c>
      <c r="F2585" t="s">
        <v>3396</v>
      </c>
      <c r="G2585" t="s">
        <v>600</v>
      </c>
      <c r="H2585" t="s">
        <v>8370</v>
      </c>
      <c r="I2585" t="s">
        <v>8371</v>
      </c>
      <c r="J2585" t="s">
        <v>1136</v>
      </c>
      <c r="K2585" t="s">
        <v>55</v>
      </c>
      <c r="L2585" t="s">
        <v>1137</v>
      </c>
      <c r="M2585" t="s">
        <v>57</v>
      </c>
      <c r="N2585" t="str">
        <f>"044800"</f>
        <v>044800</v>
      </c>
      <c r="O2585" t="s">
        <v>1133</v>
      </c>
      <c r="P2585" t="s">
        <v>68</v>
      </c>
      <c r="Q2585">
        <v>29.6</v>
      </c>
      <c r="R2585">
        <v>18.799999999999997</v>
      </c>
      <c r="S2585" t="s">
        <v>60</v>
      </c>
    </row>
    <row r="2586" spans="1:19" x14ac:dyDescent="0.35">
      <c r="A2586">
        <v>34918</v>
      </c>
      <c r="B2586" t="str">
        <f>"034918"</f>
        <v>034918</v>
      </c>
      <c r="C2586" t="s">
        <v>8372</v>
      </c>
      <c r="D2586" t="s">
        <v>3398</v>
      </c>
      <c r="E2586" t="s">
        <v>3395</v>
      </c>
      <c r="F2586" t="s">
        <v>3396</v>
      </c>
      <c r="G2586" t="s">
        <v>79</v>
      </c>
      <c r="H2586" t="s">
        <v>1718</v>
      </c>
      <c r="I2586" t="s">
        <v>1719</v>
      </c>
      <c r="J2586" t="s">
        <v>1720</v>
      </c>
      <c r="K2586" t="s">
        <v>55</v>
      </c>
      <c r="L2586" t="s">
        <v>1721</v>
      </c>
      <c r="M2586" t="s">
        <v>57</v>
      </c>
      <c r="N2586" t="str">
        <f>"047738"</f>
        <v>047738</v>
      </c>
      <c r="O2586" t="s">
        <v>1717</v>
      </c>
      <c r="P2586" t="s">
        <v>68</v>
      </c>
      <c r="Q2586">
        <v>41.5</v>
      </c>
      <c r="R2586">
        <v>7</v>
      </c>
      <c r="S2586" t="s">
        <v>69</v>
      </c>
    </row>
    <row r="2587" spans="1:19" x14ac:dyDescent="0.35">
      <c r="A2587">
        <v>34926</v>
      </c>
      <c r="B2587" t="str">
        <f>"034926"</f>
        <v>034926</v>
      </c>
      <c r="C2587" t="s">
        <v>8373</v>
      </c>
      <c r="D2587" t="s">
        <v>3543</v>
      </c>
      <c r="E2587" t="s">
        <v>3395</v>
      </c>
      <c r="F2587" t="s">
        <v>3396</v>
      </c>
      <c r="G2587" t="s">
        <v>92</v>
      </c>
      <c r="H2587" t="s">
        <v>8374</v>
      </c>
      <c r="I2587" t="s">
        <v>8375</v>
      </c>
      <c r="J2587" t="s">
        <v>1940</v>
      </c>
      <c r="K2587" t="s">
        <v>55</v>
      </c>
      <c r="L2587" t="s">
        <v>1941</v>
      </c>
      <c r="M2587" t="s">
        <v>57</v>
      </c>
      <c r="N2587" t="str">
        <f>"044206"</f>
        <v>044206</v>
      </c>
      <c r="O2587" t="s">
        <v>2980</v>
      </c>
      <c r="P2587" t="s">
        <v>68</v>
      </c>
      <c r="Q2587" t="s">
        <v>68</v>
      </c>
      <c r="R2587" t="s">
        <v>68</v>
      </c>
      <c r="S2587" t="s">
        <v>60</v>
      </c>
    </row>
    <row r="2588" spans="1:19" x14ac:dyDescent="0.35">
      <c r="A2588">
        <v>34934</v>
      </c>
      <c r="B2588" t="str">
        <f>"034934"</f>
        <v>034934</v>
      </c>
      <c r="C2588" t="s">
        <v>8129</v>
      </c>
      <c r="D2588" t="s">
        <v>3394</v>
      </c>
      <c r="E2588" t="s">
        <v>3395</v>
      </c>
      <c r="F2588" t="s">
        <v>3396</v>
      </c>
      <c r="G2588" t="s">
        <v>71</v>
      </c>
      <c r="H2588" t="s">
        <v>8376</v>
      </c>
      <c r="I2588" t="s">
        <v>8377</v>
      </c>
      <c r="J2588" t="s">
        <v>991</v>
      </c>
      <c r="K2588" t="s">
        <v>55</v>
      </c>
      <c r="L2588" t="s">
        <v>992</v>
      </c>
      <c r="M2588" t="s">
        <v>57</v>
      </c>
      <c r="N2588" t="str">
        <f>"043893"</f>
        <v>043893</v>
      </c>
      <c r="O2588" t="s">
        <v>988</v>
      </c>
      <c r="P2588" t="s">
        <v>68</v>
      </c>
      <c r="Q2588">
        <v>40.5</v>
      </c>
      <c r="R2588">
        <v>28.400000000000006</v>
      </c>
      <c r="S2588" t="s">
        <v>77</v>
      </c>
    </row>
    <row r="2589" spans="1:19" x14ac:dyDescent="0.35">
      <c r="A2589">
        <v>34959</v>
      </c>
      <c r="B2589" t="str">
        <f>"034959"</f>
        <v>034959</v>
      </c>
      <c r="C2589" t="s">
        <v>8129</v>
      </c>
      <c r="D2589" t="s">
        <v>3394</v>
      </c>
      <c r="E2589" t="s">
        <v>3395</v>
      </c>
      <c r="F2589" t="s">
        <v>3396</v>
      </c>
      <c r="G2589" t="s">
        <v>71</v>
      </c>
      <c r="H2589" t="s">
        <v>8378</v>
      </c>
      <c r="I2589" t="s">
        <v>8379</v>
      </c>
      <c r="J2589" t="s">
        <v>447</v>
      </c>
      <c r="K2589" t="s">
        <v>55</v>
      </c>
      <c r="L2589" t="s">
        <v>448</v>
      </c>
      <c r="M2589" t="s">
        <v>57</v>
      </c>
      <c r="N2589" t="str">
        <f>"044487"</f>
        <v>044487</v>
      </c>
      <c r="O2589" t="s">
        <v>444</v>
      </c>
      <c r="P2589" t="s">
        <v>68</v>
      </c>
      <c r="Q2589">
        <v>58.5</v>
      </c>
      <c r="R2589">
        <v>25.400000000000006</v>
      </c>
      <c r="S2589" t="s">
        <v>77</v>
      </c>
    </row>
    <row r="2590" spans="1:19" x14ac:dyDescent="0.35">
      <c r="A2590">
        <v>35048</v>
      </c>
      <c r="B2590" t="str">
        <f>"035048"</f>
        <v>035048</v>
      </c>
      <c r="C2590" t="s">
        <v>8380</v>
      </c>
      <c r="D2590" t="s">
        <v>3400</v>
      </c>
      <c r="E2590" t="s">
        <v>3395</v>
      </c>
      <c r="F2590" t="s">
        <v>3396</v>
      </c>
      <c r="G2590" t="s">
        <v>264</v>
      </c>
      <c r="H2590" t="s">
        <v>8381</v>
      </c>
      <c r="I2590" t="s">
        <v>8382</v>
      </c>
      <c r="J2590" t="s">
        <v>267</v>
      </c>
      <c r="K2590" t="s">
        <v>55</v>
      </c>
      <c r="L2590" t="s">
        <v>8383</v>
      </c>
      <c r="M2590" t="s">
        <v>57</v>
      </c>
      <c r="N2590" t="str">
        <f>"043489"</f>
        <v>043489</v>
      </c>
      <c r="O2590" t="s">
        <v>3176</v>
      </c>
      <c r="P2590" t="s">
        <v>68</v>
      </c>
      <c r="Q2590">
        <v>100</v>
      </c>
      <c r="R2590">
        <v>46</v>
      </c>
      <c r="S2590" t="s">
        <v>77</v>
      </c>
    </row>
    <row r="2591" spans="1:19" x14ac:dyDescent="0.35">
      <c r="A2591">
        <v>35063</v>
      </c>
      <c r="B2591" t="str">
        <f>"035063"</f>
        <v>035063</v>
      </c>
      <c r="C2591" t="s">
        <v>8384</v>
      </c>
      <c r="D2591" t="s">
        <v>3398</v>
      </c>
      <c r="E2591" t="s">
        <v>3395</v>
      </c>
      <c r="F2591" t="s">
        <v>3396</v>
      </c>
      <c r="G2591" t="s">
        <v>600</v>
      </c>
      <c r="H2591" t="s">
        <v>8385</v>
      </c>
      <c r="I2591" t="s">
        <v>8386</v>
      </c>
      <c r="J2591" t="s">
        <v>1348</v>
      </c>
      <c r="K2591" t="s">
        <v>55</v>
      </c>
      <c r="L2591" t="s">
        <v>8325</v>
      </c>
      <c r="M2591" t="s">
        <v>57</v>
      </c>
      <c r="N2591" t="str">
        <f>"043802"</f>
        <v>043802</v>
      </c>
      <c r="O2591" t="s">
        <v>3171</v>
      </c>
      <c r="P2591" t="s">
        <v>68</v>
      </c>
      <c r="Q2591">
        <v>100</v>
      </c>
      <c r="R2591">
        <v>85</v>
      </c>
      <c r="S2591" t="s">
        <v>60</v>
      </c>
    </row>
    <row r="2592" spans="1:19" x14ac:dyDescent="0.35">
      <c r="A2592">
        <v>35089</v>
      </c>
      <c r="B2592" t="str">
        <f>"035089"</f>
        <v>035089</v>
      </c>
      <c r="C2592" t="s">
        <v>8387</v>
      </c>
      <c r="D2592" t="s">
        <v>3398</v>
      </c>
      <c r="E2592" t="s">
        <v>3395</v>
      </c>
      <c r="F2592" t="s">
        <v>3396</v>
      </c>
      <c r="G2592" t="s">
        <v>481</v>
      </c>
      <c r="H2592" t="s">
        <v>8388</v>
      </c>
      <c r="I2592" t="s">
        <v>8389</v>
      </c>
      <c r="J2592" t="s">
        <v>4970</v>
      </c>
      <c r="K2592" t="s">
        <v>55</v>
      </c>
      <c r="L2592" t="s">
        <v>1822</v>
      </c>
      <c r="M2592" t="s">
        <v>57</v>
      </c>
      <c r="N2592" t="str">
        <f>"045104"</f>
        <v>045104</v>
      </c>
      <c r="O2592" t="s">
        <v>771</v>
      </c>
      <c r="P2592" t="s">
        <v>68</v>
      </c>
      <c r="Q2592">
        <v>31.2</v>
      </c>
      <c r="R2592">
        <v>34.599999999999994</v>
      </c>
      <c r="S2592" t="s">
        <v>69</v>
      </c>
    </row>
    <row r="2593" spans="1:19" x14ac:dyDescent="0.35">
      <c r="A2593">
        <v>35097</v>
      </c>
      <c r="B2593" t="str">
        <f>"035097"</f>
        <v>035097</v>
      </c>
      <c r="C2593" t="s">
        <v>8390</v>
      </c>
      <c r="D2593" t="s">
        <v>3394</v>
      </c>
      <c r="E2593" t="s">
        <v>3395</v>
      </c>
      <c r="F2593" t="s">
        <v>3396</v>
      </c>
      <c r="G2593" t="s">
        <v>1193</v>
      </c>
      <c r="H2593" t="s">
        <v>1828</v>
      </c>
      <c r="I2593" t="s">
        <v>1829</v>
      </c>
      <c r="J2593" t="s">
        <v>1196</v>
      </c>
      <c r="K2593" t="s">
        <v>55</v>
      </c>
      <c r="L2593" t="s">
        <v>1830</v>
      </c>
      <c r="M2593" t="s">
        <v>57</v>
      </c>
      <c r="N2593" t="str">
        <f>"044222"</f>
        <v>044222</v>
      </c>
      <c r="O2593" t="s">
        <v>1827</v>
      </c>
      <c r="P2593" t="s">
        <v>68</v>
      </c>
      <c r="Q2593">
        <v>100</v>
      </c>
      <c r="R2593">
        <v>65.400000000000006</v>
      </c>
      <c r="S2593" t="s">
        <v>156</v>
      </c>
    </row>
    <row r="2594" spans="1:19" x14ac:dyDescent="0.35">
      <c r="A2594">
        <v>35105</v>
      </c>
      <c r="B2594" t="str">
        <f>"035105"</f>
        <v>035105</v>
      </c>
      <c r="C2594" t="s">
        <v>8391</v>
      </c>
      <c r="D2594" t="s">
        <v>3400</v>
      </c>
      <c r="E2594" t="s">
        <v>3395</v>
      </c>
      <c r="F2594" t="s">
        <v>3396</v>
      </c>
      <c r="G2594" t="s">
        <v>212</v>
      </c>
      <c r="H2594" t="s">
        <v>7130</v>
      </c>
      <c r="I2594" t="s">
        <v>7131</v>
      </c>
      <c r="J2594" t="s">
        <v>215</v>
      </c>
      <c r="K2594" t="s">
        <v>55</v>
      </c>
      <c r="L2594" t="s">
        <v>914</v>
      </c>
      <c r="M2594" t="s">
        <v>57</v>
      </c>
      <c r="N2594" t="str">
        <f>"044412"</f>
        <v>044412</v>
      </c>
      <c r="O2594" t="s">
        <v>1627</v>
      </c>
      <c r="P2594" t="s">
        <v>68</v>
      </c>
      <c r="Q2594">
        <v>99.1</v>
      </c>
      <c r="R2594">
        <v>89.3</v>
      </c>
      <c r="S2594" t="s">
        <v>217</v>
      </c>
    </row>
    <row r="2595" spans="1:19" x14ac:dyDescent="0.35">
      <c r="A2595">
        <v>35139</v>
      </c>
      <c r="B2595" t="str">
        <f>"035139"</f>
        <v>035139</v>
      </c>
      <c r="C2595" t="s">
        <v>8392</v>
      </c>
      <c r="D2595" t="s">
        <v>3394</v>
      </c>
      <c r="E2595" t="s">
        <v>3395</v>
      </c>
      <c r="F2595" t="s">
        <v>3396</v>
      </c>
      <c r="G2595" t="s">
        <v>759</v>
      </c>
      <c r="H2595" t="s">
        <v>8393</v>
      </c>
      <c r="I2595" t="s">
        <v>8394</v>
      </c>
      <c r="J2595" t="s">
        <v>2780</v>
      </c>
      <c r="K2595" t="s">
        <v>55</v>
      </c>
      <c r="L2595" t="s">
        <v>2781</v>
      </c>
      <c r="M2595" t="s">
        <v>57</v>
      </c>
      <c r="N2595" t="str">
        <f>"046821"</f>
        <v>046821</v>
      </c>
      <c r="O2595" t="s">
        <v>2777</v>
      </c>
      <c r="P2595" t="s">
        <v>68</v>
      </c>
      <c r="Q2595">
        <v>26.3</v>
      </c>
      <c r="R2595">
        <v>11.400000000000006</v>
      </c>
      <c r="S2595" t="s">
        <v>69</v>
      </c>
    </row>
    <row r="2596" spans="1:19" x14ac:dyDescent="0.35">
      <c r="A2596">
        <v>35147</v>
      </c>
      <c r="B2596" t="str">
        <f>"035147"</f>
        <v>035147</v>
      </c>
      <c r="C2596" t="s">
        <v>8395</v>
      </c>
      <c r="D2596" t="s">
        <v>3394</v>
      </c>
      <c r="E2596" t="s">
        <v>3395</v>
      </c>
      <c r="F2596" t="s">
        <v>3396</v>
      </c>
      <c r="G2596" t="s">
        <v>543</v>
      </c>
      <c r="H2596" t="s">
        <v>8396</v>
      </c>
      <c r="I2596" t="s">
        <v>8397</v>
      </c>
      <c r="J2596" t="s">
        <v>1961</v>
      </c>
      <c r="K2596" t="s">
        <v>55</v>
      </c>
      <c r="L2596" t="s">
        <v>1370</v>
      </c>
      <c r="M2596" t="s">
        <v>57</v>
      </c>
      <c r="N2596" t="str">
        <f>"044180"</f>
        <v>044180</v>
      </c>
      <c r="O2596" t="s">
        <v>1963</v>
      </c>
      <c r="P2596" t="s">
        <v>68</v>
      </c>
      <c r="Q2596">
        <v>36.299999999999997</v>
      </c>
      <c r="R2596">
        <v>21.599999999999994</v>
      </c>
      <c r="S2596" t="s">
        <v>180</v>
      </c>
    </row>
    <row r="2597" spans="1:19" x14ac:dyDescent="0.35">
      <c r="A2597">
        <v>35147</v>
      </c>
      <c r="B2597" t="str">
        <f>"035147"</f>
        <v>035147</v>
      </c>
      <c r="C2597" t="s">
        <v>8395</v>
      </c>
      <c r="D2597" t="s">
        <v>3929</v>
      </c>
      <c r="E2597" t="s">
        <v>3395</v>
      </c>
      <c r="F2597" t="s">
        <v>3396</v>
      </c>
      <c r="G2597" t="s">
        <v>543</v>
      </c>
      <c r="H2597" t="s">
        <v>8396</v>
      </c>
      <c r="I2597" t="s">
        <v>8397</v>
      </c>
      <c r="J2597" t="s">
        <v>1961</v>
      </c>
      <c r="K2597" t="s">
        <v>55</v>
      </c>
      <c r="L2597" t="s">
        <v>1370</v>
      </c>
      <c r="M2597" t="s">
        <v>57</v>
      </c>
      <c r="N2597" t="str">
        <f>"044180"</f>
        <v>044180</v>
      </c>
      <c r="O2597" t="s">
        <v>1963</v>
      </c>
      <c r="P2597" t="s">
        <v>68</v>
      </c>
      <c r="Q2597">
        <v>36.299999999999997</v>
      </c>
      <c r="R2597">
        <v>21.599999999999994</v>
      </c>
      <c r="S2597" t="s">
        <v>180</v>
      </c>
    </row>
    <row r="2598" spans="1:19" x14ac:dyDescent="0.35">
      <c r="A2598">
        <v>35154</v>
      </c>
      <c r="B2598" t="str">
        <f>"035154"</f>
        <v>035154</v>
      </c>
      <c r="C2598" t="s">
        <v>8398</v>
      </c>
      <c r="D2598" t="s">
        <v>3394</v>
      </c>
      <c r="E2598" t="s">
        <v>3395</v>
      </c>
      <c r="F2598" t="s">
        <v>3396</v>
      </c>
      <c r="G2598" t="s">
        <v>331</v>
      </c>
      <c r="H2598" t="s">
        <v>4587</v>
      </c>
      <c r="I2598" t="s">
        <v>4588</v>
      </c>
      <c r="J2598" t="s">
        <v>334</v>
      </c>
      <c r="K2598" t="s">
        <v>55</v>
      </c>
      <c r="L2598" t="s">
        <v>335</v>
      </c>
      <c r="M2598" t="s">
        <v>57</v>
      </c>
      <c r="N2598" t="str">
        <f>"045344"</f>
        <v>045344</v>
      </c>
      <c r="O2598" t="s">
        <v>330</v>
      </c>
      <c r="P2598" t="s">
        <v>68</v>
      </c>
      <c r="Q2598">
        <v>99.6</v>
      </c>
      <c r="R2598">
        <v>8.4000000000000057</v>
      </c>
      <c r="S2598" t="s">
        <v>156</v>
      </c>
    </row>
    <row r="2599" spans="1:19" x14ac:dyDescent="0.35">
      <c r="A2599">
        <v>35170</v>
      </c>
      <c r="B2599" t="str">
        <f>"035170"</f>
        <v>035170</v>
      </c>
      <c r="C2599" t="s">
        <v>8399</v>
      </c>
      <c r="D2599" t="s">
        <v>3398</v>
      </c>
      <c r="E2599" t="s">
        <v>3395</v>
      </c>
      <c r="F2599" t="s">
        <v>3396</v>
      </c>
      <c r="G2599" t="s">
        <v>295</v>
      </c>
      <c r="H2599" t="s">
        <v>8400</v>
      </c>
      <c r="I2599" t="s">
        <v>8401</v>
      </c>
      <c r="J2599" t="s">
        <v>1764</v>
      </c>
      <c r="K2599" t="s">
        <v>55</v>
      </c>
      <c r="L2599" t="s">
        <v>1765</v>
      </c>
      <c r="M2599" t="s">
        <v>57</v>
      </c>
      <c r="N2599" t="str">
        <f>"049221"</f>
        <v>049221</v>
      </c>
      <c r="O2599" t="s">
        <v>2105</v>
      </c>
      <c r="P2599" t="s">
        <v>68</v>
      </c>
      <c r="Q2599">
        <v>35.9</v>
      </c>
      <c r="R2599">
        <v>6.0999999999999943</v>
      </c>
      <c r="S2599" t="s">
        <v>77</v>
      </c>
    </row>
    <row r="2600" spans="1:19" x14ac:dyDescent="0.35">
      <c r="A2600">
        <v>35188</v>
      </c>
      <c r="B2600" t="str">
        <f>"035188"</f>
        <v>035188</v>
      </c>
      <c r="C2600" t="s">
        <v>8402</v>
      </c>
      <c r="D2600" t="s">
        <v>3394</v>
      </c>
      <c r="E2600" t="s">
        <v>3395</v>
      </c>
      <c r="F2600" t="s">
        <v>3396</v>
      </c>
      <c r="G2600" t="s">
        <v>288</v>
      </c>
      <c r="H2600" t="s">
        <v>8403</v>
      </c>
      <c r="I2600" t="s">
        <v>8404</v>
      </c>
      <c r="J2600" t="s">
        <v>769</v>
      </c>
      <c r="K2600" t="s">
        <v>55</v>
      </c>
      <c r="L2600" t="s">
        <v>770</v>
      </c>
      <c r="M2600" t="s">
        <v>57</v>
      </c>
      <c r="N2600" t="str">
        <f>"043588"</f>
        <v>043588</v>
      </c>
      <c r="O2600" t="s">
        <v>2054</v>
      </c>
      <c r="P2600" t="s">
        <v>68</v>
      </c>
      <c r="Q2600">
        <v>48.4</v>
      </c>
      <c r="R2600">
        <v>25.5</v>
      </c>
      <c r="S2600" t="s">
        <v>180</v>
      </c>
    </row>
    <row r="2601" spans="1:19" x14ac:dyDescent="0.35">
      <c r="A2601">
        <v>35196</v>
      </c>
      <c r="B2601" t="str">
        <f>"035196"</f>
        <v>035196</v>
      </c>
      <c r="C2601" t="s">
        <v>8405</v>
      </c>
      <c r="D2601" t="s">
        <v>3398</v>
      </c>
      <c r="E2601" t="s">
        <v>3395</v>
      </c>
      <c r="F2601" t="s">
        <v>3396</v>
      </c>
      <c r="G2601" t="s">
        <v>777</v>
      </c>
      <c r="H2601" t="s">
        <v>8406</v>
      </c>
      <c r="I2601" t="s">
        <v>8407</v>
      </c>
      <c r="J2601" t="s">
        <v>1220</v>
      </c>
      <c r="K2601" t="s">
        <v>55</v>
      </c>
      <c r="L2601" t="s">
        <v>1221</v>
      </c>
      <c r="M2601" t="s">
        <v>57</v>
      </c>
      <c r="N2601" t="str">
        <f>"046276"</f>
        <v>046276</v>
      </c>
      <c r="O2601" t="s">
        <v>1217</v>
      </c>
      <c r="P2601" t="s">
        <v>68</v>
      </c>
      <c r="Q2601">
        <v>25.1</v>
      </c>
      <c r="R2601">
        <v>7.5999999999999943</v>
      </c>
      <c r="S2601" t="s">
        <v>180</v>
      </c>
    </row>
    <row r="2602" spans="1:19" x14ac:dyDescent="0.35">
      <c r="A2602">
        <v>35204</v>
      </c>
      <c r="B2602" t="str">
        <f>"035204"</f>
        <v>035204</v>
      </c>
      <c r="C2602" t="s">
        <v>8408</v>
      </c>
      <c r="D2602" t="s">
        <v>3398</v>
      </c>
      <c r="E2602" t="s">
        <v>3395</v>
      </c>
      <c r="F2602" t="s">
        <v>3396</v>
      </c>
      <c r="G2602" t="s">
        <v>318</v>
      </c>
      <c r="H2602" t="s">
        <v>1669</v>
      </c>
      <c r="I2602" t="s">
        <v>1670</v>
      </c>
      <c r="J2602" t="s">
        <v>321</v>
      </c>
      <c r="K2602" t="s">
        <v>55</v>
      </c>
      <c r="L2602" t="s">
        <v>322</v>
      </c>
      <c r="M2602" t="s">
        <v>57</v>
      </c>
      <c r="N2602" t="str">
        <f>"049528"</f>
        <v>049528</v>
      </c>
      <c r="O2602" t="s">
        <v>1217</v>
      </c>
      <c r="P2602" t="s">
        <v>68</v>
      </c>
      <c r="Q2602">
        <v>51.2</v>
      </c>
      <c r="R2602">
        <v>3.7000000000000028</v>
      </c>
      <c r="S2602" t="s">
        <v>130</v>
      </c>
    </row>
    <row r="2603" spans="1:19" x14ac:dyDescent="0.35">
      <c r="A2603">
        <v>35220</v>
      </c>
      <c r="B2603" t="str">
        <f>"035220"</f>
        <v>035220</v>
      </c>
      <c r="C2603" t="s">
        <v>8409</v>
      </c>
      <c r="D2603" t="s">
        <v>3398</v>
      </c>
      <c r="E2603" t="s">
        <v>3395</v>
      </c>
      <c r="F2603" t="s">
        <v>3396</v>
      </c>
      <c r="G2603" t="s">
        <v>966</v>
      </c>
      <c r="H2603" t="s">
        <v>8410</v>
      </c>
      <c r="I2603" t="s">
        <v>8411</v>
      </c>
      <c r="J2603" t="s">
        <v>2937</v>
      </c>
      <c r="K2603" t="s">
        <v>55</v>
      </c>
      <c r="L2603" t="s">
        <v>2938</v>
      </c>
      <c r="M2603" t="s">
        <v>57</v>
      </c>
      <c r="N2603" t="str">
        <f>"048538"</f>
        <v>048538</v>
      </c>
      <c r="O2603" t="s">
        <v>2238</v>
      </c>
      <c r="P2603" t="s">
        <v>68</v>
      </c>
      <c r="Q2603">
        <v>100</v>
      </c>
      <c r="R2603">
        <v>4</v>
      </c>
      <c r="S2603" t="s">
        <v>130</v>
      </c>
    </row>
    <row r="2604" spans="1:19" x14ac:dyDescent="0.35">
      <c r="A2604">
        <v>35238</v>
      </c>
      <c r="B2604" t="str">
        <f>"035238"</f>
        <v>035238</v>
      </c>
      <c r="C2604" t="s">
        <v>8412</v>
      </c>
      <c r="D2604" t="s">
        <v>3394</v>
      </c>
      <c r="E2604" t="s">
        <v>3395</v>
      </c>
      <c r="F2604" t="s">
        <v>3396</v>
      </c>
      <c r="G2604" t="s">
        <v>169</v>
      </c>
      <c r="H2604" t="s">
        <v>2957</v>
      </c>
      <c r="I2604" t="s">
        <v>2958</v>
      </c>
      <c r="J2604" t="s">
        <v>2959</v>
      </c>
      <c r="K2604" t="s">
        <v>55</v>
      </c>
      <c r="L2604" t="s">
        <v>2960</v>
      </c>
      <c r="M2604" t="s">
        <v>57</v>
      </c>
      <c r="N2604" t="str">
        <f>"050237"</f>
        <v>050237</v>
      </c>
      <c r="O2604" t="s">
        <v>2956</v>
      </c>
      <c r="P2604" t="s">
        <v>68</v>
      </c>
      <c r="Q2604">
        <v>39.6</v>
      </c>
      <c r="R2604">
        <v>7.0999999999999943</v>
      </c>
      <c r="S2604" t="s">
        <v>77</v>
      </c>
    </row>
    <row r="2605" spans="1:19" x14ac:dyDescent="0.35">
      <c r="A2605">
        <v>35279</v>
      </c>
      <c r="B2605" t="str">
        <f>"035279"</f>
        <v>035279</v>
      </c>
      <c r="C2605" t="s">
        <v>8413</v>
      </c>
      <c r="D2605" t="s">
        <v>3394</v>
      </c>
      <c r="E2605" t="s">
        <v>3395</v>
      </c>
      <c r="F2605" t="s">
        <v>3396</v>
      </c>
      <c r="G2605" t="s">
        <v>600</v>
      </c>
      <c r="H2605" t="s">
        <v>8414</v>
      </c>
      <c r="I2605" t="s">
        <v>8415</v>
      </c>
      <c r="J2605" t="s">
        <v>1348</v>
      </c>
      <c r="K2605" t="s">
        <v>55</v>
      </c>
      <c r="L2605" t="s">
        <v>2733</v>
      </c>
      <c r="M2605" t="s">
        <v>57</v>
      </c>
      <c r="N2605" t="str">
        <f>"043802"</f>
        <v>043802</v>
      </c>
      <c r="O2605" t="s">
        <v>3171</v>
      </c>
      <c r="P2605" t="s">
        <v>68</v>
      </c>
      <c r="Q2605">
        <v>100</v>
      </c>
      <c r="R2605">
        <v>59.1</v>
      </c>
      <c r="S2605" t="s">
        <v>60</v>
      </c>
    </row>
    <row r="2606" spans="1:19" x14ac:dyDescent="0.35">
      <c r="A2606">
        <v>35295</v>
      </c>
      <c r="B2606" t="str">
        <f>"035295"</f>
        <v>035295</v>
      </c>
      <c r="C2606" t="s">
        <v>6913</v>
      </c>
      <c r="D2606" t="s">
        <v>3400</v>
      </c>
      <c r="E2606" t="s">
        <v>3395</v>
      </c>
      <c r="F2606" t="s">
        <v>3396</v>
      </c>
      <c r="G2606" t="s">
        <v>1359</v>
      </c>
      <c r="H2606" t="s">
        <v>2341</v>
      </c>
      <c r="I2606" t="s">
        <v>2342</v>
      </c>
      <c r="J2606" t="s">
        <v>2343</v>
      </c>
      <c r="K2606" t="s">
        <v>55</v>
      </c>
      <c r="L2606" t="s">
        <v>2344</v>
      </c>
      <c r="M2606" t="s">
        <v>57</v>
      </c>
      <c r="N2606" t="str">
        <f>"048801"</f>
        <v>048801</v>
      </c>
      <c r="O2606" t="s">
        <v>405</v>
      </c>
      <c r="P2606" t="s">
        <v>68</v>
      </c>
      <c r="Q2606">
        <v>30</v>
      </c>
      <c r="R2606">
        <v>6.7000000000000028</v>
      </c>
      <c r="S2606" t="s">
        <v>60</v>
      </c>
    </row>
    <row r="2607" spans="1:19" x14ac:dyDescent="0.35">
      <c r="A2607">
        <v>35311</v>
      </c>
      <c r="B2607" t="str">
        <f>"035311"</f>
        <v>035311</v>
      </c>
      <c r="C2607" t="s">
        <v>8416</v>
      </c>
      <c r="D2607" t="s">
        <v>3400</v>
      </c>
      <c r="E2607" t="s">
        <v>3395</v>
      </c>
      <c r="F2607" t="s">
        <v>3396</v>
      </c>
      <c r="G2607" t="s">
        <v>855</v>
      </c>
      <c r="H2607" t="s">
        <v>8417</v>
      </c>
      <c r="I2607" t="s">
        <v>8418</v>
      </c>
      <c r="J2607" t="s">
        <v>3287</v>
      </c>
      <c r="K2607" t="s">
        <v>55</v>
      </c>
      <c r="L2607" t="s">
        <v>3288</v>
      </c>
      <c r="M2607" t="s">
        <v>57</v>
      </c>
      <c r="N2607" t="str">
        <f>"048462"</f>
        <v>048462</v>
      </c>
      <c r="O2607" t="s">
        <v>3284</v>
      </c>
      <c r="P2607" t="s">
        <v>68</v>
      </c>
      <c r="Q2607">
        <v>25</v>
      </c>
      <c r="R2607">
        <v>5.5999999999999943</v>
      </c>
      <c r="S2607" t="s">
        <v>77</v>
      </c>
    </row>
    <row r="2608" spans="1:19" x14ac:dyDescent="0.35">
      <c r="A2608">
        <v>35337</v>
      </c>
      <c r="B2608" t="str">
        <f>"035337"</f>
        <v>035337</v>
      </c>
      <c r="C2608" t="s">
        <v>8419</v>
      </c>
      <c r="D2608" t="s">
        <v>3394</v>
      </c>
      <c r="E2608" t="s">
        <v>3395</v>
      </c>
      <c r="F2608" t="s">
        <v>3396</v>
      </c>
      <c r="G2608" t="s">
        <v>1193</v>
      </c>
      <c r="H2608" t="s">
        <v>8420</v>
      </c>
      <c r="I2608" t="s">
        <v>8421</v>
      </c>
      <c r="J2608" t="s">
        <v>1307</v>
      </c>
      <c r="K2608" t="s">
        <v>55</v>
      </c>
      <c r="L2608" t="s">
        <v>1308</v>
      </c>
      <c r="M2608" t="s">
        <v>57</v>
      </c>
      <c r="N2608" t="str">
        <f>"045807"</f>
        <v>045807</v>
      </c>
      <c r="O2608" t="s">
        <v>1304</v>
      </c>
      <c r="P2608" t="s">
        <v>68</v>
      </c>
      <c r="Q2608">
        <v>38.299999999999997</v>
      </c>
      <c r="R2608">
        <v>5.5</v>
      </c>
      <c r="S2608" t="s">
        <v>156</v>
      </c>
    </row>
    <row r="2609" spans="1:19" x14ac:dyDescent="0.35">
      <c r="A2609">
        <v>35345</v>
      </c>
      <c r="B2609" t="str">
        <f>"035345"</f>
        <v>035345</v>
      </c>
      <c r="C2609" t="s">
        <v>8422</v>
      </c>
      <c r="D2609" t="s">
        <v>3398</v>
      </c>
      <c r="E2609" t="s">
        <v>3395</v>
      </c>
      <c r="F2609" t="s">
        <v>3396</v>
      </c>
      <c r="G2609" t="s">
        <v>1193</v>
      </c>
      <c r="H2609" t="s">
        <v>8420</v>
      </c>
      <c r="I2609" t="s">
        <v>8421</v>
      </c>
      <c r="J2609" t="s">
        <v>1307</v>
      </c>
      <c r="K2609" t="s">
        <v>55</v>
      </c>
      <c r="L2609" t="s">
        <v>1308</v>
      </c>
      <c r="M2609" t="s">
        <v>57</v>
      </c>
      <c r="N2609" t="str">
        <f>"045807"</f>
        <v>045807</v>
      </c>
      <c r="O2609" t="s">
        <v>1304</v>
      </c>
      <c r="P2609" t="s">
        <v>68</v>
      </c>
      <c r="Q2609">
        <v>26.5</v>
      </c>
      <c r="R2609">
        <v>9.2999999999999972</v>
      </c>
      <c r="S2609" t="s">
        <v>156</v>
      </c>
    </row>
    <row r="2610" spans="1:19" x14ac:dyDescent="0.35">
      <c r="A2610">
        <v>35352</v>
      </c>
      <c r="B2610" t="str">
        <f>"035352"</f>
        <v>035352</v>
      </c>
      <c r="C2610" t="s">
        <v>8423</v>
      </c>
      <c r="D2610" t="s">
        <v>3394</v>
      </c>
      <c r="E2610" t="s">
        <v>3395</v>
      </c>
      <c r="F2610" t="s">
        <v>3396</v>
      </c>
      <c r="G2610" t="s">
        <v>200</v>
      </c>
      <c r="H2610" t="s">
        <v>8424</v>
      </c>
      <c r="I2610" t="s">
        <v>8425</v>
      </c>
      <c r="J2610" t="s">
        <v>304</v>
      </c>
      <c r="K2610" t="s">
        <v>55</v>
      </c>
      <c r="L2610" t="s">
        <v>4360</v>
      </c>
      <c r="M2610" t="s">
        <v>57</v>
      </c>
      <c r="N2610" t="str">
        <f>"044909"</f>
        <v>044909</v>
      </c>
      <c r="O2610" t="s">
        <v>3318</v>
      </c>
      <c r="P2610" t="s">
        <v>68</v>
      </c>
      <c r="Q2610">
        <v>89.8</v>
      </c>
      <c r="R2610">
        <v>89.8</v>
      </c>
      <c r="S2610" t="s">
        <v>156</v>
      </c>
    </row>
    <row r="2611" spans="1:19" x14ac:dyDescent="0.35">
      <c r="A2611">
        <v>35402</v>
      </c>
      <c r="B2611" t="str">
        <f>"035402"</f>
        <v>035402</v>
      </c>
      <c r="C2611" t="s">
        <v>8426</v>
      </c>
      <c r="D2611" t="s">
        <v>3394</v>
      </c>
      <c r="E2611" t="s">
        <v>3395</v>
      </c>
      <c r="F2611" t="s">
        <v>3396</v>
      </c>
      <c r="G2611" t="s">
        <v>143</v>
      </c>
      <c r="H2611" t="s">
        <v>4597</v>
      </c>
      <c r="I2611" t="s">
        <v>4598</v>
      </c>
      <c r="J2611" t="s">
        <v>528</v>
      </c>
      <c r="K2611" t="s">
        <v>55</v>
      </c>
      <c r="L2611" t="s">
        <v>529</v>
      </c>
      <c r="M2611" t="s">
        <v>57</v>
      </c>
      <c r="N2611" t="str">
        <f>"043943"</f>
        <v>043943</v>
      </c>
      <c r="O2611" t="s">
        <v>525</v>
      </c>
      <c r="P2611" t="s">
        <v>68</v>
      </c>
      <c r="Q2611" t="s">
        <v>68</v>
      </c>
      <c r="R2611" t="s">
        <v>68</v>
      </c>
      <c r="S2611" t="s">
        <v>69</v>
      </c>
    </row>
    <row r="2612" spans="1:19" x14ac:dyDescent="0.35">
      <c r="A2612">
        <v>35428</v>
      </c>
      <c r="B2612" t="str">
        <f>"035428"</f>
        <v>035428</v>
      </c>
      <c r="C2612" t="s">
        <v>8427</v>
      </c>
      <c r="D2612" t="s">
        <v>3394</v>
      </c>
      <c r="E2612" t="s">
        <v>3395</v>
      </c>
      <c r="F2612" t="s">
        <v>3396</v>
      </c>
      <c r="G2612" t="s">
        <v>325</v>
      </c>
      <c r="H2612" t="s">
        <v>8428</v>
      </c>
      <c r="I2612" t="s">
        <v>8429</v>
      </c>
      <c r="J2612" t="s">
        <v>328</v>
      </c>
      <c r="K2612" t="s">
        <v>55</v>
      </c>
      <c r="L2612" t="s">
        <v>329</v>
      </c>
      <c r="M2612" t="s">
        <v>57</v>
      </c>
      <c r="N2612" t="str">
        <f>"044644"</f>
        <v>044644</v>
      </c>
      <c r="O2612" t="s">
        <v>324</v>
      </c>
      <c r="P2612" t="s">
        <v>68</v>
      </c>
      <c r="Q2612">
        <v>66.7</v>
      </c>
      <c r="R2612">
        <v>23.400000000000006</v>
      </c>
      <c r="S2612" t="s">
        <v>180</v>
      </c>
    </row>
    <row r="2613" spans="1:19" x14ac:dyDescent="0.35">
      <c r="A2613">
        <v>35436</v>
      </c>
      <c r="B2613" t="str">
        <f>"035436"</f>
        <v>035436</v>
      </c>
      <c r="C2613" t="s">
        <v>8430</v>
      </c>
      <c r="D2613" t="s">
        <v>3394</v>
      </c>
      <c r="E2613" t="s">
        <v>3395</v>
      </c>
      <c r="F2613" t="s">
        <v>3396</v>
      </c>
      <c r="G2613" t="s">
        <v>212</v>
      </c>
      <c r="H2613" t="s">
        <v>8431</v>
      </c>
      <c r="I2613" t="s">
        <v>8432</v>
      </c>
      <c r="J2613" t="s">
        <v>215</v>
      </c>
      <c r="K2613" t="s">
        <v>55</v>
      </c>
      <c r="L2613" t="s">
        <v>5475</v>
      </c>
      <c r="M2613" t="s">
        <v>57</v>
      </c>
      <c r="N2613" t="str">
        <f>"044677"</f>
        <v>044677</v>
      </c>
      <c r="O2613" t="s">
        <v>2499</v>
      </c>
      <c r="P2613" t="s">
        <v>68</v>
      </c>
      <c r="Q2613">
        <v>57.4</v>
      </c>
      <c r="R2613">
        <v>81</v>
      </c>
      <c r="S2613" t="s">
        <v>217</v>
      </c>
    </row>
    <row r="2614" spans="1:19" x14ac:dyDescent="0.35">
      <c r="A2614">
        <v>35451</v>
      </c>
      <c r="B2614" t="str">
        <f>"035451"</f>
        <v>035451</v>
      </c>
      <c r="C2614" t="s">
        <v>8433</v>
      </c>
      <c r="D2614" t="s">
        <v>3400</v>
      </c>
      <c r="E2614" t="s">
        <v>3395</v>
      </c>
      <c r="F2614" t="s">
        <v>3396</v>
      </c>
      <c r="G2614" t="s">
        <v>383</v>
      </c>
      <c r="H2614" t="s">
        <v>8434</v>
      </c>
      <c r="I2614" t="s">
        <v>8435</v>
      </c>
      <c r="J2614" t="s">
        <v>2909</v>
      </c>
      <c r="K2614" t="s">
        <v>55</v>
      </c>
      <c r="L2614" t="s">
        <v>2910</v>
      </c>
      <c r="M2614" t="s">
        <v>57</v>
      </c>
      <c r="N2614" t="str">
        <f>"048371"</f>
        <v>048371</v>
      </c>
      <c r="O2614" t="s">
        <v>263</v>
      </c>
      <c r="P2614" t="s">
        <v>68</v>
      </c>
      <c r="Q2614">
        <v>30.1</v>
      </c>
      <c r="R2614">
        <v>8.2999999999999972</v>
      </c>
      <c r="S2614" t="s">
        <v>77</v>
      </c>
    </row>
    <row r="2615" spans="1:19" x14ac:dyDescent="0.35">
      <c r="A2615">
        <v>35469</v>
      </c>
      <c r="B2615" t="str">
        <f>"035469"</f>
        <v>035469</v>
      </c>
      <c r="C2615" t="s">
        <v>8436</v>
      </c>
      <c r="D2615" t="s">
        <v>3398</v>
      </c>
      <c r="E2615" t="s">
        <v>3395</v>
      </c>
      <c r="F2615" t="s">
        <v>3396</v>
      </c>
      <c r="G2615" t="s">
        <v>383</v>
      </c>
      <c r="H2615" t="s">
        <v>2907</v>
      </c>
      <c r="I2615" t="s">
        <v>2908</v>
      </c>
      <c r="J2615" t="s">
        <v>2909</v>
      </c>
      <c r="K2615" t="s">
        <v>55</v>
      </c>
      <c r="L2615" t="s">
        <v>2910</v>
      </c>
      <c r="M2615" t="s">
        <v>57</v>
      </c>
      <c r="N2615" t="str">
        <f>"048371"</f>
        <v>048371</v>
      </c>
      <c r="O2615" t="s">
        <v>263</v>
      </c>
      <c r="P2615" t="s">
        <v>68</v>
      </c>
      <c r="Q2615">
        <v>20</v>
      </c>
      <c r="R2615">
        <v>6.7999999999999972</v>
      </c>
      <c r="S2615" t="s">
        <v>77</v>
      </c>
    </row>
    <row r="2616" spans="1:19" x14ac:dyDescent="0.35">
      <c r="A2616">
        <v>35477</v>
      </c>
      <c r="B2616" t="str">
        <f>"035477"</f>
        <v>035477</v>
      </c>
      <c r="C2616" t="s">
        <v>8436</v>
      </c>
      <c r="D2616" t="s">
        <v>3398</v>
      </c>
      <c r="E2616" t="s">
        <v>3395</v>
      </c>
      <c r="F2616" t="s">
        <v>3396</v>
      </c>
      <c r="G2616" t="s">
        <v>200</v>
      </c>
      <c r="H2616" t="s">
        <v>8437</v>
      </c>
      <c r="I2616" t="s">
        <v>8438</v>
      </c>
      <c r="J2616" t="s">
        <v>431</v>
      </c>
      <c r="K2616" t="s">
        <v>55</v>
      </c>
      <c r="L2616" t="s">
        <v>432</v>
      </c>
      <c r="M2616" t="s">
        <v>57</v>
      </c>
      <c r="N2616" t="str">
        <f>"048223"</f>
        <v>048223</v>
      </c>
      <c r="O2616" t="s">
        <v>263</v>
      </c>
      <c r="P2616" t="s">
        <v>68</v>
      </c>
      <c r="Q2616">
        <v>35.700000000000003</v>
      </c>
      <c r="R2616">
        <v>40.700000000000003</v>
      </c>
      <c r="S2616" t="s">
        <v>156</v>
      </c>
    </row>
    <row r="2617" spans="1:19" x14ac:dyDescent="0.35">
      <c r="A2617">
        <v>35485</v>
      </c>
      <c r="B2617" t="str">
        <f>"035485"</f>
        <v>035485</v>
      </c>
      <c r="C2617" t="s">
        <v>8439</v>
      </c>
      <c r="D2617" t="s">
        <v>3398</v>
      </c>
      <c r="E2617" t="s">
        <v>3395</v>
      </c>
      <c r="F2617" t="s">
        <v>3396</v>
      </c>
      <c r="G2617" t="s">
        <v>264</v>
      </c>
      <c r="H2617" t="s">
        <v>8440</v>
      </c>
      <c r="I2617" t="s">
        <v>8441</v>
      </c>
      <c r="J2617" t="s">
        <v>267</v>
      </c>
      <c r="K2617" t="s">
        <v>55</v>
      </c>
      <c r="L2617" t="s">
        <v>268</v>
      </c>
      <c r="M2617" t="s">
        <v>57</v>
      </c>
      <c r="N2617" t="str">
        <f>"050062"</f>
        <v>050062</v>
      </c>
      <c r="O2617" t="s">
        <v>263</v>
      </c>
      <c r="P2617" t="s">
        <v>68</v>
      </c>
      <c r="Q2617">
        <v>45.5</v>
      </c>
      <c r="R2617">
        <v>16</v>
      </c>
      <c r="S2617" t="s">
        <v>77</v>
      </c>
    </row>
    <row r="2618" spans="1:19" x14ac:dyDescent="0.35">
      <c r="A2618">
        <v>35493</v>
      </c>
      <c r="B2618" t="str">
        <f>"035493"</f>
        <v>035493</v>
      </c>
      <c r="C2618" t="s">
        <v>8442</v>
      </c>
      <c r="D2618" t="s">
        <v>3506</v>
      </c>
      <c r="E2618" t="s">
        <v>3395</v>
      </c>
      <c r="F2618" t="s">
        <v>3396</v>
      </c>
      <c r="G2618" t="s">
        <v>135</v>
      </c>
      <c r="H2618" t="s">
        <v>6079</v>
      </c>
      <c r="I2618" t="s">
        <v>6080</v>
      </c>
      <c r="J2618" t="s">
        <v>6081</v>
      </c>
      <c r="K2618" t="s">
        <v>55</v>
      </c>
      <c r="L2618" t="s">
        <v>6082</v>
      </c>
      <c r="M2618" t="s">
        <v>57</v>
      </c>
      <c r="N2618" t="str">
        <f>"047795"</f>
        <v>047795</v>
      </c>
      <c r="O2618" t="s">
        <v>2243</v>
      </c>
      <c r="P2618" t="s">
        <v>68</v>
      </c>
      <c r="Q2618">
        <v>46.3</v>
      </c>
      <c r="R2618">
        <v>3.9000000000000057</v>
      </c>
      <c r="S2618" t="s">
        <v>130</v>
      </c>
    </row>
    <row r="2619" spans="1:19" x14ac:dyDescent="0.35">
      <c r="A2619">
        <v>35501</v>
      </c>
      <c r="B2619" t="str">
        <f>"035501"</f>
        <v>035501</v>
      </c>
      <c r="C2619" t="s">
        <v>8443</v>
      </c>
      <c r="D2619" t="s">
        <v>3400</v>
      </c>
      <c r="E2619" t="s">
        <v>3395</v>
      </c>
      <c r="F2619" t="s">
        <v>3396</v>
      </c>
      <c r="G2619" t="s">
        <v>200</v>
      </c>
      <c r="H2619" t="s">
        <v>5886</v>
      </c>
      <c r="I2619" t="s">
        <v>5887</v>
      </c>
      <c r="J2619" t="s">
        <v>431</v>
      </c>
      <c r="K2619" t="s">
        <v>55</v>
      </c>
      <c r="L2619" t="s">
        <v>432</v>
      </c>
      <c r="M2619" t="s">
        <v>57</v>
      </c>
      <c r="N2619" t="str">
        <f>"048223"</f>
        <v>048223</v>
      </c>
      <c r="O2619" t="s">
        <v>263</v>
      </c>
      <c r="P2619" t="s">
        <v>68</v>
      </c>
      <c r="Q2619">
        <v>44.6</v>
      </c>
      <c r="R2619">
        <v>42.7</v>
      </c>
      <c r="S2619" t="s">
        <v>156</v>
      </c>
    </row>
    <row r="2620" spans="1:19" x14ac:dyDescent="0.35">
      <c r="A2620">
        <v>35527</v>
      </c>
      <c r="B2620" t="str">
        <f>"035527"</f>
        <v>035527</v>
      </c>
      <c r="C2620" t="s">
        <v>8436</v>
      </c>
      <c r="D2620" t="s">
        <v>3398</v>
      </c>
      <c r="E2620" t="s">
        <v>3395</v>
      </c>
      <c r="F2620" t="s">
        <v>3396</v>
      </c>
      <c r="G2620" t="s">
        <v>777</v>
      </c>
      <c r="H2620" t="s">
        <v>8444</v>
      </c>
      <c r="I2620" t="s">
        <v>8445</v>
      </c>
      <c r="J2620" t="s">
        <v>780</v>
      </c>
      <c r="K2620" t="s">
        <v>55</v>
      </c>
      <c r="L2620" t="s">
        <v>6175</v>
      </c>
      <c r="M2620" t="s">
        <v>57</v>
      </c>
      <c r="N2620" t="str">
        <f>"044818"</f>
        <v>044818</v>
      </c>
      <c r="O2620" t="s">
        <v>2812</v>
      </c>
      <c r="P2620" t="s">
        <v>68</v>
      </c>
      <c r="Q2620">
        <v>100</v>
      </c>
      <c r="R2620">
        <v>56.2</v>
      </c>
      <c r="S2620" t="s">
        <v>180</v>
      </c>
    </row>
    <row r="2621" spans="1:19" x14ac:dyDescent="0.35">
      <c r="A2621">
        <v>35527</v>
      </c>
      <c r="B2621" t="str">
        <f>"035527"</f>
        <v>035527</v>
      </c>
      <c r="C2621" t="s">
        <v>8436</v>
      </c>
      <c r="D2621" t="s">
        <v>3929</v>
      </c>
      <c r="E2621" t="s">
        <v>3395</v>
      </c>
      <c r="F2621" t="s">
        <v>3396</v>
      </c>
      <c r="G2621" t="s">
        <v>777</v>
      </c>
      <c r="H2621" t="s">
        <v>8444</v>
      </c>
      <c r="I2621" t="s">
        <v>8445</v>
      </c>
      <c r="J2621" t="s">
        <v>780</v>
      </c>
      <c r="K2621" t="s">
        <v>55</v>
      </c>
      <c r="L2621" t="s">
        <v>6175</v>
      </c>
      <c r="M2621" t="s">
        <v>57</v>
      </c>
      <c r="N2621" t="str">
        <f>"044818"</f>
        <v>044818</v>
      </c>
      <c r="O2621" t="s">
        <v>2812</v>
      </c>
      <c r="P2621" t="s">
        <v>68</v>
      </c>
      <c r="Q2621">
        <v>100</v>
      </c>
      <c r="R2621">
        <v>56.2</v>
      </c>
      <c r="S2621" t="s">
        <v>180</v>
      </c>
    </row>
    <row r="2622" spans="1:19" x14ac:dyDescent="0.35">
      <c r="A2622">
        <v>35584</v>
      </c>
      <c r="B2622" t="str">
        <f>"035584"</f>
        <v>035584</v>
      </c>
      <c r="C2622" t="s">
        <v>8446</v>
      </c>
      <c r="D2622" t="s">
        <v>3398</v>
      </c>
      <c r="E2622" t="s">
        <v>3395</v>
      </c>
      <c r="F2622" t="s">
        <v>3396</v>
      </c>
      <c r="G2622" t="s">
        <v>212</v>
      </c>
      <c r="H2622" t="s">
        <v>8447</v>
      </c>
      <c r="I2622" t="s">
        <v>8448</v>
      </c>
      <c r="J2622" t="s">
        <v>735</v>
      </c>
      <c r="K2622" t="s">
        <v>55</v>
      </c>
      <c r="L2622" t="s">
        <v>736</v>
      </c>
      <c r="M2622" t="s">
        <v>57</v>
      </c>
      <c r="N2622" t="str">
        <f>"044719"</f>
        <v>044719</v>
      </c>
      <c r="O2622" t="s">
        <v>732</v>
      </c>
      <c r="P2622" t="s">
        <v>68</v>
      </c>
      <c r="Q2622">
        <v>82.6</v>
      </c>
      <c r="R2622">
        <v>61.2</v>
      </c>
      <c r="S2622" t="s">
        <v>217</v>
      </c>
    </row>
    <row r="2623" spans="1:19" x14ac:dyDescent="0.35">
      <c r="A2623">
        <v>35618</v>
      </c>
      <c r="B2623" t="str">
        <f>"035618"</f>
        <v>035618</v>
      </c>
      <c r="C2623" t="s">
        <v>8449</v>
      </c>
      <c r="D2623" t="s">
        <v>3400</v>
      </c>
      <c r="E2623" t="s">
        <v>3395</v>
      </c>
      <c r="F2623" t="s">
        <v>3396</v>
      </c>
      <c r="G2623" t="s">
        <v>233</v>
      </c>
      <c r="H2623" t="s">
        <v>8450</v>
      </c>
      <c r="I2623" t="s">
        <v>8451</v>
      </c>
      <c r="J2623" t="s">
        <v>236</v>
      </c>
      <c r="K2623" t="s">
        <v>55</v>
      </c>
      <c r="L2623" t="s">
        <v>237</v>
      </c>
      <c r="M2623" t="s">
        <v>57</v>
      </c>
      <c r="N2623" t="str">
        <f>"045997"</f>
        <v>045997</v>
      </c>
      <c r="O2623" t="s">
        <v>368</v>
      </c>
      <c r="P2623" t="s">
        <v>68</v>
      </c>
      <c r="Q2623">
        <v>27.7</v>
      </c>
      <c r="R2623">
        <v>11.599999999999994</v>
      </c>
      <c r="S2623" t="s">
        <v>130</v>
      </c>
    </row>
    <row r="2624" spans="1:19" x14ac:dyDescent="0.35">
      <c r="A2624">
        <v>35626</v>
      </c>
      <c r="B2624" t="str">
        <f>"035626"</f>
        <v>035626</v>
      </c>
      <c r="C2624" t="s">
        <v>8452</v>
      </c>
      <c r="D2624" t="s">
        <v>3398</v>
      </c>
      <c r="E2624" t="s">
        <v>3395</v>
      </c>
      <c r="F2624" t="s">
        <v>3396</v>
      </c>
      <c r="G2624" t="s">
        <v>233</v>
      </c>
      <c r="H2624" t="s">
        <v>8453</v>
      </c>
      <c r="I2624" t="s">
        <v>8454</v>
      </c>
      <c r="J2624" t="s">
        <v>236</v>
      </c>
      <c r="K2624" t="s">
        <v>55</v>
      </c>
      <c r="L2624" t="s">
        <v>237</v>
      </c>
      <c r="M2624" t="s">
        <v>57</v>
      </c>
      <c r="N2624" t="str">
        <f>"045997"</f>
        <v>045997</v>
      </c>
      <c r="O2624" t="s">
        <v>368</v>
      </c>
      <c r="P2624" t="s">
        <v>68</v>
      </c>
      <c r="Q2624">
        <v>22.3</v>
      </c>
      <c r="R2624">
        <v>7.2999999999999972</v>
      </c>
      <c r="S2624" t="s">
        <v>130</v>
      </c>
    </row>
    <row r="2625" spans="1:19" x14ac:dyDescent="0.35">
      <c r="A2625">
        <v>35634</v>
      </c>
      <c r="B2625" t="str">
        <f>"035634"</f>
        <v>035634</v>
      </c>
      <c r="C2625" t="s">
        <v>8455</v>
      </c>
      <c r="D2625" t="s">
        <v>3394</v>
      </c>
      <c r="E2625" t="s">
        <v>3395</v>
      </c>
      <c r="F2625" t="s">
        <v>3396</v>
      </c>
      <c r="G2625" t="s">
        <v>423</v>
      </c>
      <c r="H2625" t="s">
        <v>8456</v>
      </c>
      <c r="I2625" t="s">
        <v>8457</v>
      </c>
      <c r="J2625" t="s">
        <v>1437</v>
      </c>
      <c r="K2625" t="s">
        <v>55</v>
      </c>
      <c r="L2625" t="s">
        <v>1438</v>
      </c>
      <c r="M2625" t="s">
        <v>57</v>
      </c>
      <c r="N2625" t="str">
        <f>"048587"</f>
        <v>048587</v>
      </c>
      <c r="O2625" t="s">
        <v>1434</v>
      </c>
      <c r="P2625" t="s">
        <v>68</v>
      </c>
      <c r="Q2625">
        <v>4.0999999999999996</v>
      </c>
      <c r="R2625">
        <v>2.7000000000000028</v>
      </c>
      <c r="S2625" t="s">
        <v>156</v>
      </c>
    </row>
    <row r="2626" spans="1:19" x14ac:dyDescent="0.35">
      <c r="A2626">
        <v>35642</v>
      </c>
      <c r="B2626" t="str">
        <f>"035642"</f>
        <v>035642</v>
      </c>
      <c r="C2626" t="s">
        <v>8458</v>
      </c>
      <c r="D2626" t="s">
        <v>3400</v>
      </c>
      <c r="E2626" t="s">
        <v>3395</v>
      </c>
      <c r="F2626" t="s">
        <v>3396</v>
      </c>
      <c r="G2626" t="s">
        <v>423</v>
      </c>
      <c r="H2626" t="s">
        <v>8459</v>
      </c>
      <c r="I2626" t="s">
        <v>8460</v>
      </c>
      <c r="J2626" t="s">
        <v>1437</v>
      </c>
      <c r="K2626" t="s">
        <v>55</v>
      </c>
      <c r="L2626" t="s">
        <v>1438</v>
      </c>
      <c r="M2626" t="s">
        <v>57</v>
      </c>
      <c r="N2626" t="str">
        <f>"048587"</f>
        <v>048587</v>
      </c>
      <c r="O2626" t="s">
        <v>1434</v>
      </c>
      <c r="P2626" t="s">
        <v>68</v>
      </c>
      <c r="Q2626">
        <v>8.4</v>
      </c>
      <c r="R2626">
        <v>4.4000000000000057</v>
      </c>
      <c r="S2626" t="s">
        <v>156</v>
      </c>
    </row>
    <row r="2627" spans="1:19" x14ac:dyDescent="0.35">
      <c r="A2627">
        <v>35659</v>
      </c>
      <c r="B2627" t="str">
        <f>"035659"</f>
        <v>035659</v>
      </c>
      <c r="C2627" t="s">
        <v>8461</v>
      </c>
      <c r="D2627" t="s">
        <v>3398</v>
      </c>
      <c r="E2627" t="s">
        <v>3395</v>
      </c>
      <c r="F2627" t="s">
        <v>3396</v>
      </c>
      <c r="G2627" t="s">
        <v>423</v>
      </c>
      <c r="H2627" t="s">
        <v>1435</v>
      </c>
      <c r="I2627" t="s">
        <v>1436</v>
      </c>
      <c r="J2627" t="s">
        <v>1437</v>
      </c>
      <c r="K2627" t="s">
        <v>55</v>
      </c>
      <c r="L2627" t="s">
        <v>1438</v>
      </c>
      <c r="M2627" t="s">
        <v>57</v>
      </c>
      <c r="N2627" t="str">
        <f>"048587"</f>
        <v>048587</v>
      </c>
      <c r="O2627" t="s">
        <v>1434</v>
      </c>
      <c r="P2627" t="s">
        <v>68</v>
      </c>
      <c r="Q2627">
        <v>5.9</v>
      </c>
      <c r="R2627">
        <v>3.7000000000000028</v>
      </c>
      <c r="S2627" t="s">
        <v>156</v>
      </c>
    </row>
    <row r="2628" spans="1:19" x14ac:dyDescent="0.35">
      <c r="A2628">
        <v>35675</v>
      </c>
      <c r="B2628" t="str">
        <f>"035675"</f>
        <v>035675</v>
      </c>
      <c r="C2628" t="s">
        <v>8462</v>
      </c>
      <c r="D2628" t="s">
        <v>3400</v>
      </c>
      <c r="E2628" t="s">
        <v>3395</v>
      </c>
      <c r="F2628" t="s">
        <v>3396</v>
      </c>
      <c r="G2628" t="s">
        <v>206</v>
      </c>
      <c r="H2628" t="s">
        <v>8463</v>
      </c>
      <c r="I2628" t="s">
        <v>8464</v>
      </c>
      <c r="J2628" t="s">
        <v>709</v>
      </c>
      <c r="K2628" t="s">
        <v>55</v>
      </c>
      <c r="L2628" t="s">
        <v>710</v>
      </c>
      <c r="M2628" t="s">
        <v>57</v>
      </c>
      <c r="N2628" t="str">
        <f>"046193"</f>
        <v>046193</v>
      </c>
      <c r="O2628" t="s">
        <v>706</v>
      </c>
      <c r="P2628" t="s">
        <v>68</v>
      </c>
      <c r="Q2628">
        <v>38.6</v>
      </c>
      <c r="R2628">
        <v>9.7999999999999972</v>
      </c>
      <c r="S2628" t="s">
        <v>180</v>
      </c>
    </row>
    <row r="2629" spans="1:19" x14ac:dyDescent="0.35">
      <c r="A2629">
        <v>35675</v>
      </c>
      <c r="B2629" t="str">
        <f>"035675"</f>
        <v>035675</v>
      </c>
      <c r="C2629" t="s">
        <v>8462</v>
      </c>
      <c r="D2629" t="s">
        <v>3929</v>
      </c>
      <c r="E2629" t="s">
        <v>3395</v>
      </c>
      <c r="F2629" t="s">
        <v>3396</v>
      </c>
      <c r="G2629" t="s">
        <v>206</v>
      </c>
      <c r="H2629" t="s">
        <v>8463</v>
      </c>
      <c r="I2629" t="s">
        <v>8464</v>
      </c>
      <c r="J2629" t="s">
        <v>709</v>
      </c>
      <c r="K2629" t="s">
        <v>55</v>
      </c>
      <c r="L2629" t="s">
        <v>710</v>
      </c>
      <c r="M2629" t="s">
        <v>57</v>
      </c>
      <c r="N2629" t="str">
        <f>"046193"</f>
        <v>046193</v>
      </c>
      <c r="O2629" t="s">
        <v>706</v>
      </c>
      <c r="P2629" t="s">
        <v>68</v>
      </c>
      <c r="Q2629">
        <v>38.6</v>
      </c>
      <c r="R2629">
        <v>9.7999999999999972</v>
      </c>
      <c r="S2629" t="s">
        <v>180</v>
      </c>
    </row>
    <row r="2630" spans="1:19" x14ac:dyDescent="0.35">
      <c r="A2630">
        <v>35691</v>
      </c>
      <c r="B2630" t="str">
        <f>"035691"</f>
        <v>035691</v>
      </c>
      <c r="C2630" t="s">
        <v>8465</v>
      </c>
      <c r="D2630" t="s">
        <v>3394</v>
      </c>
      <c r="E2630" t="s">
        <v>3395</v>
      </c>
      <c r="F2630" t="s">
        <v>3396</v>
      </c>
      <c r="G2630" t="s">
        <v>383</v>
      </c>
      <c r="H2630" t="s">
        <v>8466</v>
      </c>
      <c r="I2630" t="s">
        <v>5302</v>
      </c>
      <c r="J2630" t="s">
        <v>1215</v>
      </c>
      <c r="K2630" t="s">
        <v>55</v>
      </c>
      <c r="L2630" t="s">
        <v>2451</v>
      </c>
      <c r="M2630" t="s">
        <v>57</v>
      </c>
      <c r="N2630" t="str">
        <f>"048306"</f>
        <v>048306</v>
      </c>
      <c r="O2630" t="s">
        <v>2448</v>
      </c>
      <c r="P2630" t="s">
        <v>68</v>
      </c>
      <c r="Q2630">
        <v>35.4</v>
      </c>
      <c r="R2630">
        <v>21.900000000000006</v>
      </c>
      <c r="S2630" t="s">
        <v>77</v>
      </c>
    </row>
    <row r="2631" spans="1:19" x14ac:dyDescent="0.35">
      <c r="A2631">
        <v>35774</v>
      </c>
      <c r="B2631" t="str">
        <f>"035774"</f>
        <v>035774</v>
      </c>
      <c r="C2631" t="s">
        <v>8467</v>
      </c>
      <c r="D2631" t="s">
        <v>3394</v>
      </c>
      <c r="E2631" t="s">
        <v>3395</v>
      </c>
      <c r="F2631" t="s">
        <v>3396</v>
      </c>
      <c r="G2631" t="s">
        <v>219</v>
      </c>
      <c r="H2631" t="s">
        <v>947</v>
      </c>
      <c r="I2631" t="s">
        <v>948</v>
      </c>
      <c r="J2631" t="s">
        <v>949</v>
      </c>
      <c r="K2631" t="s">
        <v>55</v>
      </c>
      <c r="L2631" t="s">
        <v>223</v>
      </c>
      <c r="M2631" t="s">
        <v>57</v>
      </c>
      <c r="N2631" t="str">
        <f>"044461"</f>
        <v>044461</v>
      </c>
      <c r="O2631" t="s">
        <v>946</v>
      </c>
      <c r="P2631" t="s">
        <v>68</v>
      </c>
      <c r="Q2631">
        <v>100</v>
      </c>
      <c r="R2631">
        <v>4.2999999999999972</v>
      </c>
      <c r="S2631" t="s">
        <v>130</v>
      </c>
    </row>
    <row r="2632" spans="1:19" x14ac:dyDescent="0.35">
      <c r="A2632">
        <v>35790</v>
      </c>
      <c r="B2632" t="str">
        <f>"035790"</f>
        <v>035790</v>
      </c>
      <c r="C2632" t="s">
        <v>8468</v>
      </c>
      <c r="D2632" t="s">
        <v>3394</v>
      </c>
      <c r="E2632" t="s">
        <v>3395</v>
      </c>
      <c r="F2632" t="s">
        <v>3396</v>
      </c>
      <c r="G2632" t="s">
        <v>135</v>
      </c>
      <c r="H2632" t="s">
        <v>2244</v>
      </c>
      <c r="I2632" t="s">
        <v>2245</v>
      </c>
      <c r="J2632" t="s">
        <v>2246</v>
      </c>
      <c r="K2632" t="s">
        <v>55</v>
      </c>
      <c r="L2632" t="s">
        <v>2247</v>
      </c>
      <c r="M2632" t="s">
        <v>57</v>
      </c>
      <c r="N2632" t="str">
        <f>"047795"</f>
        <v>047795</v>
      </c>
      <c r="O2632" t="s">
        <v>2243</v>
      </c>
      <c r="P2632" t="s">
        <v>68</v>
      </c>
      <c r="Q2632">
        <v>61</v>
      </c>
      <c r="R2632">
        <v>5.2999999999999972</v>
      </c>
      <c r="S2632" t="s">
        <v>130</v>
      </c>
    </row>
    <row r="2633" spans="1:19" x14ac:dyDescent="0.35">
      <c r="A2633">
        <v>35832</v>
      </c>
      <c r="B2633" t="str">
        <f>"035832"</f>
        <v>035832</v>
      </c>
      <c r="C2633" t="s">
        <v>8469</v>
      </c>
      <c r="D2633" t="s">
        <v>3394</v>
      </c>
      <c r="E2633" t="s">
        <v>3395</v>
      </c>
      <c r="F2633" t="s">
        <v>3396</v>
      </c>
      <c r="G2633" t="s">
        <v>200</v>
      </c>
      <c r="H2633" t="s">
        <v>8470</v>
      </c>
      <c r="I2633" t="s">
        <v>8471</v>
      </c>
      <c r="J2633" t="s">
        <v>2685</v>
      </c>
      <c r="K2633" t="s">
        <v>55</v>
      </c>
      <c r="L2633" t="s">
        <v>2686</v>
      </c>
      <c r="M2633" t="s">
        <v>57</v>
      </c>
      <c r="N2633" t="str">
        <f>"044602"</f>
        <v>044602</v>
      </c>
      <c r="O2633" t="s">
        <v>2682</v>
      </c>
      <c r="P2633" t="s">
        <v>68</v>
      </c>
      <c r="Q2633">
        <v>45.3</v>
      </c>
      <c r="R2633">
        <v>25.099999999999994</v>
      </c>
      <c r="S2633" t="s">
        <v>156</v>
      </c>
    </row>
    <row r="2634" spans="1:19" x14ac:dyDescent="0.35">
      <c r="A2634">
        <v>35865</v>
      </c>
      <c r="B2634" t="str">
        <f>"035865"</f>
        <v>035865</v>
      </c>
      <c r="C2634" t="s">
        <v>8472</v>
      </c>
      <c r="D2634" t="s">
        <v>3398</v>
      </c>
      <c r="E2634" t="s">
        <v>3395</v>
      </c>
      <c r="F2634" t="s">
        <v>3396</v>
      </c>
      <c r="G2634" t="s">
        <v>200</v>
      </c>
      <c r="H2634" t="s">
        <v>8473</v>
      </c>
      <c r="I2634" t="s">
        <v>8474</v>
      </c>
      <c r="J2634" t="s">
        <v>304</v>
      </c>
      <c r="K2634" t="s">
        <v>55</v>
      </c>
      <c r="L2634" t="s">
        <v>4721</v>
      </c>
      <c r="M2634" t="s">
        <v>57</v>
      </c>
      <c r="N2634" t="str">
        <f>"044909"</f>
        <v>044909</v>
      </c>
      <c r="O2634" t="s">
        <v>3318</v>
      </c>
      <c r="P2634" t="s">
        <v>68</v>
      </c>
      <c r="Q2634">
        <v>56.8</v>
      </c>
      <c r="R2634">
        <v>69.400000000000006</v>
      </c>
      <c r="S2634" t="s">
        <v>156</v>
      </c>
    </row>
    <row r="2635" spans="1:19" x14ac:dyDescent="0.35">
      <c r="A2635">
        <v>35873</v>
      </c>
      <c r="B2635" t="str">
        <f>"035873"</f>
        <v>035873</v>
      </c>
      <c r="C2635" t="s">
        <v>8475</v>
      </c>
      <c r="D2635" t="s">
        <v>3394</v>
      </c>
      <c r="E2635" t="s">
        <v>3395</v>
      </c>
      <c r="F2635" t="s">
        <v>3396</v>
      </c>
      <c r="G2635" t="s">
        <v>132</v>
      </c>
      <c r="H2635" t="s">
        <v>8476</v>
      </c>
      <c r="I2635" t="s">
        <v>8477</v>
      </c>
      <c r="J2635" t="s">
        <v>132</v>
      </c>
      <c r="K2635" t="s">
        <v>55</v>
      </c>
      <c r="L2635" t="s">
        <v>184</v>
      </c>
      <c r="M2635" t="s">
        <v>57</v>
      </c>
      <c r="N2635" t="str">
        <f>"043513"</f>
        <v>043513</v>
      </c>
      <c r="O2635" t="s">
        <v>1141</v>
      </c>
      <c r="P2635" t="s">
        <v>68</v>
      </c>
      <c r="Q2635">
        <v>100</v>
      </c>
      <c r="R2635">
        <v>45.3</v>
      </c>
      <c r="S2635" t="s">
        <v>69</v>
      </c>
    </row>
    <row r="2636" spans="1:19" x14ac:dyDescent="0.35">
      <c r="A2636">
        <v>35956</v>
      </c>
      <c r="B2636" t="str">
        <f>"035956"</f>
        <v>035956</v>
      </c>
      <c r="C2636" t="s">
        <v>8478</v>
      </c>
      <c r="D2636" t="s">
        <v>3398</v>
      </c>
      <c r="E2636" t="s">
        <v>3395</v>
      </c>
      <c r="F2636" t="s">
        <v>3396</v>
      </c>
      <c r="G2636" t="s">
        <v>543</v>
      </c>
      <c r="H2636" t="s">
        <v>8479</v>
      </c>
      <c r="I2636" t="s">
        <v>8480</v>
      </c>
      <c r="J2636" t="s">
        <v>687</v>
      </c>
      <c r="K2636" t="s">
        <v>55</v>
      </c>
      <c r="L2636" t="s">
        <v>1253</v>
      </c>
      <c r="M2636" t="s">
        <v>57</v>
      </c>
      <c r="N2636" t="str">
        <f>"048702"</f>
        <v>048702</v>
      </c>
      <c r="O2636" t="s">
        <v>866</v>
      </c>
      <c r="P2636" t="s">
        <v>68</v>
      </c>
      <c r="Q2636">
        <v>51.9</v>
      </c>
      <c r="R2636">
        <v>30</v>
      </c>
      <c r="S2636" t="s">
        <v>180</v>
      </c>
    </row>
    <row r="2637" spans="1:19" x14ac:dyDescent="0.35">
      <c r="A2637">
        <v>35956</v>
      </c>
      <c r="B2637" t="str">
        <f>"035956"</f>
        <v>035956</v>
      </c>
      <c r="C2637" t="s">
        <v>8478</v>
      </c>
      <c r="D2637" t="s">
        <v>3929</v>
      </c>
      <c r="E2637" t="s">
        <v>3395</v>
      </c>
      <c r="F2637" t="s">
        <v>3396</v>
      </c>
      <c r="G2637" t="s">
        <v>543</v>
      </c>
      <c r="H2637" t="s">
        <v>8479</v>
      </c>
      <c r="I2637" t="s">
        <v>8480</v>
      </c>
      <c r="J2637" t="s">
        <v>687</v>
      </c>
      <c r="K2637" t="s">
        <v>55</v>
      </c>
      <c r="L2637" t="s">
        <v>1253</v>
      </c>
      <c r="M2637" t="s">
        <v>57</v>
      </c>
      <c r="N2637" t="str">
        <f>"048702"</f>
        <v>048702</v>
      </c>
      <c r="O2637" t="s">
        <v>866</v>
      </c>
      <c r="P2637" t="s">
        <v>68</v>
      </c>
      <c r="Q2637">
        <v>51.9</v>
      </c>
      <c r="R2637">
        <v>30</v>
      </c>
      <c r="S2637" t="s">
        <v>180</v>
      </c>
    </row>
    <row r="2638" spans="1:19" x14ac:dyDescent="0.35">
      <c r="A2638">
        <v>35972</v>
      </c>
      <c r="B2638" t="str">
        <f>"035972"</f>
        <v>035972</v>
      </c>
      <c r="C2638" t="s">
        <v>8481</v>
      </c>
      <c r="D2638" t="s">
        <v>3394</v>
      </c>
      <c r="E2638" t="s">
        <v>3395</v>
      </c>
      <c r="F2638" t="s">
        <v>3396</v>
      </c>
      <c r="G2638" t="s">
        <v>642</v>
      </c>
      <c r="H2638" t="s">
        <v>8482</v>
      </c>
      <c r="I2638" t="s">
        <v>8483</v>
      </c>
      <c r="J2638" t="s">
        <v>2675</v>
      </c>
      <c r="K2638" t="s">
        <v>55</v>
      </c>
      <c r="L2638" t="s">
        <v>2676</v>
      </c>
      <c r="M2638" t="s">
        <v>57</v>
      </c>
      <c r="N2638" t="str">
        <f>"047274"</f>
        <v>047274</v>
      </c>
      <c r="O2638" t="s">
        <v>2672</v>
      </c>
      <c r="P2638" t="s">
        <v>68</v>
      </c>
      <c r="Q2638">
        <v>13.9</v>
      </c>
      <c r="R2638">
        <v>16.900000000000006</v>
      </c>
      <c r="S2638" t="s">
        <v>180</v>
      </c>
    </row>
    <row r="2639" spans="1:19" x14ac:dyDescent="0.35">
      <c r="A2639">
        <v>36004</v>
      </c>
      <c r="B2639" t="str">
        <f>"036004"</f>
        <v>036004</v>
      </c>
      <c r="C2639" t="s">
        <v>8484</v>
      </c>
      <c r="D2639" t="s">
        <v>3394</v>
      </c>
      <c r="E2639" t="s">
        <v>3395</v>
      </c>
      <c r="F2639" t="s">
        <v>3396</v>
      </c>
      <c r="G2639" t="s">
        <v>187</v>
      </c>
      <c r="H2639" t="s">
        <v>8485</v>
      </c>
      <c r="I2639" t="s">
        <v>8486</v>
      </c>
      <c r="J2639" t="s">
        <v>3214</v>
      </c>
      <c r="K2639" t="s">
        <v>55</v>
      </c>
      <c r="L2639" t="s">
        <v>3215</v>
      </c>
      <c r="M2639" t="s">
        <v>57</v>
      </c>
      <c r="N2639" t="str">
        <f>"050567"</f>
        <v>050567</v>
      </c>
      <c r="O2639" t="s">
        <v>3211</v>
      </c>
      <c r="P2639" t="s">
        <v>68</v>
      </c>
      <c r="Q2639">
        <v>32.4</v>
      </c>
      <c r="R2639">
        <v>4.7999999999999972</v>
      </c>
      <c r="S2639" t="s">
        <v>77</v>
      </c>
    </row>
    <row r="2640" spans="1:19" x14ac:dyDescent="0.35">
      <c r="A2640">
        <v>36012</v>
      </c>
      <c r="B2640" t="str">
        <f>"036012"</f>
        <v>036012</v>
      </c>
      <c r="C2640" t="s">
        <v>8487</v>
      </c>
      <c r="D2640" t="s">
        <v>3394</v>
      </c>
      <c r="E2640" t="s">
        <v>3395</v>
      </c>
      <c r="F2640" t="s">
        <v>3396</v>
      </c>
      <c r="G2640" t="s">
        <v>481</v>
      </c>
      <c r="H2640" t="s">
        <v>8488</v>
      </c>
      <c r="I2640" t="s">
        <v>8489</v>
      </c>
      <c r="J2640" t="s">
        <v>484</v>
      </c>
      <c r="K2640" t="s">
        <v>55</v>
      </c>
      <c r="L2640" t="s">
        <v>485</v>
      </c>
      <c r="M2640" t="s">
        <v>57</v>
      </c>
      <c r="N2640" t="str">
        <f>"045492"</f>
        <v>045492</v>
      </c>
      <c r="O2640" t="s">
        <v>3003</v>
      </c>
      <c r="P2640" t="s">
        <v>68</v>
      </c>
      <c r="Q2640">
        <v>48.1</v>
      </c>
      <c r="R2640">
        <v>16.5</v>
      </c>
      <c r="S2640" t="s">
        <v>69</v>
      </c>
    </row>
    <row r="2641" spans="1:19" x14ac:dyDescent="0.35">
      <c r="A2641">
        <v>36020</v>
      </c>
      <c r="B2641" t="str">
        <f>"036020"</f>
        <v>036020</v>
      </c>
      <c r="C2641" t="s">
        <v>8490</v>
      </c>
      <c r="D2641" t="s">
        <v>3398</v>
      </c>
      <c r="E2641" t="s">
        <v>3395</v>
      </c>
      <c r="F2641" t="s">
        <v>3396</v>
      </c>
      <c r="G2641" t="s">
        <v>135</v>
      </c>
      <c r="H2641" t="s">
        <v>8491</v>
      </c>
      <c r="I2641" t="s">
        <v>8492</v>
      </c>
      <c r="J2641" t="s">
        <v>279</v>
      </c>
      <c r="K2641" t="s">
        <v>55</v>
      </c>
      <c r="L2641" t="s">
        <v>280</v>
      </c>
      <c r="M2641" t="s">
        <v>57</v>
      </c>
      <c r="N2641" t="str">
        <f>"044826"</f>
        <v>044826</v>
      </c>
      <c r="O2641" t="s">
        <v>276</v>
      </c>
      <c r="P2641" t="s">
        <v>68</v>
      </c>
      <c r="Q2641">
        <v>99.1</v>
      </c>
      <c r="R2641">
        <v>37.299999999999997</v>
      </c>
      <c r="S2641" t="s">
        <v>130</v>
      </c>
    </row>
    <row r="2642" spans="1:19" x14ac:dyDescent="0.35">
      <c r="A2642">
        <v>36053</v>
      </c>
      <c r="B2642" t="str">
        <f>"036053"</f>
        <v>036053</v>
      </c>
      <c r="C2642" t="s">
        <v>8493</v>
      </c>
      <c r="D2642" t="s">
        <v>3394</v>
      </c>
      <c r="E2642" t="s">
        <v>3395</v>
      </c>
      <c r="F2642" t="s">
        <v>3396</v>
      </c>
      <c r="G2642" t="s">
        <v>600</v>
      </c>
      <c r="H2642" t="s">
        <v>8494</v>
      </c>
      <c r="I2642" t="s">
        <v>8495</v>
      </c>
      <c r="J2642" t="s">
        <v>1348</v>
      </c>
      <c r="K2642" t="s">
        <v>55</v>
      </c>
      <c r="L2642" t="s">
        <v>8325</v>
      </c>
      <c r="M2642" t="s">
        <v>57</v>
      </c>
      <c r="N2642" t="str">
        <f>"043802"</f>
        <v>043802</v>
      </c>
      <c r="O2642" t="s">
        <v>3171</v>
      </c>
      <c r="P2642" t="s">
        <v>68</v>
      </c>
      <c r="Q2642">
        <v>100</v>
      </c>
      <c r="R2642">
        <v>90.4</v>
      </c>
      <c r="S2642" t="s">
        <v>60</v>
      </c>
    </row>
    <row r="2643" spans="1:19" x14ac:dyDescent="0.35">
      <c r="A2643">
        <v>36061</v>
      </c>
      <c r="B2643" t="str">
        <f>"036061"</f>
        <v>036061</v>
      </c>
      <c r="C2643" t="s">
        <v>8496</v>
      </c>
      <c r="D2643" t="s">
        <v>3394</v>
      </c>
      <c r="E2643" t="s">
        <v>3395</v>
      </c>
      <c r="F2643" t="s">
        <v>3396</v>
      </c>
      <c r="G2643" t="s">
        <v>244</v>
      </c>
      <c r="H2643" t="s">
        <v>8497</v>
      </c>
      <c r="I2643" t="s">
        <v>8498</v>
      </c>
      <c r="J2643" t="s">
        <v>1748</v>
      </c>
      <c r="K2643" t="s">
        <v>55</v>
      </c>
      <c r="L2643" t="s">
        <v>1749</v>
      </c>
      <c r="M2643" t="s">
        <v>57</v>
      </c>
      <c r="N2643" t="str">
        <f>"046151"</f>
        <v>046151</v>
      </c>
      <c r="O2643" t="s">
        <v>1745</v>
      </c>
      <c r="P2643" t="s">
        <v>68</v>
      </c>
      <c r="Q2643">
        <v>30.8</v>
      </c>
      <c r="R2643">
        <v>8.7000000000000028</v>
      </c>
      <c r="S2643" t="s">
        <v>217</v>
      </c>
    </row>
    <row r="2644" spans="1:19" x14ac:dyDescent="0.35">
      <c r="A2644">
        <v>36087</v>
      </c>
      <c r="B2644" t="str">
        <f>"036087"</f>
        <v>036087</v>
      </c>
      <c r="C2644" t="s">
        <v>8499</v>
      </c>
      <c r="D2644" t="s">
        <v>3394</v>
      </c>
      <c r="E2644" t="s">
        <v>3395</v>
      </c>
      <c r="F2644" t="s">
        <v>3396</v>
      </c>
      <c r="G2644" t="s">
        <v>212</v>
      </c>
      <c r="H2644" t="s">
        <v>8500</v>
      </c>
      <c r="I2644" t="s">
        <v>8501</v>
      </c>
      <c r="J2644" t="s">
        <v>215</v>
      </c>
      <c r="K2644" t="s">
        <v>55</v>
      </c>
      <c r="L2644" t="s">
        <v>8502</v>
      </c>
      <c r="M2644" t="s">
        <v>57</v>
      </c>
      <c r="N2644" t="str">
        <f>"044677"</f>
        <v>044677</v>
      </c>
      <c r="O2644" t="s">
        <v>2499</v>
      </c>
      <c r="P2644" t="s">
        <v>68</v>
      </c>
      <c r="Q2644">
        <v>67.400000000000006</v>
      </c>
      <c r="R2644">
        <v>79.8</v>
      </c>
      <c r="S2644" t="s">
        <v>217</v>
      </c>
    </row>
    <row r="2645" spans="1:19" x14ac:dyDescent="0.35">
      <c r="A2645">
        <v>36095</v>
      </c>
      <c r="B2645" t="str">
        <f>"036095"</f>
        <v>036095</v>
      </c>
      <c r="C2645" t="s">
        <v>8503</v>
      </c>
      <c r="D2645" t="s">
        <v>3398</v>
      </c>
      <c r="E2645" t="s">
        <v>3395</v>
      </c>
      <c r="F2645" t="s">
        <v>3396</v>
      </c>
      <c r="G2645" t="s">
        <v>536</v>
      </c>
      <c r="H2645" t="s">
        <v>2358</v>
      </c>
      <c r="I2645" t="s">
        <v>2359</v>
      </c>
      <c r="J2645" t="s">
        <v>2360</v>
      </c>
      <c r="K2645" t="s">
        <v>55</v>
      </c>
      <c r="L2645" t="s">
        <v>2361</v>
      </c>
      <c r="M2645" t="s">
        <v>57</v>
      </c>
      <c r="N2645" t="str">
        <f>"046441"</f>
        <v>046441</v>
      </c>
      <c r="O2645" t="s">
        <v>2238</v>
      </c>
      <c r="P2645" t="s">
        <v>68</v>
      </c>
      <c r="Q2645">
        <v>100</v>
      </c>
      <c r="R2645">
        <v>5.5</v>
      </c>
      <c r="S2645" t="s">
        <v>77</v>
      </c>
    </row>
    <row r="2646" spans="1:19" x14ac:dyDescent="0.35">
      <c r="A2646">
        <v>36129</v>
      </c>
      <c r="B2646" t="str">
        <f>"036129"</f>
        <v>036129</v>
      </c>
      <c r="C2646" t="s">
        <v>8504</v>
      </c>
      <c r="D2646" t="s">
        <v>3394</v>
      </c>
      <c r="E2646" t="s">
        <v>3395</v>
      </c>
      <c r="F2646" t="s">
        <v>3396</v>
      </c>
      <c r="G2646" t="s">
        <v>600</v>
      </c>
      <c r="H2646" t="s">
        <v>8505</v>
      </c>
      <c r="I2646" t="s">
        <v>8506</v>
      </c>
      <c r="J2646" t="s">
        <v>1348</v>
      </c>
      <c r="K2646" t="s">
        <v>55</v>
      </c>
      <c r="L2646" t="s">
        <v>1349</v>
      </c>
      <c r="M2646" t="s">
        <v>57</v>
      </c>
      <c r="N2646" t="str">
        <f>"044800"</f>
        <v>044800</v>
      </c>
      <c r="O2646" t="s">
        <v>1133</v>
      </c>
      <c r="P2646" t="s">
        <v>68</v>
      </c>
      <c r="Q2646">
        <v>86.7</v>
      </c>
      <c r="R2646">
        <v>84.3</v>
      </c>
      <c r="S2646" t="s">
        <v>60</v>
      </c>
    </row>
    <row r="2647" spans="1:19" x14ac:dyDescent="0.35">
      <c r="A2647">
        <v>36145</v>
      </c>
      <c r="B2647" t="str">
        <f>"036145"</f>
        <v>036145</v>
      </c>
      <c r="C2647" t="s">
        <v>8507</v>
      </c>
      <c r="D2647" t="s">
        <v>3394</v>
      </c>
      <c r="E2647" t="s">
        <v>3395</v>
      </c>
      <c r="F2647" t="s">
        <v>3396</v>
      </c>
      <c r="G2647" t="s">
        <v>543</v>
      </c>
      <c r="H2647" t="s">
        <v>8508</v>
      </c>
      <c r="I2647" t="s">
        <v>8509</v>
      </c>
      <c r="J2647" t="s">
        <v>1858</v>
      </c>
      <c r="K2647" t="s">
        <v>55</v>
      </c>
      <c r="L2647" t="s">
        <v>4246</v>
      </c>
      <c r="M2647" t="s">
        <v>57</v>
      </c>
      <c r="N2647" t="str">
        <f>"043737"</f>
        <v>043737</v>
      </c>
      <c r="O2647" t="s">
        <v>1855</v>
      </c>
      <c r="P2647" t="s">
        <v>68</v>
      </c>
      <c r="Q2647">
        <v>15.6</v>
      </c>
      <c r="R2647">
        <v>16.700000000000003</v>
      </c>
      <c r="S2647" t="s">
        <v>180</v>
      </c>
    </row>
    <row r="2648" spans="1:19" x14ac:dyDescent="0.35">
      <c r="A2648">
        <v>36152</v>
      </c>
      <c r="B2648" t="str">
        <f>"036152"</f>
        <v>036152</v>
      </c>
      <c r="C2648" t="s">
        <v>8510</v>
      </c>
      <c r="D2648" t="s">
        <v>3398</v>
      </c>
      <c r="E2648" t="s">
        <v>3395</v>
      </c>
      <c r="F2648" t="s">
        <v>3396</v>
      </c>
      <c r="G2648" t="s">
        <v>543</v>
      </c>
      <c r="H2648" t="s">
        <v>8511</v>
      </c>
      <c r="I2648" t="s">
        <v>8512</v>
      </c>
      <c r="J2648" t="s">
        <v>687</v>
      </c>
      <c r="K2648" t="s">
        <v>55</v>
      </c>
      <c r="L2648" t="s">
        <v>786</v>
      </c>
      <c r="M2648" t="s">
        <v>57</v>
      </c>
      <c r="N2648" t="str">
        <f>"043844"</f>
        <v>043844</v>
      </c>
      <c r="O2648" t="s">
        <v>985</v>
      </c>
      <c r="P2648" t="s">
        <v>68</v>
      </c>
      <c r="Q2648">
        <v>99.7</v>
      </c>
      <c r="R2648">
        <v>67.400000000000006</v>
      </c>
      <c r="S2648" t="s">
        <v>180</v>
      </c>
    </row>
    <row r="2649" spans="1:19" x14ac:dyDescent="0.35">
      <c r="A2649">
        <v>36194</v>
      </c>
      <c r="B2649" t="str">
        <f>"036194"</f>
        <v>036194</v>
      </c>
      <c r="C2649" t="s">
        <v>8513</v>
      </c>
      <c r="D2649" t="s">
        <v>3394</v>
      </c>
      <c r="E2649" t="s">
        <v>3395</v>
      </c>
      <c r="F2649" t="s">
        <v>3396</v>
      </c>
      <c r="G2649" t="s">
        <v>117</v>
      </c>
      <c r="H2649" t="s">
        <v>8514</v>
      </c>
      <c r="I2649" t="s">
        <v>8515</v>
      </c>
      <c r="J2649" t="s">
        <v>1409</v>
      </c>
      <c r="K2649" t="s">
        <v>55</v>
      </c>
      <c r="L2649" t="s">
        <v>8516</v>
      </c>
      <c r="M2649" t="s">
        <v>57</v>
      </c>
      <c r="N2649" t="str">
        <f>"043711"</f>
        <v>043711</v>
      </c>
      <c r="O2649" t="s">
        <v>3000</v>
      </c>
      <c r="P2649" t="s">
        <v>68</v>
      </c>
      <c r="Q2649">
        <v>100</v>
      </c>
      <c r="R2649">
        <v>65.400000000000006</v>
      </c>
      <c r="S2649" t="s">
        <v>77</v>
      </c>
    </row>
    <row r="2650" spans="1:19" x14ac:dyDescent="0.35">
      <c r="A2650">
        <v>36210</v>
      </c>
      <c r="B2650" t="str">
        <f>"036210"</f>
        <v>036210</v>
      </c>
      <c r="C2650" t="s">
        <v>8517</v>
      </c>
      <c r="D2650" t="s">
        <v>3398</v>
      </c>
      <c r="E2650" t="s">
        <v>3395</v>
      </c>
      <c r="F2650" t="s">
        <v>3396</v>
      </c>
      <c r="G2650" t="s">
        <v>264</v>
      </c>
      <c r="H2650" t="s">
        <v>8518</v>
      </c>
      <c r="I2650" t="s">
        <v>8519</v>
      </c>
      <c r="J2650" t="s">
        <v>1210</v>
      </c>
      <c r="K2650" t="s">
        <v>55</v>
      </c>
      <c r="L2650" t="s">
        <v>1211</v>
      </c>
      <c r="M2650" t="s">
        <v>57</v>
      </c>
      <c r="N2650" t="str">
        <f>"044834"</f>
        <v>044834</v>
      </c>
      <c r="O2650" t="s">
        <v>1207</v>
      </c>
      <c r="P2650" t="s">
        <v>68</v>
      </c>
      <c r="Q2650">
        <v>28.8</v>
      </c>
      <c r="R2650">
        <v>16.900000000000006</v>
      </c>
      <c r="S2650" t="s">
        <v>77</v>
      </c>
    </row>
    <row r="2651" spans="1:19" x14ac:dyDescent="0.35">
      <c r="A2651">
        <v>36236</v>
      </c>
      <c r="B2651" t="str">
        <f>"036236"</f>
        <v>036236</v>
      </c>
      <c r="C2651" t="s">
        <v>8520</v>
      </c>
      <c r="D2651" t="s">
        <v>3394</v>
      </c>
      <c r="E2651" t="s">
        <v>3395</v>
      </c>
      <c r="F2651" t="s">
        <v>3396</v>
      </c>
      <c r="G2651" t="s">
        <v>71</v>
      </c>
      <c r="H2651" t="s">
        <v>2807</v>
      </c>
      <c r="I2651" t="s">
        <v>2808</v>
      </c>
      <c r="J2651" t="s">
        <v>2809</v>
      </c>
      <c r="K2651" t="s">
        <v>55</v>
      </c>
      <c r="L2651" t="s">
        <v>2810</v>
      </c>
      <c r="M2651" t="s">
        <v>57</v>
      </c>
      <c r="N2651" t="str">
        <f>"050294"</f>
        <v>050294</v>
      </c>
      <c r="O2651" t="s">
        <v>2806</v>
      </c>
      <c r="P2651" t="s">
        <v>68</v>
      </c>
      <c r="Q2651">
        <v>31.7</v>
      </c>
      <c r="R2651">
        <v>5.7000000000000028</v>
      </c>
      <c r="S2651" t="s">
        <v>77</v>
      </c>
    </row>
    <row r="2652" spans="1:19" x14ac:dyDescent="0.35">
      <c r="A2652">
        <v>36244</v>
      </c>
      <c r="B2652" t="str">
        <f>"036244"</f>
        <v>036244</v>
      </c>
      <c r="C2652" t="s">
        <v>8521</v>
      </c>
      <c r="D2652" t="s">
        <v>3398</v>
      </c>
      <c r="E2652" t="s">
        <v>3395</v>
      </c>
      <c r="F2652" t="s">
        <v>3396</v>
      </c>
      <c r="G2652" t="s">
        <v>71</v>
      </c>
      <c r="H2652" t="s">
        <v>2807</v>
      </c>
      <c r="I2652" t="s">
        <v>2808</v>
      </c>
      <c r="J2652" t="s">
        <v>2809</v>
      </c>
      <c r="K2652" t="s">
        <v>55</v>
      </c>
      <c r="L2652" t="s">
        <v>2810</v>
      </c>
      <c r="M2652" t="s">
        <v>57</v>
      </c>
      <c r="N2652" t="str">
        <f>"050294"</f>
        <v>050294</v>
      </c>
      <c r="O2652" t="s">
        <v>2806</v>
      </c>
      <c r="P2652" t="s">
        <v>68</v>
      </c>
      <c r="Q2652">
        <v>14.8</v>
      </c>
      <c r="R2652">
        <v>8.2999999999999972</v>
      </c>
      <c r="S2652" t="s">
        <v>77</v>
      </c>
    </row>
    <row r="2653" spans="1:19" x14ac:dyDescent="0.35">
      <c r="A2653">
        <v>36251</v>
      </c>
      <c r="B2653" t="str">
        <f>"036251"</f>
        <v>036251</v>
      </c>
      <c r="C2653" t="s">
        <v>8522</v>
      </c>
      <c r="D2653" t="s">
        <v>3400</v>
      </c>
      <c r="E2653" t="s">
        <v>3395</v>
      </c>
      <c r="F2653" t="s">
        <v>3396</v>
      </c>
      <c r="G2653" t="s">
        <v>295</v>
      </c>
      <c r="H2653" t="s">
        <v>8523</v>
      </c>
      <c r="I2653" t="s">
        <v>8524</v>
      </c>
      <c r="J2653" t="s">
        <v>3209</v>
      </c>
      <c r="K2653" t="s">
        <v>55</v>
      </c>
      <c r="L2653" t="s">
        <v>3210</v>
      </c>
      <c r="M2653" t="s">
        <v>57</v>
      </c>
      <c r="N2653" t="str">
        <f>"049239"</f>
        <v>049239</v>
      </c>
      <c r="O2653" t="s">
        <v>3206</v>
      </c>
      <c r="P2653" t="s">
        <v>68</v>
      </c>
      <c r="Q2653">
        <v>36.9</v>
      </c>
      <c r="R2653">
        <v>31.700000000000003</v>
      </c>
      <c r="S2653" t="s">
        <v>77</v>
      </c>
    </row>
    <row r="2654" spans="1:19" x14ac:dyDescent="0.35">
      <c r="A2654">
        <v>36269</v>
      </c>
      <c r="B2654" t="str">
        <f>"036269"</f>
        <v>036269</v>
      </c>
      <c r="C2654" t="s">
        <v>8525</v>
      </c>
      <c r="D2654" t="s">
        <v>3398</v>
      </c>
      <c r="E2654" t="s">
        <v>3395</v>
      </c>
      <c r="F2654" t="s">
        <v>3396</v>
      </c>
      <c r="G2654" t="s">
        <v>295</v>
      </c>
      <c r="H2654" t="s">
        <v>8526</v>
      </c>
      <c r="I2654" t="s">
        <v>8527</v>
      </c>
      <c r="J2654" t="s">
        <v>3209</v>
      </c>
      <c r="K2654" t="s">
        <v>55</v>
      </c>
      <c r="L2654" t="s">
        <v>3210</v>
      </c>
      <c r="M2654" t="s">
        <v>57</v>
      </c>
      <c r="N2654" t="str">
        <f>"049239"</f>
        <v>049239</v>
      </c>
      <c r="O2654" t="s">
        <v>3206</v>
      </c>
      <c r="P2654" t="s">
        <v>68</v>
      </c>
      <c r="Q2654">
        <v>28.5</v>
      </c>
      <c r="R2654">
        <v>28.5</v>
      </c>
      <c r="S2654" t="s">
        <v>77</v>
      </c>
    </row>
    <row r="2655" spans="1:19" x14ac:dyDescent="0.35">
      <c r="A2655">
        <v>36277</v>
      </c>
      <c r="B2655" t="str">
        <f>"036277"</f>
        <v>036277</v>
      </c>
      <c r="C2655" t="s">
        <v>8528</v>
      </c>
      <c r="D2655" t="s">
        <v>3398</v>
      </c>
      <c r="E2655" t="s">
        <v>3395</v>
      </c>
      <c r="F2655" t="s">
        <v>3396</v>
      </c>
      <c r="G2655" t="s">
        <v>63</v>
      </c>
      <c r="H2655" t="s">
        <v>8529</v>
      </c>
      <c r="I2655" t="s">
        <v>8530</v>
      </c>
      <c r="J2655" t="s">
        <v>1834</v>
      </c>
      <c r="K2655" t="s">
        <v>55</v>
      </c>
      <c r="L2655" t="s">
        <v>7164</v>
      </c>
      <c r="M2655" t="s">
        <v>57</v>
      </c>
      <c r="N2655" t="str">
        <f>"044842"</f>
        <v>044842</v>
      </c>
      <c r="O2655" t="s">
        <v>1831</v>
      </c>
      <c r="P2655" t="s">
        <v>68</v>
      </c>
      <c r="Q2655">
        <v>16.5</v>
      </c>
      <c r="R2655">
        <v>19.099999999999994</v>
      </c>
      <c r="S2655" t="s">
        <v>69</v>
      </c>
    </row>
    <row r="2656" spans="1:19" x14ac:dyDescent="0.35">
      <c r="A2656">
        <v>36285</v>
      </c>
      <c r="B2656" t="str">
        <f>"036285"</f>
        <v>036285</v>
      </c>
      <c r="C2656" t="s">
        <v>8531</v>
      </c>
      <c r="D2656" t="s">
        <v>3400</v>
      </c>
      <c r="E2656" t="s">
        <v>3395</v>
      </c>
      <c r="F2656" t="s">
        <v>3396</v>
      </c>
      <c r="G2656" t="s">
        <v>63</v>
      </c>
      <c r="H2656" t="s">
        <v>8532</v>
      </c>
      <c r="I2656" t="s">
        <v>8533</v>
      </c>
      <c r="J2656" t="s">
        <v>1834</v>
      </c>
      <c r="K2656" t="s">
        <v>55</v>
      </c>
      <c r="L2656" t="s">
        <v>1835</v>
      </c>
      <c r="M2656" t="s">
        <v>57</v>
      </c>
      <c r="N2656" t="str">
        <f>"044842"</f>
        <v>044842</v>
      </c>
      <c r="O2656" t="s">
        <v>1831</v>
      </c>
      <c r="P2656" t="s">
        <v>68</v>
      </c>
      <c r="Q2656">
        <v>20.6</v>
      </c>
      <c r="R2656">
        <v>22.599999999999994</v>
      </c>
      <c r="S2656" t="s">
        <v>69</v>
      </c>
    </row>
    <row r="2657" spans="1:19" x14ac:dyDescent="0.35">
      <c r="A2657">
        <v>36301</v>
      </c>
      <c r="B2657" t="str">
        <f>"036301"</f>
        <v>036301</v>
      </c>
      <c r="C2657" t="s">
        <v>8534</v>
      </c>
      <c r="D2657" t="s">
        <v>3398</v>
      </c>
      <c r="E2657" t="s">
        <v>3395</v>
      </c>
      <c r="F2657" t="s">
        <v>3396</v>
      </c>
      <c r="G2657" t="s">
        <v>383</v>
      </c>
      <c r="H2657" t="s">
        <v>8535</v>
      </c>
      <c r="I2657" t="s">
        <v>8536</v>
      </c>
      <c r="J2657" t="s">
        <v>3349</v>
      </c>
      <c r="K2657" t="s">
        <v>55</v>
      </c>
      <c r="L2657" t="s">
        <v>3350</v>
      </c>
      <c r="M2657" t="s">
        <v>57</v>
      </c>
      <c r="N2657" t="str">
        <f>"044859"</f>
        <v>044859</v>
      </c>
      <c r="O2657" t="s">
        <v>3346</v>
      </c>
      <c r="P2657" t="s">
        <v>68</v>
      </c>
      <c r="Q2657">
        <v>61.7</v>
      </c>
      <c r="R2657">
        <v>24.200000000000003</v>
      </c>
      <c r="S2657" t="s">
        <v>77</v>
      </c>
    </row>
    <row r="2658" spans="1:19" x14ac:dyDescent="0.35">
      <c r="A2658">
        <v>36319</v>
      </c>
      <c r="B2658" t="str">
        <f>"036319"</f>
        <v>036319</v>
      </c>
      <c r="C2658" t="s">
        <v>8537</v>
      </c>
      <c r="D2658" t="s">
        <v>3394</v>
      </c>
      <c r="E2658" t="s">
        <v>3395</v>
      </c>
      <c r="F2658" t="s">
        <v>3396</v>
      </c>
      <c r="G2658" t="s">
        <v>1118</v>
      </c>
      <c r="H2658" t="s">
        <v>1518</v>
      </c>
      <c r="I2658" t="s">
        <v>1519</v>
      </c>
      <c r="J2658" t="s">
        <v>1520</v>
      </c>
      <c r="K2658" t="s">
        <v>55</v>
      </c>
      <c r="L2658" t="s">
        <v>1521</v>
      </c>
      <c r="M2658" t="s">
        <v>57</v>
      </c>
      <c r="N2658" t="str">
        <f>"050658"</f>
        <v>050658</v>
      </c>
      <c r="O2658" t="s">
        <v>1517</v>
      </c>
      <c r="P2658" t="s">
        <v>68</v>
      </c>
      <c r="Q2658">
        <v>39.4</v>
      </c>
      <c r="R2658">
        <v>12</v>
      </c>
      <c r="S2658" t="s">
        <v>156</v>
      </c>
    </row>
    <row r="2659" spans="1:19" x14ac:dyDescent="0.35">
      <c r="A2659">
        <v>36327</v>
      </c>
      <c r="B2659" t="str">
        <f>"036327"</f>
        <v>036327</v>
      </c>
      <c r="C2659" t="s">
        <v>8538</v>
      </c>
      <c r="D2659" t="s">
        <v>3398</v>
      </c>
      <c r="E2659" t="s">
        <v>3395</v>
      </c>
      <c r="F2659" t="s">
        <v>3396</v>
      </c>
      <c r="G2659" t="s">
        <v>1118</v>
      </c>
      <c r="H2659" t="s">
        <v>1518</v>
      </c>
      <c r="I2659" t="s">
        <v>1519</v>
      </c>
      <c r="J2659" t="s">
        <v>1520</v>
      </c>
      <c r="K2659" t="s">
        <v>55</v>
      </c>
      <c r="L2659" t="s">
        <v>1521</v>
      </c>
      <c r="M2659" t="s">
        <v>57</v>
      </c>
      <c r="N2659" t="str">
        <f>"050658"</f>
        <v>050658</v>
      </c>
      <c r="O2659" t="s">
        <v>1517</v>
      </c>
      <c r="P2659" t="s">
        <v>68</v>
      </c>
      <c r="Q2659">
        <v>35.1</v>
      </c>
      <c r="R2659">
        <v>16.599999999999994</v>
      </c>
      <c r="S2659" t="s">
        <v>156</v>
      </c>
    </row>
    <row r="2660" spans="1:19" x14ac:dyDescent="0.35">
      <c r="A2660">
        <v>36335</v>
      </c>
      <c r="B2660" t="str">
        <f>"036335"</f>
        <v>036335</v>
      </c>
      <c r="C2660" t="s">
        <v>8539</v>
      </c>
      <c r="D2660" t="s">
        <v>3400</v>
      </c>
      <c r="E2660" t="s">
        <v>3395</v>
      </c>
      <c r="F2660" t="s">
        <v>3396</v>
      </c>
      <c r="G2660" t="s">
        <v>600</v>
      </c>
      <c r="H2660" t="s">
        <v>8540</v>
      </c>
      <c r="I2660" t="s">
        <v>8541</v>
      </c>
      <c r="J2660" t="s">
        <v>2536</v>
      </c>
      <c r="K2660" t="s">
        <v>55</v>
      </c>
      <c r="L2660" t="s">
        <v>2537</v>
      </c>
      <c r="M2660" t="s">
        <v>57</v>
      </c>
      <c r="N2660" t="str">
        <f>"046961"</f>
        <v>046961</v>
      </c>
      <c r="O2660" t="s">
        <v>2533</v>
      </c>
      <c r="P2660" t="s">
        <v>68</v>
      </c>
      <c r="Q2660">
        <v>50.7</v>
      </c>
      <c r="R2660">
        <v>53.7</v>
      </c>
      <c r="S2660" t="s">
        <v>60</v>
      </c>
    </row>
    <row r="2661" spans="1:19" x14ac:dyDescent="0.35">
      <c r="A2661">
        <v>36343</v>
      </c>
      <c r="B2661" t="str">
        <f>"036343"</f>
        <v>036343</v>
      </c>
      <c r="C2661" t="s">
        <v>8542</v>
      </c>
      <c r="D2661" t="s">
        <v>3394</v>
      </c>
      <c r="E2661" t="s">
        <v>3395</v>
      </c>
      <c r="F2661" t="s">
        <v>3396</v>
      </c>
      <c r="G2661" t="s">
        <v>295</v>
      </c>
      <c r="H2661" t="s">
        <v>8543</v>
      </c>
      <c r="I2661" t="s">
        <v>8544</v>
      </c>
      <c r="J2661" t="s">
        <v>298</v>
      </c>
      <c r="K2661" t="s">
        <v>55</v>
      </c>
      <c r="L2661" t="s">
        <v>299</v>
      </c>
      <c r="M2661" t="s">
        <v>57</v>
      </c>
      <c r="N2661" t="str">
        <f>"049197"</f>
        <v>049197</v>
      </c>
      <c r="O2661" t="s">
        <v>294</v>
      </c>
      <c r="P2661" t="s">
        <v>68</v>
      </c>
      <c r="Q2661">
        <v>33.6</v>
      </c>
      <c r="R2661">
        <v>6.4000000000000057</v>
      </c>
      <c r="S2661" t="s">
        <v>77</v>
      </c>
    </row>
    <row r="2662" spans="1:19" x14ac:dyDescent="0.35">
      <c r="A2662">
        <v>36350</v>
      </c>
      <c r="B2662" t="str">
        <f>"036350"</f>
        <v>036350</v>
      </c>
      <c r="C2662" t="s">
        <v>8545</v>
      </c>
      <c r="D2662" t="s">
        <v>3394</v>
      </c>
      <c r="E2662" t="s">
        <v>3395</v>
      </c>
      <c r="F2662" t="s">
        <v>3396</v>
      </c>
      <c r="G2662" t="s">
        <v>1193</v>
      </c>
      <c r="H2662" t="s">
        <v>8546</v>
      </c>
      <c r="I2662" t="s">
        <v>8547</v>
      </c>
      <c r="J2662" t="s">
        <v>2728</v>
      </c>
      <c r="K2662" t="s">
        <v>55</v>
      </c>
      <c r="L2662" t="s">
        <v>2729</v>
      </c>
      <c r="M2662" t="s">
        <v>57</v>
      </c>
      <c r="N2662" t="str">
        <f>"045773"</f>
        <v>045773</v>
      </c>
      <c r="O2662" t="s">
        <v>2725</v>
      </c>
      <c r="P2662" t="s">
        <v>68</v>
      </c>
      <c r="Q2662">
        <v>54</v>
      </c>
      <c r="R2662">
        <v>35.900000000000006</v>
      </c>
      <c r="S2662" t="s">
        <v>156</v>
      </c>
    </row>
    <row r="2663" spans="1:19" x14ac:dyDescent="0.35">
      <c r="A2663">
        <v>36384</v>
      </c>
      <c r="B2663" t="str">
        <f>"036384"</f>
        <v>036384</v>
      </c>
      <c r="C2663" t="s">
        <v>8548</v>
      </c>
      <c r="D2663" t="s">
        <v>3394</v>
      </c>
      <c r="E2663" t="s">
        <v>3395</v>
      </c>
      <c r="F2663" t="s">
        <v>3396</v>
      </c>
      <c r="G2663" t="s">
        <v>855</v>
      </c>
      <c r="H2663" t="s">
        <v>8417</v>
      </c>
      <c r="I2663" t="s">
        <v>8418</v>
      </c>
      <c r="J2663" t="s">
        <v>3287</v>
      </c>
      <c r="K2663" t="s">
        <v>55</v>
      </c>
      <c r="L2663" t="s">
        <v>3288</v>
      </c>
      <c r="M2663" t="s">
        <v>57</v>
      </c>
      <c r="N2663" t="str">
        <f>"048462"</f>
        <v>048462</v>
      </c>
      <c r="O2663" t="s">
        <v>3284</v>
      </c>
      <c r="P2663" t="s">
        <v>68</v>
      </c>
      <c r="Q2663">
        <v>35.799999999999997</v>
      </c>
      <c r="R2663">
        <v>7.2000000000000028</v>
      </c>
      <c r="S2663" t="s">
        <v>77</v>
      </c>
    </row>
    <row r="2664" spans="1:19" x14ac:dyDescent="0.35">
      <c r="A2664">
        <v>36392</v>
      </c>
      <c r="B2664" t="str">
        <f>"036392"</f>
        <v>036392</v>
      </c>
      <c r="C2664" t="s">
        <v>8549</v>
      </c>
      <c r="D2664" t="s">
        <v>3394</v>
      </c>
      <c r="E2664" t="s">
        <v>3395</v>
      </c>
      <c r="F2664" t="s">
        <v>3396</v>
      </c>
      <c r="G2664" t="s">
        <v>600</v>
      </c>
      <c r="H2664" t="s">
        <v>8550</v>
      </c>
      <c r="I2664" t="s">
        <v>8551</v>
      </c>
      <c r="J2664" t="s">
        <v>1348</v>
      </c>
      <c r="K2664" t="s">
        <v>55</v>
      </c>
      <c r="L2664" t="s">
        <v>5209</v>
      </c>
      <c r="M2664" t="s">
        <v>57</v>
      </c>
      <c r="N2664" t="str">
        <f>"043802"</f>
        <v>043802</v>
      </c>
      <c r="O2664" t="s">
        <v>3171</v>
      </c>
      <c r="P2664" t="s">
        <v>68</v>
      </c>
      <c r="Q2664">
        <v>100</v>
      </c>
      <c r="R2664">
        <v>87.3</v>
      </c>
      <c r="S2664" t="s">
        <v>60</v>
      </c>
    </row>
    <row r="2665" spans="1:19" x14ac:dyDescent="0.35">
      <c r="A2665">
        <v>36400</v>
      </c>
      <c r="B2665" t="str">
        <f>"036400"</f>
        <v>036400</v>
      </c>
      <c r="C2665" t="s">
        <v>8552</v>
      </c>
      <c r="D2665" t="s">
        <v>3394</v>
      </c>
      <c r="E2665" t="s">
        <v>3395</v>
      </c>
      <c r="F2665" t="s">
        <v>3396</v>
      </c>
      <c r="G2665" t="s">
        <v>331</v>
      </c>
      <c r="H2665" t="s">
        <v>4494</v>
      </c>
      <c r="I2665" t="s">
        <v>4495</v>
      </c>
      <c r="J2665" t="s">
        <v>334</v>
      </c>
      <c r="K2665" t="s">
        <v>55</v>
      </c>
      <c r="L2665" t="s">
        <v>335</v>
      </c>
      <c r="M2665" t="s">
        <v>57</v>
      </c>
      <c r="N2665" t="str">
        <f>"046516"</f>
        <v>046516</v>
      </c>
      <c r="O2665" t="s">
        <v>566</v>
      </c>
      <c r="P2665" t="s">
        <v>68</v>
      </c>
      <c r="Q2665">
        <v>30</v>
      </c>
      <c r="R2665">
        <v>3.7999999999999972</v>
      </c>
      <c r="S2665" t="s">
        <v>156</v>
      </c>
    </row>
    <row r="2666" spans="1:19" x14ac:dyDescent="0.35">
      <c r="A2666">
        <v>36459</v>
      </c>
      <c r="B2666" t="str">
        <f>"036459"</f>
        <v>036459</v>
      </c>
      <c r="C2666" t="s">
        <v>8553</v>
      </c>
      <c r="D2666" t="s">
        <v>3394</v>
      </c>
      <c r="E2666" t="s">
        <v>3395</v>
      </c>
      <c r="F2666" t="s">
        <v>3396</v>
      </c>
      <c r="G2666" t="s">
        <v>212</v>
      </c>
      <c r="H2666" t="s">
        <v>8554</v>
      </c>
      <c r="I2666" t="s">
        <v>8555</v>
      </c>
      <c r="J2666" t="s">
        <v>215</v>
      </c>
      <c r="K2666" t="s">
        <v>55</v>
      </c>
      <c r="L2666" t="s">
        <v>2514</v>
      </c>
      <c r="M2666" t="s">
        <v>57</v>
      </c>
      <c r="N2666" t="str">
        <f>"047340"</f>
        <v>047340</v>
      </c>
      <c r="O2666" t="s">
        <v>2511</v>
      </c>
      <c r="P2666" t="s">
        <v>68</v>
      </c>
      <c r="Q2666">
        <v>17.100000000000001</v>
      </c>
      <c r="R2666">
        <v>14.299999999999997</v>
      </c>
      <c r="S2666" t="s">
        <v>217</v>
      </c>
    </row>
    <row r="2667" spans="1:19" x14ac:dyDescent="0.35">
      <c r="A2667">
        <v>36467</v>
      </c>
      <c r="B2667" t="str">
        <f>"036467"</f>
        <v>036467</v>
      </c>
      <c r="C2667" t="s">
        <v>5649</v>
      </c>
      <c r="D2667" t="s">
        <v>3394</v>
      </c>
      <c r="E2667" t="s">
        <v>3395</v>
      </c>
      <c r="F2667" t="s">
        <v>3396</v>
      </c>
      <c r="G2667" t="s">
        <v>110</v>
      </c>
      <c r="H2667" t="s">
        <v>8556</v>
      </c>
      <c r="I2667" t="s">
        <v>8557</v>
      </c>
      <c r="J2667" t="s">
        <v>1027</v>
      </c>
      <c r="K2667" t="s">
        <v>55</v>
      </c>
      <c r="L2667" t="s">
        <v>1028</v>
      </c>
      <c r="M2667" t="s">
        <v>57</v>
      </c>
      <c r="N2667" t="str">
        <f>"048009"</f>
        <v>048009</v>
      </c>
      <c r="O2667" t="s">
        <v>1024</v>
      </c>
      <c r="P2667" t="s">
        <v>68</v>
      </c>
      <c r="Q2667">
        <v>56.3</v>
      </c>
      <c r="R2667">
        <v>66.3</v>
      </c>
      <c r="S2667" t="s">
        <v>60</v>
      </c>
    </row>
    <row r="2668" spans="1:19" x14ac:dyDescent="0.35">
      <c r="A2668">
        <v>36475</v>
      </c>
      <c r="B2668" t="str">
        <f>"036475"</f>
        <v>036475</v>
      </c>
      <c r="C2668" t="s">
        <v>8558</v>
      </c>
      <c r="D2668" t="s">
        <v>3394</v>
      </c>
      <c r="E2668" t="s">
        <v>3395</v>
      </c>
      <c r="F2668" t="s">
        <v>3396</v>
      </c>
      <c r="G2668" t="s">
        <v>63</v>
      </c>
      <c r="H2668" t="s">
        <v>8559</v>
      </c>
      <c r="I2668" t="s">
        <v>8560</v>
      </c>
      <c r="J2668" t="s">
        <v>285</v>
      </c>
      <c r="K2668" t="s">
        <v>55</v>
      </c>
      <c r="L2668" t="s">
        <v>102</v>
      </c>
      <c r="M2668" t="s">
        <v>57</v>
      </c>
      <c r="N2668" t="str">
        <f>"043786"</f>
        <v>043786</v>
      </c>
      <c r="O2668" t="s">
        <v>1340</v>
      </c>
      <c r="P2668" t="s">
        <v>68</v>
      </c>
      <c r="Q2668">
        <v>100</v>
      </c>
      <c r="R2668">
        <v>95.5</v>
      </c>
      <c r="S2668" t="s">
        <v>69</v>
      </c>
    </row>
    <row r="2669" spans="1:19" x14ac:dyDescent="0.35">
      <c r="A2669">
        <v>36483</v>
      </c>
      <c r="B2669" t="str">
        <f>"036483"</f>
        <v>036483</v>
      </c>
      <c r="C2669" t="s">
        <v>8561</v>
      </c>
      <c r="D2669" t="s">
        <v>3394</v>
      </c>
      <c r="E2669" t="s">
        <v>3395</v>
      </c>
      <c r="F2669" t="s">
        <v>3396</v>
      </c>
      <c r="G2669" t="s">
        <v>52</v>
      </c>
      <c r="H2669" t="s">
        <v>8562</v>
      </c>
      <c r="I2669" t="s">
        <v>8563</v>
      </c>
      <c r="J2669" t="s">
        <v>2874</v>
      </c>
      <c r="K2669" t="s">
        <v>55</v>
      </c>
      <c r="L2669" t="s">
        <v>2875</v>
      </c>
      <c r="M2669" t="s">
        <v>57</v>
      </c>
      <c r="N2669" t="str">
        <f>"046748"</f>
        <v>046748</v>
      </c>
      <c r="O2669" t="s">
        <v>2871</v>
      </c>
      <c r="P2669" t="s">
        <v>68</v>
      </c>
      <c r="Q2669">
        <v>10.7</v>
      </c>
      <c r="R2669">
        <v>17.099999999999994</v>
      </c>
      <c r="S2669" t="s">
        <v>60</v>
      </c>
    </row>
    <row r="2670" spans="1:19" x14ac:dyDescent="0.35">
      <c r="A2670">
        <v>36517</v>
      </c>
      <c r="B2670" t="str">
        <f>"036517"</f>
        <v>036517</v>
      </c>
      <c r="C2670" t="s">
        <v>8564</v>
      </c>
      <c r="D2670" t="s">
        <v>3400</v>
      </c>
      <c r="E2670" t="s">
        <v>3395</v>
      </c>
      <c r="F2670" t="s">
        <v>3396</v>
      </c>
      <c r="G2670" t="s">
        <v>219</v>
      </c>
      <c r="H2670" t="s">
        <v>8565</v>
      </c>
      <c r="I2670" t="s">
        <v>8566</v>
      </c>
      <c r="J2670" t="s">
        <v>2103</v>
      </c>
      <c r="K2670" t="s">
        <v>55</v>
      </c>
      <c r="L2670" t="s">
        <v>2104</v>
      </c>
      <c r="M2670" t="s">
        <v>57</v>
      </c>
      <c r="N2670" t="str">
        <f>"049627"</f>
        <v>049627</v>
      </c>
      <c r="O2670" t="s">
        <v>2100</v>
      </c>
      <c r="P2670" t="s">
        <v>68</v>
      </c>
      <c r="Q2670">
        <v>50.3</v>
      </c>
      <c r="R2670">
        <v>1.7000000000000028</v>
      </c>
      <c r="S2670" t="s">
        <v>130</v>
      </c>
    </row>
    <row r="2671" spans="1:19" x14ac:dyDescent="0.35">
      <c r="A2671">
        <v>36525</v>
      </c>
      <c r="B2671" t="str">
        <f>"036525"</f>
        <v>036525</v>
      </c>
      <c r="C2671" t="s">
        <v>8567</v>
      </c>
      <c r="D2671" t="s">
        <v>3394</v>
      </c>
      <c r="E2671" t="s">
        <v>3395</v>
      </c>
      <c r="F2671" t="s">
        <v>3396</v>
      </c>
      <c r="G2671" t="s">
        <v>63</v>
      </c>
      <c r="H2671" t="s">
        <v>8568</v>
      </c>
      <c r="I2671" t="s">
        <v>8569</v>
      </c>
      <c r="J2671" t="s">
        <v>2334</v>
      </c>
      <c r="K2671" t="s">
        <v>55</v>
      </c>
      <c r="L2671" t="s">
        <v>286</v>
      </c>
      <c r="M2671" t="s">
        <v>57</v>
      </c>
      <c r="N2671" t="str">
        <f>"044792"</f>
        <v>044792</v>
      </c>
      <c r="O2671" t="s">
        <v>2331</v>
      </c>
      <c r="P2671" t="s">
        <v>68</v>
      </c>
      <c r="Q2671">
        <v>40.200000000000003</v>
      </c>
      <c r="R2671">
        <v>62.5</v>
      </c>
      <c r="S2671" t="s">
        <v>69</v>
      </c>
    </row>
    <row r="2672" spans="1:19" x14ac:dyDescent="0.35">
      <c r="A2672">
        <v>36533</v>
      </c>
      <c r="B2672" t="str">
        <f>"036533"</f>
        <v>036533</v>
      </c>
      <c r="C2672" t="s">
        <v>8570</v>
      </c>
      <c r="D2672" t="s">
        <v>3394</v>
      </c>
      <c r="E2672" t="s">
        <v>3395</v>
      </c>
      <c r="F2672" t="s">
        <v>3396</v>
      </c>
      <c r="G2672" t="s">
        <v>63</v>
      </c>
      <c r="H2672" t="s">
        <v>1234</v>
      </c>
      <c r="I2672" t="s">
        <v>1235</v>
      </c>
      <c r="J2672" t="s">
        <v>1236</v>
      </c>
      <c r="K2672" t="s">
        <v>55</v>
      </c>
      <c r="L2672" t="s">
        <v>1237</v>
      </c>
      <c r="M2672" t="s">
        <v>57</v>
      </c>
      <c r="N2672" t="str">
        <f>"043901"</f>
        <v>043901</v>
      </c>
      <c r="O2672" t="s">
        <v>3351</v>
      </c>
      <c r="P2672" t="s">
        <v>68</v>
      </c>
      <c r="Q2672" t="s">
        <v>68</v>
      </c>
      <c r="R2672" t="s">
        <v>68</v>
      </c>
      <c r="S2672" t="s">
        <v>69</v>
      </c>
    </row>
    <row r="2673" spans="1:19" x14ac:dyDescent="0.35">
      <c r="A2673">
        <v>36558</v>
      </c>
      <c r="B2673" t="str">
        <f>"036558"</f>
        <v>036558</v>
      </c>
      <c r="C2673" t="s">
        <v>8571</v>
      </c>
      <c r="D2673" t="s">
        <v>3394</v>
      </c>
      <c r="E2673" t="s">
        <v>3395</v>
      </c>
      <c r="F2673" t="s">
        <v>3396</v>
      </c>
      <c r="G2673" t="s">
        <v>63</v>
      </c>
      <c r="H2673" t="s">
        <v>8572</v>
      </c>
      <c r="I2673" t="s">
        <v>8573</v>
      </c>
      <c r="J2673" t="s">
        <v>1834</v>
      </c>
      <c r="K2673" t="s">
        <v>55</v>
      </c>
      <c r="L2673" t="s">
        <v>7164</v>
      </c>
      <c r="M2673" t="s">
        <v>57</v>
      </c>
      <c r="N2673" t="str">
        <f>"044842"</f>
        <v>044842</v>
      </c>
      <c r="O2673" t="s">
        <v>1831</v>
      </c>
      <c r="P2673" t="s">
        <v>68</v>
      </c>
      <c r="Q2673">
        <v>15</v>
      </c>
      <c r="R2673">
        <v>18</v>
      </c>
      <c r="S2673" t="s">
        <v>69</v>
      </c>
    </row>
    <row r="2674" spans="1:19" x14ac:dyDescent="0.35">
      <c r="A2674">
        <v>36582</v>
      </c>
      <c r="B2674" t="str">
        <f>"036582"</f>
        <v>036582</v>
      </c>
      <c r="C2674" t="s">
        <v>8574</v>
      </c>
      <c r="D2674" t="s">
        <v>3398</v>
      </c>
      <c r="E2674" t="s">
        <v>3395</v>
      </c>
      <c r="F2674" t="s">
        <v>3396</v>
      </c>
      <c r="G2674" t="s">
        <v>344</v>
      </c>
      <c r="H2674" t="s">
        <v>8575</v>
      </c>
      <c r="I2674" t="s">
        <v>8576</v>
      </c>
      <c r="J2674" t="s">
        <v>2488</v>
      </c>
      <c r="K2674" t="s">
        <v>55</v>
      </c>
      <c r="L2674" t="s">
        <v>2489</v>
      </c>
      <c r="M2674" t="s">
        <v>57</v>
      </c>
      <c r="N2674" t="str">
        <f>"047092"</f>
        <v>047092</v>
      </c>
      <c r="O2674" t="s">
        <v>2485</v>
      </c>
      <c r="P2674" t="s">
        <v>68</v>
      </c>
      <c r="Q2674">
        <v>36.700000000000003</v>
      </c>
      <c r="R2674">
        <v>15.200000000000003</v>
      </c>
      <c r="S2674" t="s">
        <v>156</v>
      </c>
    </row>
    <row r="2675" spans="1:19" x14ac:dyDescent="0.35">
      <c r="A2675">
        <v>36624</v>
      </c>
      <c r="B2675" t="str">
        <f>"036624"</f>
        <v>036624</v>
      </c>
      <c r="C2675" t="s">
        <v>8577</v>
      </c>
      <c r="D2675" t="s">
        <v>3394</v>
      </c>
      <c r="E2675" t="s">
        <v>3395</v>
      </c>
      <c r="F2675" t="s">
        <v>3396</v>
      </c>
      <c r="G2675" t="s">
        <v>1702</v>
      </c>
      <c r="H2675" t="s">
        <v>7040</v>
      </c>
      <c r="I2675" t="s">
        <v>7041</v>
      </c>
      <c r="J2675" t="s">
        <v>1705</v>
      </c>
      <c r="K2675" t="s">
        <v>55</v>
      </c>
      <c r="L2675" t="s">
        <v>1706</v>
      </c>
      <c r="M2675" t="s">
        <v>57</v>
      </c>
      <c r="N2675" t="str">
        <f>"050740"</f>
        <v>050740</v>
      </c>
      <c r="O2675" t="s">
        <v>1701</v>
      </c>
      <c r="P2675" t="s">
        <v>68</v>
      </c>
      <c r="Q2675">
        <v>23.1</v>
      </c>
      <c r="R2675">
        <v>6.5999999999999943</v>
      </c>
      <c r="S2675" t="s">
        <v>156</v>
      </c>
    </row>
    <row r="2676" spans="1:19" x14ac:dyDescent="0.35">
      <c r="A2676">
        <v>36640</v>
      </c>
      <c r="B2676" t="str">
        <f>"036640"</f>
        <v>036640</v>
      </c>
      <c r="C2676" t="s">
        <v>8578</v>
      </c>
      <c r="D2676" t="s">
        <v>3398</v>
      </c>
      <c r="E2676" t="s">
        <v>3395</v>
      </c>
      <c r="F2676" t="s">
        <v>3396</v>
      </c>
      <c r="G2676" t="s">
        <v>212</v>
      </c>
      <c r="H2676" t="s">
        <v>8579</v>
      </c>
      <c r="I2676" t="s">
        <v>8580</v>
      </c>
      <c r="J2676" t="s">
        <v>215</v>
      </c>
      <c r="K2676" t="s">
        <v>55</v>
      </c>
      <c r="L2676" t="s">
        <v>2419</v>
      </c>
      <c r="M2676" t="s">
        <v>57</v>
      </c>
      <c r="N2676" t="str">
        <f>"044867"</f>
        <v>044867</v>
      </c>
      <c r="O2676" t="s">
        <v>2415</v>
      </c>
      <c r="P2676" t="s">
        <v>68</v>
      </c>
      <c r="Q2676">
        <v>12.6</v>
      </c>
      <c r="R2676">
        <v>39.9</v>
      </c>
      <c r="S2676" t="s">
        <v>217</v>
      </c>
    </row>
    <row r="2677" spans="1:19" x14ac:dyDescent="0.35">
      <c r="A2677">
        <v>36657</v>
      </c>
      <c r="B2677" t="str">
        <f>"036657"</f>
        <v>036657</v>
      </c>
      <c r="C2677" t="s">
        <v>8581</v>
      </c>
      <c r="D2677" t="s">
        <v>3400</v>
      </c>
      <c r="E2677" t="s">
        <v>3395</v>
      </c>
      <c r="F2677" t="s">
        <v>3396</v>
      </c>
      <c r="G2677" t="s">
        <v>212</v>
      </c>
      <c r="H2677" t="s">
        <v>8582</v>
      </c>
      <c r="I2677" t="s">
        <v>8583</v>
      </c>
      <c r="J2677" t="s">
        <v>215</v>
      </c>
      <c r="K2677" t="s">
        <v>55</v>
      </c>
      <c r="L2677" t="s">
        <v>2419</v>
      </c>
      <c r="M2677" t="s">
        <v>57</v>
      </c>
      <c r="N2677" t="str">
        <f>"044867"</f>
        <v>044867</v>
      </c>
      <c r="O2677" t="s">
        <v>2415</v>
      </c>
      <c r="P2677" t="s">
        <v>68</v>
      </c>
      <c r="Q2677">
        <v>11</v>
      </c>
      <c r="R2677">
        <v>35.799999999999997</v>
      </c>
      <c r="S2677" t="s">
        <v>217</v>
      </c>
    </row>
    <row r="2678" spans="1:19" x14ac:dyDescent="0.35">
      <c r="A2678">
        <v>36681</v>
      </c>
      <c r="B2678" t="str">
        <f>"036681"</f>
        <v>036681</v>
      </c>
      <c r="C2678" t="s">
        <v>8584</v>
      </c>
      <c r="D2678" t="s">
        <v>3394</v>
      </c>
      <c r="E2678" t="s">
        <v>3395</v>
      </c>
      <c r="F2678" t="s">
        <v>3396</v>
      </c>
      <c r="G2678" t="s">
        <v>200</v>
      </c>
      <c r="H2678" t="s">
        <v>8585</v>
      </c>
      <c r="I2678" t="s">
        <v>8586</v>
      </c>
      <c r="J2678" t="s">
        <v>203</v>
      </c>
      <c r="K2678" t="s">
        <v>55</v>
      </c>
      <c r="L2678" t="s">
        <v>204</v>
      </c>
      <c r="M2678" t="s">
        <v>57</v>
      </c>
      <c r="N2678" t="str">
        <f>"044875"</f>
        <v>044875</v>
      </c>
      <c r="O2678" t="s">
        <v>521</v>
      </c>
      <c r="P2678" t="s">
        <v>68</v>
      </c>
      <c r="Q2678">
        <v>22.3</v>
      </c>
      <c r="R2678">
        <v>23.299999999999997</v>
      </c>
      <c r="S2678" t="s">
        <v>156</v>
      </c>
    </row>
    <row r="2679" spans="1:19" x14ac:dyDescent="0.35">
      <c r="A2679">
        <v>36699</v>
      </c>
      <c r="B2679" t="str">
        <f>"036699"</f>
        <v>036699</v>
      </c>
      <c r="C2679" t="s">
        <v>5196</v>
      </c>
      <c r="D2679" t="s">
        <v>3394</v>
      </c>
      <c r="E2679" t="s">
        <v>3395</v>
      </c>
      <c r="F2679" t="s">
        <v>3396</v>
      </c>
      <c r="G2679" t="s">
        <v>200</v>
      </c>
      <c r="H2679" t="s">
        <v>8587</v>
      </c>
      <c r="I2679" t="s">
        <v>8588</v>
      </c>
      <c r="J2679" t="s">
        <v>203</v>
      </c>
      <c r="K2679" t="s">
        <v>55</v>
      </c>
      <c r="L2679" t="s">
        <v>204</v>
      </c>
      <c r="M2679" t="s">
        <v>57</v>
      </c>
      <c r="N2679" t="str">
        <f>"044875"</f>
        <v>044875</v>
      </c>
      <c r="O2679" t="s">
        <v>521</v>
      </c>
      <c r="P2679" t="s">
        <v>68</v>
      </c>
      <c r="Q2679">
        <v>7.6</v>
      </c>
      <c r="R2679">
        <v>19.799999999999997</v>
      </c>
      <c r="S2679" t="s">
        <v>156</v>
      </c>
    </row>
    <row r="2680" spans="1:19" x14ac:dyDescent="0.35">
      <c r="A2680">
        <v>36707</v>
      </c>
      <c r="B2680" t="str">
        <f>"036707"</f>
        <v>036707</v>
      </c>
      <c r="C2680" t="s">
        <v>8589</v>
      </c>
      <c r="D2680" t="s">
        <v>3398</v>
      </c>
      <c r="E2680" t="s">
        <v>3395</v>
      </c>
      <c r="F2680" t="s">
        <v>3396</v>
      </c>
      <c r="G2680" t="s">
        <v>200</v>
      </c>
      <c r="H2680" t="s">
        <v>8590</v>
      </c>
      <c r="I2680" t="s">
        <v>8591</v>
      </c>
      <c r="J2680" t="s">
        <v>203</v>
      </c>
      <c r="K2680" t="s">
        <v>55</v>
      </c>
      <c r="L2680" t="s">
        <v>204</v>
      </c>
      <c r="M2680" t="s">
        <v>57</v>
      </c>
      <c r="N2680" t="str">
        <f>"044875"</f>
        <v>044875</v>
      </c>
      <c r="O2680" t="s">
        <v>521</v>
      </c>
      <c r="P2680" t="s">
        <v>68</v>
      </c>
      <c r="Q2680">
        <v>21.8</v>
      </c>
      <c r="R2680">
        <v>18.299999999999997</v>
      </c>
      <c r="S2680" t="s">
        <v>156</v>
      </c>
    </row>
    <row r="2681" spans="1:19" x14ac:dyDescent="0.35">
      <c r="A2681">
        <v>36723</v>
      </c>
      <c r="B2681" t="str">
        <f>"036723"</f>
        <v>036723</v>
      </c>
      <c r="C2681" t="s">
        <v>8592</v>
      </c>
      <c r="D2681" t="s">
        <v>3394</v>
      </c>
      <c r="E2681" t="s">
        <v>3395</v>
      </c>
      <c r="F2681" t="s">
        <v>3396</v>
      </c>
      <c r="G2681" t="s">
        <v>200</v>
      </c>
      <c r="H2681" t="s">
        <v>8593</v>
      </c>
      <c r="I2681" t="s">
        <v>8594</v>
      </c>
      <c r="J2681" t="s">
        <v>304</v>
      </c>
      <c r="K2681" t="s">
        <v>55</v>
      </c>
      <c r="L2681" t="s">
        <v>5763</v>
      </c>
      <c r="M2681" t="s">
        <v>57</v>
      </c>
      <c r="N2681" t="str">
        <f>"044875"</f>
        <v>044875</v>
      </c>
      <c r="O2681" t="s">
        <v>521</v>
      </c>
      <c r="P2681" t="s">
        <v>68</v>
      </c>
      <c r="Q2681">
        <v>33.6</v>
      </c>
      <c r="R2681">
        <v>29.799999999999997</v>
      </c>
      <c r="S2681" t="s">
        <v>156</v>
      </c>
    </row>
    <row r="2682" spans="1:19" x14ac:dyDescent="0.35">
      <c r="A2682">
        <v>36731</v>
      </c>
      <c r="B2682" t="str">
        <f>"036731"</f>
        <v>036731</v>
      </c>
      <c r="C2682" t="s">
        <v>8595</v>
      </c>
      <c r="D2682" t="s">
        <v>3394</v>
      </c>
      <c r="E2682" t="s">
        <v>3395</v>
      </c>
      <c r="F2682" t="s">
        <v>3396</v>
      </c>
      <c r="G2682" t="s">
        <v>200</v>
      </c>
      <c r="H2682" t="s">
        <v>8596</v>
      </c>
      <c r="I2682" t="s">
        <v>8597</v>
      </c>
      <c r="J2682" t="s">
        <v>304</v>
      </c>
      <c r="K2682" t="s">
        <v>55</v>
      </c>
      <c r="L2682" t="s">
        <v>6788</v>
      </c>
      <c r="M2682" t="s">
        <v>57</v>
      </c>
      <c r="N2682" t="str">
        <f>"044875"</f>
        <v>044875</v>
      </c>
      <c r="O2682" t="s">
        <v>521</v>
      </c>
      <c r="P2682" t="s">
        <v>68</v>
      </c>
      <c r="Q2682">
        <v>43.9</v>
      </c>
      <c r="R2682">
        <v>28.799999999999997</v>
      </c>
      <c r="S2682" t="s">
        <v>156</v>
      </c>
    </row>
    <row r="2683" spans="1:19" x14ac:dyDescent="0.35">
      <c r="A2683">
        <v>36749</v>
      </c>
      <c r="B2683" t="str">
        <f>"036749"</f>
        <v>036749</v>
      </c>
      <c r="C2683" t="s">
        <v>8598</v>
      </c>
      <c r="D2683" t="s">
        <v>3398</v>
      </c>
      <c r="E2683" t="s">
        <v>3395</v>
      </c>
      <c r="F2683" t="s">
        <v>3396</v>
      </c>
      <c r="G2683" t="s">
        <v>1335</v>
      </c>
      <c r="H2683" t="s">
        <v>1914</v>
      </c>
      <c r="I2683" t="s">
        <v>1915</v>
      </c>
      <c r="J2683" t="s">
        <v>1916</v>
      </c>
      <c r="K2683" t="s">
        <v>55</v>
      </c>
      <c r="L2683" t="s">
        <v>1917</v>
      </c>
      <c r="M2683" t="s">
        <v>57</v>
      </c>
      <c r="N2683" t="str">
        <f>"047969"</f>
        <v>047969</v>
      </c>
      <c r="O2683" t="s">
        <v>1913</v>
      </c>
      <c r="P2683" t="s">
        <v>68</v>
      </c>
      <c r="Q2683">
        <v>95.7</v>
      </c>
      <c r="R2683">
        <v>3.0999999999999943</v>
      </c>
      <c r="S2683" t="s">
        <v>130</v>
      </c>
    </row>
    <row r="2684" spans="1:19" x14ac:dyDescent="0.35">
      <c r="A2684">
        <v>36772</v>
      </c>
      <c r="B2684" t="str">
        <f>"036772"</f>
        <v>036772</v>
      </c>
      <c r="C2684" t="s">
        <v>5041</v>
      </c>
      <c r="D2684" t="s">
        <v>3394</v>
      </c>
      <c r="E2684" t="s">
        <v>3395</v>
      </c>
      <c r="F2684" t="s">
        <v>3396</v>
      </c>
      <c r="G2684" t="s">
        <v>63</v>
      </c>
      <c r="H2684" t="s">
        <v>8599</v>
      </c>
      <c r="I2684" t="s">
        <v>8600</v>
      </c>
      <c r="J2684" t="s">
        <v>1271</v>
      </c>
      <c r="K2684" t="s">
        <v>55</v>
      </c>
      <c r="L2684" t="s">
        <v>1272</v>
      </c>
      <c r="M2684" t="s">
        <v>57</v>
      </c>
      <c r="N2684" t="str">
        <f>"044198"</f>
        <v>044198</v>
      </c>
      <c r="O2684" t="s">
        <v>1268</v>
      </c>
      <c r="P2684" t="s">
        <v>68</v>
      </c>
      <c r="Q2684">
        <v>42.7</v>
      </c>
      <c r="R2684">
        <v>29.400000000000006</v>
      </c>
      <c r="S2684" t="s">
        <v>69</v>
      </c>
    </row>
    <row r="2685" spans="1:19" x14ac:dyDescent="0.35">
      <c r="A2685">
        <v>36780</v>
      </c>
      <c r="B2685" t="str">
        <f>"036780"</f>
        <v>036780</v>
      </c>
      <c r="C2685" t="s">
        <v>8601</v>
      </c>
      <c r="D2685" t="s">
        <v>3394</v>
      </c>
      <c r="E2685" t="s">
        <v>3395</v>
      </c>
      <c r="F2685" t="s">
        <v>3396</v>
      </c>
      <c r="G2685" t="s">
        <v>212</v>
      </c>
      <c r="H2685" t="s">
        <v>8602</v>
      </c>
      <c r="I2685" t="s">
        <v>8603</v>
      </c>
      <c r="J2685" t="s">
        <v>215</v>
      </c>
      <c r="K2685" t="s">
        <v>55</v>
      </c>
      <c r="L2685" t="s">
        <v>443</v>
      </c>
      <c r="M2685" t="s">
        <v>57</v>
      </c>
      <c r="N2685" t="str">
        <f>"043752"</f>
        <v>043752</v>
      </c>
      <c r="O2685" t="s">
        <v>440</v>
      </c>
      <c r="P2685" t="s">
        <v>68</v>
      </c>
      <c r="Q2685">
        <v>100</v>
      </c>
      <c r="R2685">
        <v>95</v>
      </c>
      <c r="S2685" t="s">
        <v>217</v>
      </c>
    </row>
    <row r="2686" spans="1:19" x14ac:dyDescent="0.35">
      <c r="A2686">
        <v>36798</v>
      </c>
      <c r="B2686" t="str">
        <f>"036798"</f>
        <v>036798</v>
      </c>
      <c r="C2686" t="s">
        <v>8604</v>
      </c>
      <c r="D2686" t="s">
        <v>3394</v>
      </c>
      <c r="E2686" t="s">
        <v>3395</v>
      </c>
      <c r="F2686" t="s">
        <v>3396</v>
      </c>
      <c r="G2686" t="s">
        <v>383</v>
      </c>
      <c r="H2686" t="s">
        <v>8605</v>
      </c>
      <c r="I2686" t="s">
        <v>8606</v>
      </c>
      <c r="J2686" t="s">
        <v>1215</v>
      </c>
      <c r="K2686" t="s">
        <v>55</v>
      </c>
      <c r="L2686" t="s">
        <v>8607</v>
      </c>
      <c r="M2686" t="s">
        <v>57</v>
      </c>
      <c r="N2686" t="str">
        <f>"045161"</f>
        <v>045161</v>
      </c>
      <c r="O2686" t="s">
        <v>1212</v>
      </c>
      <c r="P2686" t="s">
        <v>68</v>
      </c>
      <c r="Q2686">
        <v>100</v>
      </c>
      <c r="R2686">
        <v>88.8</v>
      </c>
      <c r="S2686" t="s">
        <v>77</v>
      </c>
    </row>
    <row r="2687" spans="1:19" x14ac:dyDescent="0.35">
      <c r="A2687">
        <v>36822</v>
      </c>
      <c r="B2687" t="str">
        <f>"036822"</f>
        <v>036822</v>
      </c>
      <c r="C2687" t="s">
        <v>8608</v>
      </c>
      <c r="D2687" t="s">
        <v>3398</v>
      </c>
      <c r="E2687" t="s">
        <v>3395</v>
      </c>
      <c r="F2687" t="s">
        <v>3396</v>
      </c>
      <c r="G2687" t="s">
        <v>244</v>
      </c>
      <c r="H2687" t="s">
        <v>8609</v>
      </c>
      <c r="I2687" t="s">
        <v>8610</v>
      </c>
      <c r="J2687" t="s">
        <v>212</v>
      </c>
      <c r="K2687" t="s">
        <v>55</v>
      </c>
      <c r="L2687" t="s">
        <v>2312</v>
      </c>
      <c r="M2687" t="s">
        <v>57</v>
      </c>
      <c r="N2687" t="str">
        <f>"044107"</f>
        <v>044107</v>
      </c>
      <c r="O2687" t="s">
        <v>971</v>
      </c>
      <c r="P2687" t="s">
        <v>68</v>
      </c>
      <c r="Q2687">
        <v>100</v>
      </c>
      <c r="R2687">
        <v>41.1</v>
      </c>
      <c r="S2687" t="s">
        <v>217</v>
      </c>
    </row>
    <row r="2688" spans="1:19" x14ac:dyDescent="0.35">
      <c r="A2688">
        <v>36830</v>
      </c>
      <c r="B2688" t="str">
        <f>"036830"</f>
        <v>036830</v>
      </c>
      <c r="C2688" t="s">
        <v>8611</v>
      </c>
      <c r="D2688" t="s">
        <v>3398</v>
      </c>
      <c r="E2688" t="s">
        <v>3395</v>
      </c>
      <c r="F2688" t="s">
        <v>3396</v>
      </c>
      <c r="G2688" t="s">
        <v>212</v>
      </c>
      <c r="H2688" t="s">
        <v>8612</v>
      </c>
      <c r="I2688" t="s">
        <v>8613</v>
      </c>
      <c r="J2688" t="s">
        <v>215</v>
      </c>
      <c r="K2688" t="s">
        <v>55</v>
      </c>
      <c r="L2688" t="s">
        <v>8002</v>
      </c>
      <c r="M2688" t="s">
        <v>57</v>
      </c>
      <c r="N2688" t="str">
        <f>"043752"</f>
        <v>043752</v>
      </c>
      <c r="O2688" t="s">
        <v>440</v>
      </c>
      <c r="P2688" t="s">
        <v>68</v>
      </c>
      <c r="Q2688">
        <v>97.9</v>
      </c>
      <c r="R2688">
        <v>95.9</v>
      </c>
      <c r="S2688" t="s">
        <v>217</v>
      </c>
    </row>
    <row r="2689" spans="1:19" x14ac:dyDescent="0.35">
      <c r="A2689">
        <v>36848</v>
      </c>
      <c r="B2689" t="str">
        <f>"036848"</f>
        <v>036848</v>
      </c>
      <c r="C2689" t="s">
        <v>8614</v>
      </c>
      <c r="D2689" t="s">
        <v>3400</v>
      </c>
      <c r="E2689" t="s">
        <v>3395</v>
      </c>
      <c r="F2689" t="s">
        <v>3396</v>
      </c>
      <c r="G2689" t="s">
        <v>117</v>
      </c>
      <c r="H2689" t="s">
        <v>8615</v>
      </c>
      <c r="I2689" t="s">
        <v>8616</v>
      </c>
      <c r="J2689" t="s">
        <v>1409</v>
      </c>
      <c r="K2689" t="s">
        <v>55</v>
      </c>
      <c r="L2689" t="s">
        <v>1410</v>
      </c>
      <c r="M2689" t="s">
        <v>57</v>
      </c>
      <c r="N2689" t="str">
        <f>"049932"</f>
        <v>049932</v>
      </c>
      <c r="O2689" t="s">
        <v>1406</v>
      </c>
      <c r="P2689" t="s">
        <v>68</v>
      </c>
      <c r="Q2689">
        <v>42.6</v>
      </c>
      <c r="R2689">
        <v>28.200000000000003</v>
      </c>
      <c r="S2689" t="s">
        <v>77</v>
      </c>
    </row>
    <row r="2690" spans="1:19" x14ac:dyDescent="0.35">
      <c r="A2690">
        <v>36863</v>
      </c>
      <c r="B2690" t="str">
        <f>"036863"</f>
        <v>036863</v>
      </c>
      <c r="C2690" t="s">
        <v>8617</v>
      </c>
      <c r="D2690" t="s">
        <v>3398</v>
      </c>
      <c r="E2690" t="s">
        <v>3395</v>
      </c>
      <c r="F2690" t="s">
        <v>3396</v>
      </c>
      <c r="G2690" t="s">
        <v>244</v>
      </c>
      <c r="H2690" t="s">
        <v>8618</v>
      </c>
      <c r="I2690" t="s">
        <v>8619</v>
      </c>
      <c r="J2690" t="s">
        <v>1748</v>
      </c>
      <c r="K2690" t="s">
        <v>55</v>
      </c>
      <c r="L2690" t="s">
        <v>1749</v>
      </c>
      <c r="M2690" t="s">
        <v>57</v>
      </c>
      <c r="N2690" t="str">
        <f>"046151"</f>
        <v>046151</v>
      </c>
      <c r="O2690" t="s">
        <v>1745</v>
      </c>
      <c r="P2690" t="s">
        <v>68</v>
      </c>
      <c r="Q2690">
        <v>27.9</v>
      </c>
      <c r="R2690">
        <v>11.799999999999997</v>
      </c>
      <c r="S2690" t="s">
        <v>217</v>
      </c>
    </row>
    <row r="2691" spans="1:19" x14ac:dyDescent="0.35">
      <c r="A2691">
        <v>36871</v>
      </c>
      <c r="B2691" t="str">
        <f>"036871"</f>
        <v>036871</v>
      </c>
      <c r="C2691" t="s">
        <v>8620</v>
      </c>
      <c r="D2691" t="s">
        <v>3400</v>
      </c>
      <c r="E2691" t="s">
        <v>3395</v>
      </c>
      <c r="F2691" t="s">
        <v>3396</v>
      </c>
      <c r="G2691" t="s">
        <v>264</v>
      </c>
      <c r="H2691" t="s">
        <v>8621</v>
      </c>
      <c r="I2691" t="s">
        <v>8622</v>
      </c>
      <c r="J2691" t="s">
        <v>2003</v>
      </c>
      <c r="K2691" t="s">
        <v>55</v>
      </c>
      <c r="L2691" t="s">
        <v>2004</v>
      </c>
      <c r="M2691" t="s">
        <v>57</v>
      </c>
      <c r="N2691" t="str">
        <f>"044883"</f>
        <v>044883</v>
      </c>
      <c r="O2691" t="s">
        <v>2000</v>
      </c>
      <c r="P2691" t="s">
        <v>68</v>
      </c>
      <c r="Q2691">
        <v>28.6</v>
      </c>
      <c r="R2691">
        <v>20.700000000000003</v>
      </c>
      <c r="S2691" t="s">
        <v>77</v>
      </c>
    </row>
    <row r="2692" spans="1:19" x14ac:dyDescent="0.35">
      <c r="A2692">
        <v>36889</v>
      </c>
      <c r="B2692" t="str">
        <f>"036889"</f>
        <v>036889</v>
      </c>
      <c r="C2692" t="s">
        <v>7152</v>
      </c>
      <c r="D2692" t="s">
        <v>3394</v>
      </c>
      <c r="E2692" t="s">
        <v>3395</v>
      </c>
      <c r="F2692" t="s">
        <v>3396</v>
      </c>
      <c r="G2692" t="s">
        <v>92</v>
      </c>
      <c r="H2692" t="s">
        <v>8623</v>
      </c>
      <c r="I2692" t="s">
        <v>8624</v>
      </c>
      <c r="J2692" t="s">
        <v>1940</v>
      </c>
      <c r="K2692" t="s">
        <v>55</v>
      </c>
      <c r="L2692" t="s">
        <v>1941</v>
      </c>
      <c r="M2692" t="s">
        <v>57</v>
      </c>
      <c r="N2692" t="str">
        <f>"044206"</f>
        <v>044206</v>
      </c>
      <c r="O2692" t="s">
        <v>2980</v>
      </c>
      <c r="P2692" t="s">
        <v>68</v>
      </c>
      <c r="Q2692">
        <v>65.900000000000006</v>
      </c>
      <c r="R2692">
        <v>14</v>
      </c>
      <c r="S2692" t="s">
        <v>60</v>
      </c>
    </row>
    <row r="2693" spans="1:19" x14ac:dyDescent="0.35">
      <c r="A2693">
        <v>36897</v>
      </c>
      <c r="B2693" t="str">
        <f>"036897"</f>
        <v>036897</v>
      </c>
      <c r="C2693" t="s">
        <v>8625</v>
      </c>
      <c r="D2693" t="s">
        <v>3398</v>
      </c>
      <c r="E2693" t="s">
        <v>3395</v>
      </c>
      <c r="F2693" t="s">
        <v>3396</v>
      </c>
      <c r="G2693" t="s">
        <v>264</v>
      </c>
      <c r="H2693" t="s">
        <v>8626</v>
      </c>
      <c r="I2693" t="s">
        <v>8627</v>
      </c>
      <c r="J2693" t="s">
        <v>2003</v>
      </c>
      <c r="K2693" t="s">
        <v>55</v>
      </c>
      <c r="L2693" t="s">
        <v>2004</v>
      </c>
      <c r="M2693" t="s">
        <v>57</v>
      </c>
      <c r="N2693" t="str">
        <f>"044883"</f>
        <v>044883</v>
      </c>
      <c r="O2693" t="s">
        <v>2000</v>
      </c>
      <c r="P2693" t="s">
        <v>68</v>
      </c>
      <c r="Q2693">
        <v>19</v>
      </c>
      <c r="R2693">
        <v>17.900000000000006</v>
      </c>
      <c r="S2693" t="s">
        <v>77</v>
      </c>
    </row>
    <row r="2694" spans="1:19" x14ac:dyDescent="0.35">
      <c r="A2694">
        <v>36913</v>
      </c>
      <c r="B2694" t="str">
        <f>"036913"</f>
        <v>036913</v>
      </c>
      <c r="C2694" t="s">
        <v>8628</v>
      </c>
      <c r="D2694" t="s">
        <v>3394</v>
      </c>
      <c r="E2694" t="s">
        <v>3395</v>
      </c>
      <c r="F2694" t="s">
        <v>3396</v>
      </c>
      <c r="G2694" t="s">
        <v>92</v>
      </c>
      <c r="H2694" t="s">
        <v>8629</v>
      </c>
      <c r="I2694" t="s">
        <v>8630</v>
      </c>
      <c r="J2694" t="s">
        <v>1940</v>
      </c>
      <c r="K2694" t="s">
        <v>55</v>
      </c>
      <c r="L2694" t="s">
        <v>1941</v>
      </c>
      <c r="M2694" t="s">
        <v>57</v>
      </c>
      <c r="N2694" t="str">
        <f>"044206"</f>
        <v>044206</v>
      </c>
      <c r="O2694" t="s">
        <v>2980</v>
      </c>
      <c r="P2694" t="s">
        <v>68</v>
      </c>
      <c r="Q2694">
        <v>38.6</v>
      </c>
      <c r="R2694">
        <v>15.5</v>
      </c>
      <c r="S2694" t="s">
        <v>60</v>
      </c>
    </row>
    <row r="2695" spans="1:19" x14ac:dyDescent="0.35">
      <c r="A2695">
        <v>36921</v>
      </c>
      <c r="B2695" t="str">
        <f>"036921"</f>
        <v>036921</v>
      </c>
      <c r="C2695" t="s">
        <v>8631</v>
      </c>
      <c r="D2695" t="s">
        <v>3394</v>
      </c>
      <c r="E2695" t="s">
        <v>3395</v>
      </c>
      <c r="F2695" t="s">
        <v>3396</v>
      </c>
      <c r="G2695" t="s">
        <v>212</v>
      </c>
      <c r="H2695" t="s">
        <v>8632</v>
      </c>
      <c r="I2695" t="s">
        <v>8633</v>
      </c>
      <c r="J2695" t="s">
        <v>215</v>
      </c>
      <c r="K2695" t="s">
        <v>55</v>
      </c>
      <c r="L2695" t="s">
        <v>4476</v>
      </c>
      <c r="M2695" t="s">
        <v>57</v>
      </c>
      <c r="N2695" t="str">
        <f>"047365"</f>
        <v>047365</v>
      </c>
      <c r="O2695" t="s">
        <v>611</v>
      </c>
      <c r="P2695" t="s">
        <v>68</v>
      </c>
      <c r="Q2695">
        <v>100</v>
      </c>
      <c r="R2695">
        <v>69.5</v>
      </c>
      <c r="S2695" t="s">
        <v>217</v>
      </c>
    </row>
    <row r="2696" spans="1:19" x14ac:dyDescent="0.35">
      <c r="A2696">
        <v>36954</v>
      </c>
      <c r="B2696" t="str">
        <f>"036954"</f>
        <v>036954</v>
      </c>
      <c r="C2696" t="s">
        <v>8634</v>
      </c>
      <c r="D2696" t="s">
        <v>3398</v>
      </c>
      <c r="E2696" t="s">
        <v>3395</v>
      </c>
      <c r="F2696" t="s">
        <v>3396</v>
      </c>
      <c r="G2696" t="s">
        <v>212</v>
      </c>
      <c r="H2696" t="s">
        <v>8635</v>
      </c>
      <c r="I2696" t="s">
        <v>8636</v>
      </c>
      <c r="J2696" t="s">
        <v>489</v>
      </c>
      <c r="K2696" t="s">
        <v>55</v>
      </c>
      <c r="L2696" t="s">
        <v>490</v>
      </c>
      <c r="M2696" t="s">
        <v>57</v>
      </c>
      <c r="N2696" t="str">
        <f>"047399"</f>
        <v>047399</v>
      </c>
      <c r="O2696" t="s">
        <v>486</v>
      </c>
      <c r="P2696" t="s">
        <v>68</v>
      </c>
      <c r="Q2696">
        <v>28.1</v>
      </c>
      <c r="R2696">
        <v>7.7000000000000028</v>
      </c>
      <c r="S2696" t="s">
        <v>217</v>
      </c>
    </row>
    <row r="2697" spans="1:19" x14ac:dyDescent="0.35">
      <c r="A2697">
        <v>36962</v>
      </c>
      <c r="B2697" t="str">
        <f>"036962"</f>
        <v>036962</v>
      </c>
      <c r="C2697" t="s">
        <v>8637</v>
      </c>
      <c r="D2697" t="s">
        <v>3398</v>
      </c>
      <c r="E2697" t="s">
        <v>3395</v>
      </c>
      <c r="F2697" t="s">
        <v>3396</v>
      </c>
      <c r="G2697" t="s">
        <v>1567</v>
      </c>
      <c r="H2697" t="s">
        <v>8638</v>
      </c>
      <c r="I2697" t="s">
        <v>8639</v>
      </c>
      <c r="J2697" t="s">
        <v>3056</v>
      </c>
      <c r="K2697" t="s">
        <v>55</v>
      </c>
      <c r="L2697" t="s">
        <v>3057</v>
      </c>
      <c r="M2697" t="s">
        <v>57</v>
      </c>
      <c r="N2697" t="str">
        <f>"049098"</f>
        <v>049098</v>
      </c>
      <c r="O2697" t="s">
        <v>3053</v>
      </c>
      <c r="P2697" t="s">
        <v>68</v>
      </c>
      <c r="Q2697">
        <v>23</v>
      </c>
      <c r="R2697">
        <v>8.4000000000000057</v>
      </c>
      <c r="S2697" t="s">
        <v>60</v>
      </c>
    </row>
    <row r="2698" spans="1:19" x14ac:dyDescent="0.35">
      <c r="A2698">
        <v>36970</v>
      </c>
      <c r="B2698" t="str">
        <f>"036970"</f>
        <v>036970</v>
      </c>
      <c r="C2698" t="s">
        <v>8640</v>
      </c>
      <c r="D2698" t="s">
        <v>3394</v>
      </c>
      <c r="E2698" t="s">
        <v>3395</v>
      </c>
      <c r="F2698" t="s">
        <v>3396</v>
      </c>
      <c r="G2698" t="s">
        <v>642</v>
      </c>
      <c r="H2698" t="s">
        <v>8641</v>
      </c>
      <c r="I2698" t="s">
        <v>8642</v>
      </c>
      <c r="J2698" t="s">
        <v>1469</v>
      </c>
      <c r="K2698" t="s">
        <v>55</v>
      </c>
      <c r="L2698" t="s">
        <v>1470</v>
      </c>
      <c r="M2698" t="s">
        <v>57</v>
      </c>
      <c r="N2698" t="str">
        <f>"045153"</f>
        <v>045153</v>
      </c>
      <c r="O2698" t="s">
        <v>2754</v>
      </c>
      <c r="P2698" t="s">
        <v>68</v>
      </c>
      <c r="Q2698">
        <v>100</v>
      </c>
      <c r="R2698">
        <v>25.599999999999994</v>
      </c>
      <c r="S2698" t="s">
        <v>180</v>
      </c>
    </row>
    <row r="2699" spans="1:19" x14ac:dyDescent="0.35">
      <c r="A2699">
        <v>36988</v>
      </c>
      <c r="B2699" t="str">
        <f>"036988"</f>
        <v>036988</v>
      </c>
      <c r="C2699" t="s">
        <v>8643</v>
      </c>
      <c r="D2699" t="s">
        <v>3398</v>
      </c>
      <c r="E2699" t="s">
        <v>3395</v>
      </c>
      <c r="F2699" t="s">
        <v>3396</v>
      </c>
      <c r="G2699" t="s">
        <v>777</v>
      </c>
      <c r="H2699" t="s">
        <v>8644</v>
      </c>
      <c r="I2699" t="s">
        <v>8645</v>
      </c>
      <c r="J2699" t="s">
        <v>1905</v>
      </c>
      <c r="K2699" t="s">
        <v>55</v>
      </c>
      <c r="L2699" t="s">
        <v>1906</v>
      </c>
      <c r="M2699" t="s">
        <v>57</v>
      </c>
      <c r="N2699" t="str">
        <f>"046243"</f>
        <v>046243</v>
      </c>
      <c r="O2699" t="s">
        <v>1902</v>
      </c>
      <c r="P2699" t="s">
        <v>68</v>
      </c>
      <c r="Q2699">
        <v>34.700000000000003</v>
      </c>
      <c r="R2699">
        <v>22.5</v>
      </c>
      <c r="S2699" t="s">
        <v>180</v>
      </c>
    </row>
    <row r="2700" spans="1:19" x14ac:dyDescent="0.35">
      <c r="A2700">
        <v>36996</v>
      </c>
      <c r="B2700" t="str">
        <f>"036996"</f>
        <v>036996</v>
      </c>
      <c r="C2700" t="s">
        <v>8646</v>
      </c>
      <c r="D2700" t="s">
        <v>3394</v>
      </c>
      <c r="E2700" t="s">
        <v>3395</v>
      </c>
      <c r="F2700" t="s">
        <v>3396</v>
      </c>
      <c r="G2700" t="s">
        <v>143</v>
      </c>
      <c r="H2700" t="s">
        <v>8647</v>
      </c>
      <c r="I2700" t="s">
        <v>8648</v>
      </c>
      <c r="J2700" t="s">
        <v>8649</v>
      </c>
      <c r="K2700" t="s">
        <v>55</v>
      </c>
      <c r="L2700" t="s">
        <v>3077</v>
      </c>
      <c r="M2700" t="s">
        <v>57</v>
      </c>
      <c r="N2700" t="str">
        <f>"044768"</f>
        <v>044768</v>
      </c>
      <c r="O2700" t="s">
        <v>3073</v>
      </c>
      <c r="P2700" t="s">
        <v>68</v>
      </c>
      <c r="Q2700">
        <v>40</v>
      </c>
      <c r="R2700">
        <v>17.599999999999994</v>
      </c>
      <c r="S2700" t="s">
        <v>69</v>
      </c>
    </row>
    <row r="2701" spans="1:19" x14ac:dyDescent="0.35">
      <c r="A2701">
        <v>37002</v>
      </c>
      <c r="B2701" t="str">
        <f>"037002"</f>
        <v>037002</v>
      </c>
      <c r="C2701" t="s">
        <v>8650</v>
      </c>
      <c r="D2701" t="s">
        <v>3394</v>
      </c>
      <c r="E2701" t="s">
        <v>3395</v>
      </c>
      <c r="F2701" t="s">
        <v>3396</v>
      </c>
      <c r="G2701" t="s">
        <v>212</v>
      </c>
      <c r="H2701" t="s">
        <v>8651</v>
      </c>
      <c r="I2701" t="s">
        <v>8652</v>
      </c>
      <c r="J2701" t="s">
        <v>8653</v>
      </c>
      <c r="K2701" t="s">
        <v>55</v>
      </c>
      <c r="L2701" t="s">
        <v>8654</v>
      </c>
      <c r="M2701" t="s">
        <v>57</v>
      </c>
      <c r="N2701" t="str">
        <f>"044313"</f>
        <v>044313</v>
      </c>
      <c r="O2701" t="s">
        <v>1690</v>
      </c>
      <c r="P2701" t="s">
        <v>68</v>
      </c>
      <c r="Q2701">
        <v>3.3</v>
      </c>
      <c r="R2701">
        <v>12.400000000000006</v>
      </c>
      <c r="S2701" t="s">
        <v>217</v>
      </c>
    </row>
    <row r="2702" spans="1:19" x14ac:dyDescent="0.35">
      <c r="A2702">
        <v>37010</v>
      </c>
      <c r="B2702" t="str">
        <f>"037010"</f>
        <v>037010</v>
      </c>
      <c r="C2702" t="s">
        <v>8655</v>
      </c>
      <c r="D2702" t="s">
        <v>3506</v>
      </c>
      <c r="E2702" t="s">
        <v>3395</v>
      </c>
      <c r="F2702" t="s">
        <v>3396</v>
      </c>
      <c r="G2702" t="s">
        <v>657</v>
      </c>
      <c r="H2702" t="s">
        <v>8656</v>
      </c>
      <c r="I2702" t="s">
        <v>8657</v>
      </c>
      <c r="J2702" t="s">
        <v>1432</v>
      </c>
      <c r="K2702" t="s">
        <v>55</v>
      </c>
      <c r="L2702" t="s">
        <v>1433</v>
      </c>
      <c r="M2702" t="s">
        <v>57</v>
      </c>
      <c r="N2702" t="str">
        <f>"048272"</f>
        <v>048272</v>
      </c>
      <c r="O2702" t="s">
        <v>1727</v>
      </c>
      <c r="P2702" t="s">
        <v>68</v>
      </c>
      <c r="Q2702">
        <v>37.200000000000003</v>
      </c>
      <c r="R2702">
        <v>9</v>
      </c>
      <c r="S2702" t="s">
        <v>60</v>
      </c>
    </row>
    <row r="2703" spans="1:19" x14ac:dyDescent="0.35">
      <c r="A2703">
        <v>37028</v>
      </c>
      <c r="B2703" t="str">
        <f>"037028"</f>
        <v>037028</v>
      </c>
      <c r="C2703" t="s">
        <v>8658</v>
      </c>
      <c r="D2703" t="s">
        <v>3394</v>
      </c>
      <c r="E2703" t="s">
        <v>3395</v>
      </c>
      <c r="F2703" t="s">
        <v>3396</v>
      </c>
      <c r="G2703" t="s">
        <v>493</v>
      </c>
      <c r="H2703" t="s">
        <v>8659</v>
      </c>
      <c r="I2703" t="s">
        <v>8660</v>
      </c>
      <c r="J2703" t="s">
        <v>3589</v>
      </c>
      <c r="K2703" t="s">
        <v>55</v>
      </c>
      <c r="L2703" t="s">
        <v>3590</v>
      </c>
      <c r="M2703" t="s">
        <v>57</v>
      </c>
      <c r="N2703" t="str">
        <f>"043521"</f>
        <v>043521</v>
      </c>
      <c r="O2703" t="s">
        <v>1104</v>
      </c>
      <c r="P2703" t="s">
        <v>68</v>
      </c>
      <c r="Q2703">
        <v>45</v>
      </c>
      <c r="R2703">
        <v>14.900000000000006</v>
      </c>
      <c r="S2703" t="s">
        <v>130</v>
      </c>
    </row>
    <row r="2704" spans="1:19" x14ac:dyDescent="0.35">
      <c r="A2704">
        <v>37093</v>
      </c>
      <c r="B2704" t="str">
        <f>"037093"</f>
        <v>037093</v>
      </c>
      <c r="C2704" t="s">
        <v>8661</v>
      </c>
      <c r="D2704" t="s">
        <v>3543</v>
      </c>
      <c r="E2704" t="s">
        <v>3395</v>
      </c>
      <c r="F2704" t="s">
        <v>3396</v>
      </c>
      <c r="G2704" t="s">
        <v>132</v>
      </c>
      <c r="H2704" t="s">
        <v>8662</v>
      </c>
      <c r="I2704" t="s">
        <v>8663</v>
      </c>
      <c r="J2704" t="s">
        <v>132</v>
      </c>
      <c r="K2704" t="s">
        <v>55</v>
      </c>
      <c r="L2704" t="s">
        <v>184</v>
      </c>
      <c r="M2704" t="s">
        <v>57</v>
      </c>
      <c r="N2704" t="str">
        <f>"043513"</f>
        <v>043513</v>
      </c>
      <c r="O2704" t="s">
        <v>1141</v>
      </c>
      <c r="P2704" t="s">
        <v>68</v>
      </c>
      <c r="Q2704">
        <v>100</v>
      </c>
      <c r="R2704">
        <v>51.4</v>
      </c>
      <c r="S2704" t="s">
        <v>69</v>
      </c>
    </row>
    <row r="2705" spans="1:19" x14ac:dyDescent="0.35">
      <c r="A2705">
        <v>37101</v>
      </c>
      <c r="B2705" t="str">
        <f>"037101"</f>
        <v>037101</v>
      </c>
      <c r="C2705" t="s">
        <v>8664</v>
      </c>
      <c r="D2705" t="s">
        <v>3394</v>
      </c>
      <c r="E2705" t="s">
        <v>3395</v>
      </c>
      <c r="F2705" t="s">
        <v>3396</v>
      </c>
      <c r="G2705" t="s">
        <v>63</v>
      </c>
      <c r="H2705" t="s">
        <v>8665</v>
      </c>
      <c r="I2705" t="s">
        <v>8666</v>
      </c>
      <c r="J2705" t="s">
        <v>285</v>
      </c>
      <c r="K2705" t="s">
        <v>55</v>
      </c>
      <c r="L2705" t="s">
        <v>3458</v>
      </c>
      <c r="M2705" t="s">
        <v>57</v>
      </c>
      <c r="N2705" t="str">
        <f>"043786"</f>
        <v>043786</v>
      </c>
      <c r="O2705" t="s">
        <v>1340</v>
      </c>
      <c r="P2705" t="s">
        <v>68</v>
      </c>
      <c r="Q2705">
        <v>100</v>
      </c>
      <c r="R2705">
        <v>70.2</v>
      </c>
      <c r="S2705" t="s">
        <v>69</v>
      </c>
    </row>
    <row r="2706" spans="1:19" x14ac:dyDescent="0.35">
      <c r="A2706">
        <v>37143</v>
      </c>
      <c r="B2706" t="str">
        <f>"037143"</f>
        <v>037143</v>
      </c>
      <c r="C2706" t="s">
        <v>8667</v>
      </c>
      <c r="D2706" t="s">
        <v>3394</v>
      </c>
      <c r="E2706" t="s">
        <v>3395</v>
      </c>
      <c r="F2706" t="s">
        <v>3396</v>
      </c>
      <c r="G2706" t="s">
        <v>63</v>
      </c>
      <c r="H2706" t="s">
        <v>8668</v>
      </c>
      <c r="I2706" t="s">
        <v>8669</v>
      </c>
      <c r="J2706" t="s">
        <v>66</v>
      </c>
      <c r="K2706" t="s">
        <v>55</v>
      </c>
      <c r="L2706" t="s">
        <v>7937</v>
      </c>
      <c r="M2706" t="s">
        <v>57</v>
      </c>
      <c r="N2706" t="str">
        <f>"044636"</f>
        <v>044636</v>
      </c>
      <c r="O2706" t="s">
        <v>1331</v>
      </c>
      <c r="P2706" t="s">
        <v>68</v>
      </c>
      <c r="Q2706">
        <v>59.2</v>
      </c>
      <c r="R2706">
        <v>33.700000000000003</v>
      </c>
      <c r="S2706" t="s">
        <v>69</v>
      </c>
    </row>
    <row r="2707" spans="1:19" x14ac:dyDescent="0.35">
      <c r="A2707">
        <v>37176</v>
      </c>
      <c r="B2707" t="str">
        <f>"037176"</f>
        <v>037176</v>
      </c>
      <c r="C2707" t="s">
        <v>8670</v>
      </c>
      <c r="D2707" t="s">
        <v>3394</v>
      </c>
      <c r="E2707" t="s">
        <v>3395</v>
      </c>
      <c r="F2707" t="s">
        <v>3396</v>
      </c>
      <c r="G2707" t="s">
        <v>1551</v>
      </c>
      <c r="H2707" t="s">
        <v>8671</v>
      </c>
      <c r="I2707" t="s">
        <v>8672</v>
      </c>
      <c r="J2707" t="s">
        <v>1593</v>
      </c>
      <c r="K2707" t="s">
        <v>55</v>
      </c>
      <c r="L2707" t="s">
        <v>1594</v>
      </c>
      <c r="M2707" t="s">
        <v>57</v>
      </c>
      <c r="N2707" t="str">
        <f>"049056"</f>
        <v>049056</v>
      </c>
      <c r="O2707" t="s">
        <v>1590</v>
      </c>
      <c r="P2707" t="s">
        <v>68</v>
      </c>
      <c r="Q2707">
        <v>18.100000000000001</v>
      </c>
      <c r="R2707">
        <v>4.7000000000000028</v>
      </c>
      <c r="S2707" t="s">
        <v>130</v>
      </c>
    </row>
    <row r="2708" spans="1:19" x14ac:dyDescent="0.35">
      <c r="A2708">
        <v>37234</v>
      </c>
      <c r="B2708" t="str">
        <f>"037234"</f>
        <v>037234</v>
      </c>
      <c r="C2708" t="s">
        <v>8673</v>
      </c>
      <c r="D2708" t="s">
        <v>3394</v>
      </c>
      <c r="E2708" t="s">
        <v>3395</v>
      </c>
      <c r="F2708" t="s">
        <v>3396</v>
      </c>
      <c r="G2708" t="s">
        <v>318</v>
      </c>
      <c r="H2708" t="s">
        <v>8674</v>
      </c>
      <c r="I2708" t="s">
        <v>8675</v>
      </c>
      <c r="J2708" t="s">
        <v>321</v>
      </c>
      <c r="K2708" t="s">
        <v>55</v>
      </c>
      <c r="L2708" t="s">
        <v>322</v>
      </c>
      <c r="M2708" t="s">
        <v>57</v>
      </c>
      <c r="N2708" t="str">
        <f>"043745"</f>
        <v>043745</v>
      </c>
      <c r="O2708" t="s">
        <v>2515</v>
      </c>
      <c r="P2708" t="s">
        <v>68</v>
      </c>
      <c r="Q2708">
        <v>100</v>
      </c>
      <c r="R2708">
        <v>26.400000000000006</v>
      </c>
      <c r="S2708" t="s">
        <v>130</v>
      </c>
    </row>
    <row r="2709" spans="1:19" x14ac:dyDescent="0.35">
      <c r="A2709">
        <v>37275</v>
      </c>
      <c r="B2709" t="str">
        <f>"037275"</f>
        <v>037275</v>
      </c>
      <c r="C2709" t="s">
        <v>8676</v>
      </c>
      <c r="D2709" t="s">
        <v>3398</v>
      </c>
      <c r="E2709" t="s">
        <v>3395</v>
      </c>
      <c r="F2709" t="s">
        <v>3396</v>
      </c>
      <c r="G2709" t="s">
        <v>2304</v>
      </c>
      <c r="H2709" t="s">
        <v>8677</v>
      </c>
      <c r="I2709" t="s">
        <v>8678</v>
      </c>
      <c r="J2709" t="s">
        <v>2304</v>
      </c>
      <c r="K2709" t="s">
        <v>55</v>
      </c>
      <c r="L2709" t="s">
        <v>2369</v>
      </c>
      <c r="M2709" t="s">
        <v>57</v>
      </c>
      <c r="N2709" t="str">
        <f>"046722"</f>
        <v>046722</v>
      </c>
      <c r="O2709" t="s">
        <v>776</v>
      </c>
      <c r="P2709" t="s">
        <v>68</v>
      </c>
      <c r="Q2709">
        <v>17.5</v>
      </c>
      <c r="R2709">
        <v>13.200000000000003</v>
      </c>
      <c r="S2709" t="s">
        <v>156</v>
      </c>
    </row>
    <row r="2710" spans="1:19" x14ac:dyDescent="0.35">
      <c r="A2710">
        <v>37283</v>
      </c>
      <c r="B2710" t="str">
        <f>"037283"</f>
        <v>037283</v>
      </c>
      <c r="C2710" t="s">
        <v>8679</v>
      </c>
      <c r="D2710" t="s">
        <v>3394</v>
      </c>
      <c r="E2710" t="s">
        <v>3395</v>
      </c>
      <c r="F2710" t="s">
        <v>3396</v>
      </c>
      <c r="G2710" t="s">
        <v>325</v>
      </c>
      <c r="H2710" t="s">
        <v>8680</v>
      </c>
      <c r="I2710" t="s">
        <v>8681</v>
      </c>
      <c r="J2710" t="s">
        <v>2172</v>
      </c>
      <c r="K2710" t="s">
        <v>55</v>
      </c>
      <c r="L2710" t="s">
        <v>2173</v>
      </c>
      <c r="M2710" t="s">
        <v>57</v>
      </c>
      <c r="N2710" t="str">
        <f>"045617"</f>
        <v>045617</v>
      </c>
      <c r="O2710" t="s">
        <v>2205</v>
      </c>
      <c r="P2710" t="s">
        <v>68</v>
      </c>
      <c r="Q2710">
        <v>11</v>
      </c>
      <c r="R2710">
        <v>5.2000000000000028</v>
      </c>
      <c r="S2710" t="s">
        <v>180</v>
      </c>
    </row>
    <row r="2711" spans="1:19" x14ac:dyDescent="0.35">
      <c r="A2711">
        <v>37291</v>
      </c>
      <c r="B2711" t="str">
        <f>"037291"</f>
        <v>037291</v>
      </c>
      <c r="C2711" t="s">
        <v>8682</v>
      </c>
      <c r="D2711" t="s">
        <v>3398</v>
      </c>
      <c r="E2711" t="s">
        <v>3395</v>
      </c>
      <c r="F2711" t="s">
        <v>3396</v>
      </c>
      <c r="G2711" t="s">
        <v>325</v>
      </c>
      <c r="H2711" t="s">
        <v>8683</v>
      </c>
      <c r="I2711" t="s">
        <v>8684</v>
      </c>
      <c r="J2711" t="s">
        <v>2172</v>
      </c>
      <c r="K2711" t="s">
        <v>55</v>
      </c>
      <c r="L2711" t="s">
        <v>2173</v>
      </c>
      <c r="M2711" t="s">
        <v>57</v>
      </c>
      <c r="N2711" t="str">
        <f>"045617"</f>
        <v>045617</v>
      </c>
      <c r="O2711" t="s">
        <v>2205</v>
      </c>
      <c r="P2711" t="s">
        <v>68</v>
      </c>
      <c r="Q2711">
        <v>6.7</v>
      </c>
      <c r="R2711">
        <v>8.2000000000000028</v>
      </c>
      <c r="S2711" t="s">
        <v>180</v>
      </c>
    </row>
    <row r="2712" spans="1:19" x14ac:dyDescent="0.35">
      <c r="A2712">
        <v>37366</v>
      </c>
      <c r="B2712" t="str">
        <f>"037366"</f>
        <v>037366</v>
      </c>
      <c r="C2712" t="s">
        <v>8685</v>
      </c>
      <c r="D2712" t="s">
        <v>3400</v>
      </c>
      <c r="E2712" t="s">
        <v>3395</v>
      </c>
      <c r="F2712" t="s">
        <v>3396</v>
      </c>
      <c r="G2712" t="s">
        <v>169</v>
      </c>
      <c r="H2712" t="s">
        <v>8686</v>
      </c>
      <c r="I2712" t="s">
        <v>8687</v>
      </c>
      <c r="J2712" t="s">
        <v>2933</v>
      </c>
      <c r="K2712" t="s">
        <v>55</v>
      </c>
      <c r="L2712" t="s">
        <v>2934</v>
      </c>
      <c r="M2712" t="s">
        <v>57</v>
      </c>
      <c r="N2712" t="str">
        <f>"044065"</f>
        <v>044065</v>
      </c>
      <c r="O2712" t="s">
        <v>2930</v>
      </c>
      <c r="P2712" t="s">
        <v>68</v>
      </c>
      <c r="Q2712">
        <v>58.3</v>
      </c>
      <c r="R2712">
        <v>21</v>
      </c>
      <c r="S2712" t="s">
        <v>77</v>
      </c>
    </row>
    <row r="2713" spans="1:19" x14ac:dyDescent="0.35">
      <c r="A2713">
        <v>37390</v>
      </c>
      <c r="B2713" t="str">
        <f>"037390"</f>
        <v>037390</v>
      </c>
      <c r="C2713" t="s">
        <v>8688</v>
      </c>
      <c r="D2713" t="s">
        <v>3398</v>
      </c>
      <c r="E2713" t="s">
        <v>3395</v>
      </c>
      <c r="F2713" t="s">
        <v>3396</v>
      </c>
      <c r="G2713" t="s">
        <v>135</v>
      </c>
      <c r="H2713" t="s">
        <v>8689</v>
      </c>
      <c r="I2713" t="s">
        <v>8690</v>
      </c>
      <c r="J2713" t="s">
        <v>2434</v>
      </c>
      <c r="K2713" t="s">
        <v>55</v>
      </c>
      <c r="L2713" t="s">
        <v>2435</v>
      </c>
      <c r="M2713" t="s">
        <v>57</v>
      </c>
      <c r="N2713" t="str">
        <f>"044917"</f>
        <v>044917</v>
      </c>
      <c r="O2713" t="s">
        <v>2431</v>
      </c>
      <c r="P2713" t="s">
        <v>68</v>
      </c>
      <c r="Q2713">
        <v>42.1</v>
      </c>
      <c r="R2713">
        <v>10.900000000000006</v>
      </c>
      <c r="S2713" t="s">
        <v>130</v>
      </c>
    </row>
    <row r="2714" spans="1:19" x14ac:dyDescent="0.35">
      <c r="A2714">
        <v>37408</v>
      </c>
      <c r="B2714" t="str">
        <f>"037408"</f>
        <v>037408</v>
      </c>
      <c r="C2714" t="s">
        <v>8691</v>
      </c>
      <c r="D2714" t="s">
        <v>3394</v>
      </c>
      <c r="E2714" t="s">
        <v>3395</v>
      </c>
      <c r="F2714" t="s">
        <v>3396</v>
      </c>
      <c r="G2714" t="s">
        <v>212</v>
      </c>
      <c r="H2714" t="s">
        <v>8692</v>
      </c>
      <c r="I2714" t="s">
        <v>8693</v>
      </c>
      <c r="J2714" t="s">
        <v>735</v>
      </c>
      <c r="K2714" t="s">
        <v>55</v>
      </c>
      <c r="L2714" t="s">
        <v>736</v>
      </c>
      <c r="M2714" t="s">
        <v>57</v>
      </c>
      <c r="N2714" t="str">
        <f>"044719"</f>
        <v>044719</v>
      </c>
      <c r="O2714" t="s">
        <v>732</v>
      </c>
      <c r="P2714" t="s">
        <v>68</v>
      </c>
      <c r="Q2714">
        <v>80.7</v>
      </c>
      <c r="R2714">
        <v>59.1</v>
      </c>
      <c r="S2714" t="s">
        <v>217</v>
      </c>
    </row>
    <row r="2715" spans="1:19" x14ac:dyDescent="0.35">
      <c r="A2715">
        <v>37416</v>
      </c>
      <c r="B2715" t="str">
        <f>"037416"</f>
        <v>037416</v>
      </c>
      <c r="C2715" t="s">
        <v>8694</v>
      </c>
      <c r="D2715" t="s">
        <v>3400</v>
      </c>
      <c r="E2715" t="s">
        <v>3395</v>
      </c>
      <c r="F2715" t="s">
        <v>3396</v>
      </c>
      <c r="G2715" t="s">
        <v>543</v>
      </c>
      <c r="H2715" t="s">
        <v>8695</v>
      </c>
      <c r="I2715" t="s">
        <v>8696</v>
      </c>
      <c r="J2715" t="s">
        <v>1858</v>
      </c>
      <c r="K2715" t="s">
        <v>55</v>
      </c>
      <c r="L2715" t="s">
        <v>4246</v>
      </c>
      <c r="M2715" t="s">
        <v>57</v>
      </c>
      <c r="N2715" t="str">
        <f>"043737"</f>
        <v>043737</v>
      </c>
      <c r="O2715" t="s">
        <v>1855</v>
      </c>
      <c r="P2715" t="s">
        <v>68</v>
      </c>
      <c r="Q2715">
        <v>14</v>
      </c>
      <c r="R2715">
        <v>18.5</v>
      </c>
      <c r="S2715" t="s">
        <v>180</v>
      </c>
    </row>
    <row r="2716" spans="1:19" x14ac:dyDescent="0.35">
      <c r="A2716">
        <v>37424</v>
      </c>
      <c r="B2716" t="str">
        <f>"037424"</f>
        <v>037424</v>
      </c>
      <c r="C2716" t="s">
        <v>3802</v>
      </c>
      <c r="D2716" t="s">
        <v>3400</v>
      </c>
      <c r="E2716" t="s">
        <v>3395</v>
      </c>
      <c r="F2716" t="s">
        <v>3396</v>
      </c>
      <c r="G2716" t="s">
        <v>79</v>
      </c>
      <c r="H2716" t="s">
        <v>8697</v>
      </c>
      <c r="I2716" t="s">
        <v>8698</v>
      </c>
      <c r="J2716" t="s">
        <v>470</v>
      </c>
      <c r="K2716" t="s">
        <v>55</v>
      </c>
      <c r="L2716" t="s">
        <v>471</v>
      </c>
      <c r="M2716" t="s">
        <v>57</v>
      </c>
      <c r="N2716" t="str">
        <f>"047746"</f>
        <v>047746</v>
      </c>
      <c r="O2716" t="s">
        <v>467</v>
      </c>
      <c r="P2716" t="s">
        <v>68</v>
      </c>
      <c r="Q2716">
        <v>51.5</v>
      </c>
      <c r="R2716">
        <v>4.7999999999999972</v>
      </c>
      <c r="S2716" t="s">
        <v>69</v>
      </c>
    </row>
    <row r="2717" spans="1:19" x14ac:dyDescent="0.35">
      <c r="A2717">
        <v>37432</v>
      </c>
      <c r="B2717" t="str">
        <f>"037432"</f>
        <v>037432</v>
      </c>
      <c r="C2717" t="s">
        <v>8699</v>
      </c>
      <c r="D2717" t="s">
        <v>3394</v>
      </c>
      <c r="E2717" t="s">
        <v>3395</v>
      </c>
      <c r="F2717" t="s">
        <v>3396</v>
      </c>
      <c r="G2717" t="s">
        <v>759</v>
      </c>
      <c r="H2717" t="s">
        <v>8700</v>
      </c>
      <c r="I2717" t="s">
        <v>8701</v>
      </c>
      <c r="J2717" t="s">
        <v>3363</v>
      </c>
      <c r="K2717" t="s">
        <v>55</v>
      </c>
      <c r="L2717" t="s">
        <v>3364</v>
      </c>
      <c r="M2717" t="s">
        <v>57</v>
      </c>
      <c r="N2717" t="str">
        <f>"046805"</f>
        <v>046805</v>
      </c>
      <c r="O2717" t="s">
        <v>3360</v>
      </c>
      <c r="P2717" t="s">
        <v>68</v>
      </c>
      <c r="Q2717">
        <v>27.3</v>
      </c>
      <c r="R2717">
        <v>6.4000000000000057</v>
      </c>
      <c r="S2717" t="s">
        <v>69</v>
      </c>
    </row>
    <row r="2718" spans="1:19" x14ac:dyDescent="0.35">
      <c r="A2718">
        <v>37457</v>
      </c>
      <c r="B2718" t="str">
        <f>"037457"</f>
        <v>037457</v>
      </c>
      <c r="C2718" t="s">
        <v>8702</v>
      </c>
      <c r="D2718" t="s">
        <v>3394</v>
      </c>
      <c r="E2718" t="s">
        <v>3395</v>
      </c>
      <c r="F2718" t="s">
        <v>3396</v>
      </c>
      <c r="G2718" t="s">
        <v>63</v>
      </c>
      <c r="H2718" t="s">
        <v>8703</v>
      </c>
      <c r="I2718" t="s">
        <v>8704</v>
      </c>
      <c r="J2718" t="s">
        <v>285</v>
      </c>
      <c r="K2718" t="s">
        <v>55</v>
      </c>
      <c r="L2718" t="s">
        <v>7551</v>
      </c>
      <c r="M2718" t="s">
        <v>57</v>
      </c>
      <c r="N2718" t="str">
        <f>"043786"</f>
        <v>043786</v>
      </c>
      <c r="O2718" t="s">
        <v>1340</v>
      </c>
      <c r="P2718" t="s">
        <v>68</v>
      </c>
      <c r="Q2718">
        <v>100</v>
      </c>
      <c r="R2718">
        <v>83</v>
      </c>
      <c r="S2718" t="s">
        <v>69</v>
      </c>
    </row>
    <row r="2719" spans="1:19" x14ac:dyDescent="0.35">
      <c r="A2719">
        <v>37465</v>
      </c>
      <c r="B2719" t="str">
        <f>"037465"</f>
        <v>037465</v>
      </c>
      <c r="C2719" t="s">
        <v>8705</v>
      </c>
      <c r="D2719" t="s">
        <v>3394</v>
      </c>
      <c r="E2719" t="s">
        <v>3395</v>
      </c>
      <c r="F2719" t="s">
        <v>3396</v>
      </c>
      <c r="G2719" t="s">
        <v>600</v>
      </c>
      <c r="H2719" t="s">
        <v>8706</v>
      </c>
      <c r="I2719" t="s">
        <v>8707</v>
      </c>
      <c r="J2719" t="s">
        <v>1017</v>
      </c>
      <c r="K2719" t="s">
        <v>55</v>
      </c>
      <c r="L2719" t="s">
        <v>1018</v>
      </c>
      <c r="M2719" t="s">
        <v>57</v>
      </c>
      <c r="N2719" t="str">
        <f>"044933"</f>
        <v>044933</v>
      </c>
      <c r="O2719" t="s">
        <v>1014</v>
      </c>
      <c r="P2719" t="s">
        <v>68</v>
      </c>
      <c r="Q2719">
        <v>6</v>
      </c>
      <c r="R2719">
        <v>18.599999999999994</v>
      </c>
      <c r="S2719" t="s">
        <v>60</v>
      </c>
    </row>
    <row r="2720" spans="1:19" x14ac:dyDescent="0.35">
      <c r="A2720">
        <v>37473</v>
      </c>
      <c r="B2720" t="str">
        <f>"037473"</f>
        <v>037473</v>
      </c>
      <c r="C2720" t="s">
        <v>8708</v>
      </c>
      <c r="D2720" t="s">
        <v>3394</v>
      </c>
      <c r="E2720" t="s">
        <v>3395</v>
      </c>
      <c r="F2720" t="s">
        <v>3396</v>
      </c>
      <c r="G2720" t="s">
        <v>71</v>
      </c>
      <c r="H2720" t="s">
        <v>8709</v>
      </c>
      <c r="I2720" t="s">
        <v>8710</v>
      </c>
      <c r="J2720" t="s">
        <v>4408</v>
      </c>
      <c r="K2720" t="s">
        <v>55</v>
      </c>
      <c r="L2720" t="s">
        <v>4409</v>
      </c>
      <c r="M2720" t="s">
        <v>57</v>
      </c>
      <c r="N2720" t="str">
        <f>"043778"</f>
        <v>043778</v>
      </c>
      <c r="O2720" t="s">
        <v>70</v>
      </c>
      <c r="P2720" t="s">
        <v>68</v>
      </c>
      <c r="Q2720">
        <v>97.3</v>
      </c>
      <c r="R2720">
        <v>6.2000000000000028</v>
      </c>
      <c r="S2720" t="s">
        <v>77</v>
      </c>
    </row>
    <row r="2721" spans="1:19" x14ac:dyDescent="0.35">
      <c r="A2721">
        <v>37481</v>
      </c>
      <c r="B2721" t="str">
        <f>"037481"</f>
        <v>037481</v>
      </c>
      <c r="C2721" t="s">
        <v>4963</v>
      </c>
      <c r="D2721" t="s">
        <v>3398</v>
      </c>
      <c r="E2721" t="s">
        <v>3395</v>
      </c>
      <c r="F2721" t="s">
        <v>3396</v>
      </c>
      <c r="G2721" t="s">
        <v>244</v>
      </c>
      <c r="H2721" t="s">
        <v>8711</v>
      </c>
      <c r="I2721" t="s">
        <v>8712</v>
      </c>
      <c r="J2721" t="s">
        <v>247</v>
      </c>
      <c r="K2721" t="s">
        <v>55</v>
      </c>
      <c r="L2721" t="s">
        <v>248</v>
      </c>
      <c r="M2721" t="s">
        <v>57</v>
      </c>
      <c r="N2721" t="str">
        <f>"046094"</f>
        <v>046094</v>
      </c>
      <c r="O2721" t="s">
        <v>243</v>
      </c>
      <c r="P2721" t="s">
        <v>68</v>
      </c>
      <c r="Q2721">
        <v>34</v>
      </c>
      <c r="R2721">
        <v>11.700000000000003</v>
      </c>
      <c r="S2721" t="s">
        <v>217</v>
      </c>
    </row>
    <row r="2722" spans="1:19" x14ac:dyDescent="0.35">
      <c r="A2722">
        <v>37499</v>
      </c>
      <c r="B2722" t="str">
        <f>"037499"</f>
        <v>037499</v>
      </c>
      <c r="C2722" t="s">
        <v>8713</v>
      </c>
      <c r="D2722" t="s">
        <v>3394</v>
      </c>
      <c r="E2722" t="s">
        <v>3395</v>
      </c>
      <c r="F2722" t="s">
        <v>3396</v>
      </c>
      <c r="G2722" t="s">
        <v>600</v>
      </c>
      <c r="H2722" t="s">
        <v>3730</v>
      </c>
      <c r="I2722" t="s">
        <v>3731</v>
      </c>
      <c r="J2722" t="s">
        <v>1348</v>
      </c>
      <c r="K2722" t="s">
        <v>55</v>
      </c>
      <c r="L2722" t="s">
        <v>3732</v>
      </c>
      <c r="M2722" t="s">
        <v>57</v>
      </c>
      <c r="N2722" t="str">
        <f>"043802"</f>
        <v>043802</v>
      </c>
      <c r="O2722" t="s">
        <v>3171</v>
      </c>
      <c r="P2722" t="s">
        <v>68</v>
      </c>
      <c r="Q2722">
        <v>100</v>
      </c>
      <c r="R2722">
        <v>100</v>
      </c>
      <c r="S2722" t="s">
        <v>60</v>
      </c>
    </row>
    <row r="2723" spans="1:19" x14ac:dyDescent="0.35">
      <c r="A2723">
        <v>37515</v>
      </c>
      <c r="B2723" t="str">
        <f>"037515"</f>
        <v>037515</v>
      </c>
      <c r="C2723" t="s">
        <v>8714</v>
      </c>
      <c r="D2723" t="s">
        <v>3398</v>
      </c>
      <c r="E2723" t="s">
        <v>3395</v>
      </c>
      <c r="F2723" t="s">
        <v>3396</v>
      </c>
      <c r="G2723" t="s">
        <v>674</v>
      </c>
      <c r="H2723" t="s">
        <v>8715</v>
      </c>
      <c r="I2723" t="s">
        <v>8716</v>
      </c>
      <c r="J2723" t="s">
        <v>3165</v>
      </c>
      <c r="K2723" t="s">
        <v>55</v>
      </c>
      <c r="L2723" t="s">
        <v>3166</v>
      </c>
      <c r="M2723" t="s">
        <v>57</v>
      </c>
      <c r="N2723" t="str">
        <f>"048876"</f>
        <v>048876</v>
      </c>
      <c r="O2723" t="s">
        <v>3162</v>
      </c>
      <c r="P2723" t="s">
        <v>68</v>
      </c>
      <c r="Q2723">
        <v>25.5</v>
      </c>
      <c r="R2723">
        <v>8.2000000000000028</v>
      </c>
      <c r="S2723" t="s">
        <v>130</v>
      </c>
    </row>
    <row r="2724" spans="1:19" x14ac:dyDescent="0.35">
      <c r="A2724">
        <v>37523</v>
      </c>
      <c r="B2724" t="str">
        <f>"037523"</f>
        <v>037523</v>
      </c>
      <c r="C2724" t="s">
        <v>8717</v>
      </c>
      <c r="D2724" t="s">
        <v>3394</v>
      </c>
      <c r="E2724" t="s">
        <v>3395</v>
      </c>
      <c r="F2724" t="s">
        <v>3396</v>
      </c>
      <c r="G2724" t="s">
        <v>206</v>
      </c>
      <c r="H2724" t="s">
        <v>8718</v>
      </c>
      <c r="I2724" t="s">
        <v>8719</v>
      </c>
      <c r="J2724" t="s">
        <v>591</v>
      </c>
      <c r="K2724" t="s">
        <v>55</v>
      </c>
      <c r="L2724" t="s">
        <v>592</v>
      </c>
      <c r="M2724" t="s">
        <v>57</v>
      </c>
      <c r="N2724" t="str">
        <f>"046201"</f>
        <v>046201</v>
      </c>
      <c r="O2724" t="s">
        <v>588</v>
      </c>
      <c r="P2724" t="s">
        <v>68</v>
      </c>
      <c r="Q2724">
        <v>31</v>
      </c>
      <c r="R2724">
        <v>7.4000000000000057</v>
      </c>
      <c r="S2724" t="s">
        <v>180</v>
      </c>
    </row>
    <row r="2725" spans="1:19" x14ac:dyDescent="0.35">
      <c r="A2725">
        <v>37531</v>
      </c>
      <c r="B2725" t="str">
        <f>"037531"</f>
        <v>037531</v>
      </c>
      <c r="C2725" t="s">
        <v>8720</v>
      </c>
      <c r="D2725" t="s">
        <v>3398</v>
      </c>
      <c r="E2725" t="s">
        <v>3395</v>
      </c>
      <c r="F2725" t="s">
        <v>3396</v>
      </c>
      <c r="G2725" t="s">
        <v>206</v>
      </c>
      <c r="H2725" t="s">
        <v>8721</v>
      </c>
      <c r="I2725" t="s">
        <v>8722</v>
      </c>
      <c r="J2725" t="s">
        <v>591</v>
      </c>
      <c r="K2725" t="s">
        <v>55</v>
      </c>
      <c r="L2725" t="s">
        <v>592</v>
      </c>
      <c r="M2725" t="s">
        <v>57</v>
      </c>
      <c r="N2725" t="str">
        <f>"046201"</f>
        <v>046201</v>
      </c>
      <c r="O2725" t="s">
        <v>588</v>
      </c>
      <c r="P2725" t="s">
        <v>68</v>
      </c>
      <c r="Q2725">
        <v>33</v>
      </c>
      <c r="R2725">
        <v>5.7000000000000028</v>
      </c>
      <c r="S2725" t="s">
        <v>180</v>
      </c>
    </row>
    <row r="2726" spans="1:19" x14ac:dyDescent="0.35">
      <c r="A2726">
        <v>37556</v>
      </c>
      <c r="B2726" t="str">
        <f>"037556"</f>
        <v>037556</v>
      </c>
      <c r="C2726" t="s">
        <v>8723</v>
      </c>
      <c r="D2726" t="s">
        <v>3394</v>
      </c>
      <c r="E2726" t="s">
        <v>3395</v>
      </c>
      <c r="F2726" t="s">
        <v>3396</v>
      </c>
      <c r="G2726" t="s">
        <v>493</v>
      </c>
      <c r="H2726" t="s">
        <v>8724</v>
      </c>
      <c r="I2726" t="s">
        <v>8725</v>
      </c>
      <c r="J2726" t="s">
        <v>501</v>
      </c>
      <c r="K2726" t="s">
        <v>55</v>
      </c>
      <c r="L2726" t="s">
        <v>502</v>
      </c>
      <c r="M2726" t="s">
        <v>57</v>
      </c>
      <c r="N2726" t="str">
        <f>"045922"</f>
        <v>045922</v>
      </c>
      <c r="O2726" t="s">
        <v>498</v>
      </c>
      <c r="P2726" t="s">
        <v>68</v>
      </c>
      <c r="Q2726">
        <v>100</v>
      </c>
      <c r="R2726">
        <v>4</v>
      </c>
      <c r="S2726" t="s">
        <v>130</v>
      </c>
    </row>
    <row r="2727" spans="1:19" x14ac:dyDescent="0.35">
      <c r="A2727">
        <v>37564</v>
      </c>
      <c r="B2727" t="str">
        <f>"037564"</f>
        <v>037564</v>
      </c>
      <c r="C2727" t="s">
        <v>8726</v>
      </c>
      <c r="D2727" t="s">
        <v>3398</v>
      </c>
      <c r="E2727" t="s">
        <v>3395</v>
      </c>
      <c r="F2727" t="s">
        <v>3396</v>
      </c>
      <c r="G2727" t="s">
        <v>187</v>
      </c>
      <c r="H2727" t="s">
        <v>523</v>
      </c>
      <c r="I2727" t="s">
        <v>524</v>
      </c>
      <c r="J2727" t="s">
        <v>309</v>
      </c>
      <c r="K2727" t="s">
        <v>55</v>
      </c>
      <c r="L2727" t="s">
        <v>310</v>
      </c>
      <c r="M2727" t="s">
        <v>57</v>
      </c>
      <c r="N2727" t="str">
        <f>"050591"</f>
        <v>050591</v>
      </c>
      <c r="O2727" t="s">
        <v>522</v>
      </c>
      <c r="P2727" t="s">
        <v>68</v>
      </c>
      <c r="Q2727">
        <v>24.7</v>
      </c>
      <c r="R2727">
        <v>5.2999999999999972</v>
      </c>
      <c r="S2727" t="s">
        <v>77</v>
      </c>
    </row>
    <row r="2728" spans="1:19" x14ac:dyDescent="0.35">
      <c r="A2728">
        <v>37598</v>
      </c>
      <c r="B2728" t="str">
        <f>"037598"</f>
        <v>037598</v>
      </c>
      <c r="C2728" t="s">
        <v>8727</v>
      </c>
      <c r="D2728" t="s">
        <v>3398</v>
      </c>
      <c r="E2728" t="s">
        <v>3395</v>
      </c>
      <c r="F2728" t="s">
        <v>3396</v>
      </c>
      <c r="G2728" t="s">
        <v>325</v>
      </c>
      <c r="H2728" t="s">
        <v>8728</v>
      </c>
      <c r="I2728" t="s">
        <v>8729</v>
      </c>
      <c r="J2728" t="s">
        <v>2819</v>
      </c>
      <c r="K2728" t="s">
        <v>55</v>
      </c>
      <c r="L2728" t="s">
        <v>2820</v>
      </c>
      <c r="M2728" t="s">
        <v>57</v>
      </c>
      <c r="N2728" t="str">
        <f>"044925"</f>
        <v>044925</v>
      </c>
      <c r="O2728" t="s">
        <v>2816</v>
      </c>
      <c r="P2728" t="s">
        <v>68</v>
      </c>
      <c r="Q2728">
        <v>28</v>
      </c>
      <c r="R2728">
        <v>19.400000000000006</v>
      </c>
      <c r="S2728" t="s">
        <v>180</v>
      </c>
    </row>
    <row r="2729" spans="1:19" x14ac:dyDescent="0.35">
      <c r="A2729">
        <v>37622</v>
      </c>
      <c r="B2729" t="str">
        <f>"037622"</f>
        <v>037622</v>
      </c>
      <c r="C2729" t="s">
        <v>8730</v>
      </c>
      <c r="D2729" t="s">
        <v>3394</v>
      </c>
      <c r="E2729" t="s">
        <v>3395</v>
      </c>
      <c r="F2729" t="s">
        <v>3396</v>
      </c>
      <c r="G2729" t="s">
        <v>264</v>
      </c>
      <c r="H2729" t="s">
        <v>8731</v>
      </c>
      <c r="I2729" t="s">
        <v>8732</v>
      </c>
      <c r="J2729" t="s">
        <v>267</v>
      </c>
      <c r="K2729" t="s">
        <v>55</v>
      </c>
      <c r="L2729" t="s">
        <v>1318</v>
      </c>
      <c r="M2729" t="s">
        <v>57</v>
      </c>
      <c r="N2729" t="str">
        <f>"049999"</f>
        <v>049999</v>
      </c>
      <c r="O2729" t="s">
        <v>1314</v>
      </c>
      <c r="P2729" t="s">
        <v>68</v>
      </c>
      <c r="Q2729">
        <v>54.5</v>
      </c>
      <c r="R2729">
        <v>17.599999999999994</v>
      </c>
      <c r="S2729" t="s">
        <v>77</v>
      </c>
    </row>
    <row r="2730" spans="1:19" x14ac:dyDescent="0.35">
      <c r="A2730">
        <v>37655</v>
      </c>
      <c r="B2730" t="str">
        <f>"037655"</f>
        <v>037655</v>
      </c>
      <c r="C2730" t="s">
        <v>8733</v>
      </c>
      <c r="D2730" t="s">
        <v>3400</v>
      </c>
      <c r="E2730" t="s">
        <v>3395</v>
      </c>
      <c r="F2730" t="s">
        <v>3396</v>
      </c>
      <c r="G2730" t="s">
        <v>71</v>
      </c>
      <c r="H2730" t="s">
        <v>8734</v>
      </c>
      <c r="I2730" t="s">
        <v>8735</v>
      </c>
      <c r="J2730" t="s">
        <v>71</v>
      </c>
      <c r="K2730" t="s">
        <v>55</v>
      </c>
      <c r="L2730" t="s">
        <v>8736</v>
      </c>
      <c r="M2730" t="s">
        <v>57</v>
      </c>
      <c r="N2730" t="str">
        <f>"050286"</f>
        <v>050286</v>
      </c>
      <c r="O2730" t="s">
        <v>2589</v>
      </c>
      <c r="P2730" t="s">
        <v>68</v>
      </c>
      <c r="Q2730">
        <v>42.4</v>
      </c>
      <c r="R2730">
        <v>2.2000000000000028</v>
      </c>
      <c r="S2730" t="s">
        <v>77</v>
      </c>
    </row>
    <row r="2731" spans="1:19" x14ac:dyDescent="0.35">
      <c r="A2731">
        <v>37663</v>
      </c>
      <c r="B2731" t="str">
        <f>"037663"</f>
        <v>037663</v>
      </c>
      <c r="C2731" t="s">
        <v>8737</v>
      </c>
      <c r="D2731" t="s">
        <v>3398</v>
      </c>
      <c r="E2731" t="s">
        <v>3395</v>
      </c>
      <c r="F2731" t="s">
        <v>3396</v>
      </c>
      <c r="G2731" t="s">
        <v>71</v>
      </c>
      <c r="H2731" t="s">
        <v>8738</v>
      </c>
      <c r="I2731" t="s">
        <v>8739</v>
      </c>
      <c r="J2731" t="s">
        <v>1494</v>
      </c>
      <c r="K2731" t="s">
        <v>55</v>
      </c>
      <c r="L2731" t="s">
        <v>1495</v>
      </c>
      <c r="M2731" t="s">
        <v>57</v>
      </c>
      <c r="N2731" t="str">
        <f>"050302"</f>
        <v>050302</v>
      </c>
      <c r="O2731" t="s">
        <v>1491</v>
      </c>
      <c r="P2731" t="s">
        <v>68</v>
      </c>
      <c r="Q2731">
        <v>27</v>
      </c>
      <c r="R2731">
        <v>4.2000000000000028</v>
      </c>
      <c r="S2731" t="s">
        <v>77</v>
      </c>
    </row>
    <row r="2732" spans="1:19" x14ac:dyDescent="0.35">
      <c r="A2732">
        <v>37671</v>
      </c>
      <c r="B2732" t="str">
        <f>"037671"</f>
        <v>037671</v>
      </c>
      <c r="C2732" t="s">
        <v>8740</v>
      </c>
      <c r="D2732" t="s">
        <v>3398</v>
      </c>
      <c r="E2732" t="s">
        <v>3395</v>
      </c>
      <c r="F2732" t="s">
        <v>3396</v>
      </c>
      <c r="G2732" t="s">
        <v>117</v>
      </c>
      <c r="H2732" t="s">
        <v>8741</v>
      </c>
      <c r="I2732" t="s">
        <v>8742</v>
      </c>
      <c r="J2732" t="s">
        <v>977</v>
      </c>
      <c r="K2732" t="s">
        <v>55</v>
      </c>
      <c r="L2732" t="s">
        <v>1779</v>
      </c>
      <c r="M2732" t="s">
        <v>57</v>
      </c>
      <c r="N2732" t="str">
        <f>"049957"</f>
        <v>049957</v>
      </c>
      <c r="O2732" t="s">
        <v>1776</v>
      </c>
      <c r="P2732" t="s">
        <v>68</v>
      </c>
      <c r="Q2732">
        <v>19</v>
      </c>
      <c r="R2732">
        <v>5.5999999999999943</v>
      </c>
      <c r="S2732" t="s">
        <v>77</v>
      </c>
    </row>
    <row r="2733" spans="1:19" x14ac:dyDescent="0.35">
      <c r="A2733">
        <v>37689</v>
      </c>
      <c r="B2733" t="str">
        <f>"037689"</f>
        <v>037689</v>
      </c>
      <c r="C2733" t="s">
        <v>8743</v>
      </c>
      <c r="D2733" t="s">
        <v>3394</v>
      </c>
      <c r="E2733" t="s">
        <v>3395</v>
      </c>
      <c r="F2733" t="s">
        <v>3396</v>
      </c>
      <c r="G2733" t="s">
        <v>318</v>
      </c>
      <c r="H2733" t="s">
        <v>3329</v>
      </c>
      <c r="I2733" t="s">
        <v>3330</v>
      </c>
      <c r="J2733" t="s">
        <v>3331</v>
      </c>
      <c r="K2733" t="s">
        <v>55</v>
      </c>
      <c r="L2733" t="s">
        <v>3332</v>
      </c>
      <c r="M2733" t="s">
        <v>57</v>
      </c>
      <c r="N2733" t="str">
        <f>"049510"</f>
        <v>049510</v>
      </c>
      <c r="O2733" t="s">
        <v>3328</v>
      </c>
      <c r="P2733" t="s">
        <v>68</v>
      </c>
      <c r="Q2733">
        <v>98.7</v>
      </c>
      <c r="R2733">
        <v>4.5999999999999943</v>
      </c>
      <c r="S2733" t="s">
        <v>130</v>
      </c>
    </row>
    <row r="2734" spans="1:19" x14ac:dyDescent="0.35">
      <c r="A2734">
        <v>37697</v>
      </c>
      <c r="B2734" t="str">
        <f>"037697"</f>
        <v>037697</v>
      </c>
      <c r="C2734" t="s">
        <v>8744</v>
      </c>
      <c r="D2734" t="s">
        <v>3398</v>
      </c>
      <c r="E2734" t="s">
        <v>3395</v>
      </c>
      <c r="F2734" t="s">
        <v>3396</v>
      </c>
      <c r="G2734" t="s">
        <v>362</v>
      </c>
      <c r="H2734" t="s">
        <v>2283</v>
      </c>
      <c r="I2734" t="s">
        <v>2284</v>
      </c>
      <c r="J2734" t="s">
        <v>2285</v>
      </c>
      <c r="K2734" t="s">
        <v>55</v>
      </c>
      <c r="L2734" t="s">
        <v>2286</v>
      </c>
      <c r="M2734" t="s">
        <v>57</v>
      </c>
      <c r="N2734" t="str">
        <f>"091397"</f>
        <v>091397</v>
      </c>
      <c r="O2734" t="s">
        <v>2282</v>
      </c>
      <c r="P2734" t="s">
        <v>68</v>
      </c>
      <c r="Q2734">
        <v>27</v>
      </c>
      <c r="R2734">
        <v>6.2000000000000028</v>
      </c>
      <c r="S2734" t="s">
        <v>180</v>
      </c>
    </row>
    <row r="2735" spans="1:19" x14ac:dyDescent="0.35">
      <c r="A2735">
        <v>37705</v>
      </c>
      <c r="B2735" t="str">
        <f>"037705"</f>
        <v>037705</v>
      </c>
      <c r="C2735" t="s">
        <v>8745</v>
      </c>
      <c r="D2735" t="s">
        <v>3398</v>
      </c>
      <c r="E2735" t="s">
        <v>3395</v>
      </c>
      <c r="F2735" t="s">
        <v>3396</v>
      </c>
      <c r="G2735" t="s">
        <v>362</v>
      </c>
      <c r="H2735" t="s">
        <v>2145</v>
      </c>
      <c r="I2735" t="s">
        <v>2146</v>
      </c>
      <c r="J2735" t="s">
        <v>2147</v>
      </c>
      <c r="K2735" t="s">
        <v>55</v>
      </c>
      <c r="L2735" t="s">
        <v>2148</v>
      </c>
      <c r="M2735" t="s">
        <v>57</v>
      </c>
      <c r="N2735" t="str">
        <f>"049296"</f>
        <v>049296</v>
      </c>
      <c r="O2735" t="s">
        <v>2144</v>
      </c>
      <c r="P2735" t="s">
        <v>68</v>
      </c>
      <c r="Q2735">
        <v>26.6</v>
      </c>
      <c r="R2735">
        <v>1.5999999999999943</v>
      </c>
      <c r="S2735" t="s">
        <v>180</v>
      </c>
    </row>
    <row r="2736" spans="1:19" x14ac:dyDescent="0.35">
      <c r="A2736">
        <v>37754</v>
      </c>
      <c r="B2736" t="str">
        <f>"037754"</f>
        <v>037754</v>
      </c>
      <c r="C2736" t="s">
        <v>6698</v>
      </c>
      <c r="D2736" t="s">
        <v>3394</v>
      </c>
      <c r="E2736" t="s">
        <v>3395</v>
      </c>
      <c r="F2736" t="s">
        <v>3396</v>
      </c>
      <c r="G2736" t="s">
        <v>543</v>
      </c>
      <c r="H2736" t="s">
        <v>8746</v>
      </c>
      <c r="I2736" t="s">
        <v>8747</v>
      </c>
      <c r="J2736" t="s">
        <v>1948</v>
      </c>
      <c r="K2736" t="s">
        <v>55</v>
      </c>
      <c r="L2736" t="s">
        <v>2879</v>
      </c>
      <c r="M2736" t="s">
        <v>57</v>
      </c>
      <c r="N2736" t="str">
        <f>"048728"</f>
        <v>048728</v>
      </c>
      <c r="O2736" t="s">
        <v>2876</v>
      </c>
      <c r="P2736" t="s">
        <v>68</v>
      </c>
      <c r="Q2736">
        <v>46.5</v>
      </c>
      <c r="R2736">
        <v>20.5</v>
      </c>
      <c r="S2736" t="s">
        <v>180</v>
      </c>
    </row>
    <row r="2737" spans="1:19" x14ac:dyDescent="0.35">
      <c r="A2737">
        <v>37796</v>
      </c>
      <c r="B2737" t="str">
        <f>"037796"</f>
        <v>037796</v>
      </c>
      <c r="C2737" t="s">
        <v>5103</v>
      </c>
      <c r="D2737" t="s">
        <v>3400</v>
      </c>
      <c r="E2737" t="s">
        <v>3395</v>
      </c>
      <c r="F2737" t="s">
        <v>3396</v>
      </c>
      <c r="G2737" t="s">
        <v>663</v>
      </c>
      <c r="H2737" t="s">
        <v>1455</v>
      </c>
      <c r="I2737" t="s">
        <v>1456</v>
      </c>
      <c r="J2737" t="s">
        <v>855</v>
      </c>
      <c r="K2737" t="s">
        <v>55</v>
      </c>
      <c r="L2737" t="s">
        <v>1457</v>
      </c>
      <c r="M2737" t="s">
        <v>57</v>
      </c>
      <c r="N2737" t="str">
        <f>"049429"</f>
        <v>049429</v>
      </c>
      <c r="O2737" t="s">
        <v>1228</v>
      </c>
      <c r="P2737" t="s">
        <v>68</v>
      </c>
      <c r="Q2737">
        <v>39.1</v>
      </c>
      <c r="R2737">
        <v>5.0999999999999943</v>
      </c>
      <c r="S2737" t="s">
        <v>77</v>
      </c>
    </row>
    <row r="2738" spans="1:19" x14ac:dyDescent="0.35">
      <c r="A2738">
        <v>37804</v>
      </c>
      <c r="B2738" t="str">
        <f>"037804"</f>
        <v>037804</v>
      </c>
      <c r="C2738" t="s">
        <v>8748</v>
      </c>
      <c r="D2738" t="s">
        <v>3400</v>
      </c>
      <c r="E2738" t="s">
        <v>3395</v>
      </c>
      <c r="F2738" t="s">
        <v>3396</v>
      </c>
      <c r="G2738" t="s">
        <v>110</v>
      </c>
      <c r="H2738" t="s">
        <v>8749</v>
      </c>
      <c r="I2738" t="s">
        <v>8750</v>
      </c>
      <c r="J2738" t="s">
        <v>551</v>
      </c>
      <c r="K2738" t="s">
        <v>55</v>
      </c>
      <c r="L2738" t="s">
        <v>552</v>
      </c>
      <c r="M2738" t="s">
        <v>57</v>
      </c>
      <c r="N2738" t="str">
        <f>"045393"</f>
        <v>045393</v>
      </c>
      <c r="O2738" t="s">
        <v>548</v>
      </c>
      <c r="P2738" t="s">
        <v>68</v>
      </c>
      <c r="Q2738">
        <v>3.4</v>
      </c>
      <c r="R2738">
        <v>10.099999999999994</v>
      </c>
      <c r="S2738" t="s">
        <v>60</v>
      </c>
    </row>
    <row r="2739" spans="1:19" x14ac:dyDescent="0.35">
      <c r="A2739">
        <v>37820</v>
      </c>
      <c r="B2739" t="str">
        <f>"037820"</f>
        <v>037820</v>
      </c>
      <c r="C2739" t="s">
        <v>6698</v>
      </c>
      <c r="D2739" t="s">
        <v>3394</v>
      </c>
      <c r="E2739" t="s">
        <v>3395</v>
      </c>
      <c r="F2739" t="s">
        <v>3396</v>
      </c>
      <c r="G2739" t="s">
        <v>244</v>
      </c>
      <c r="H2739" t="s">
        <v>8751</v>
      </c>
      <c r="I2739" t="s">
        <v>8752</v>
      </c>
      <c r="J2739" t="s">
        <v>5918</v>
      </c>
      <c r="K2739" t="s">
        <v>55</v>
      </c>
      <c r="L2739" t="s">
        <v>5919</v>
      </c>
      <c r="M2739" t="s">
        <v>57</v>
      </c>
      <c r="N2739" t="str">
        <f>"046110"</f>
        <v>046110</v>
      </c>
      <c r="O2739" t="s">
        <v>2005</v>
      </c>
      <c r="P2739" t="s">
        <v>68</v>
      </c>
      <c r="Q2739">
        <v>32.4</v>
      </c>
      <c r="R2739">
        <v>43.7</v>
      </c>
      <c r="S2739" t="s">
        <v>217</v>
      </c>
    </row>
    <row r="2740" spans="1:19" x14ac:dyDescent="0.35">
      <c r="A2740">
        <v>37846</v>
      </c>
      <c r="B2740" t="str">
        <f>"037846"</f>
        <v>037846</v>
      </c>
      <c r="C2740" t="s">
        <v>8753</v>
      </c>
      <c r="D2740" t="s">
        <v>3398</v>
      </c>
      <c r="E2740" t="s">
        <v>3395</v>
      </c>
      <c r="F2740" t="s">
        <v>3396</v>
      </c>
      <c r="G2740" t="s">
        <v>233</v>
      </c>
      <c r="H2740" t="s">
        <v>1167</v>
      </c>
      <c r="I2740" t="s">
        <v>1168</v>
      </c>
      <c r="J2740" t="s">
        <v>233</v>
      </c>
      <c r="K2740" t="s">
        <v>55</v>
      </c>
      <c r="L2740" t="s">
        <v>1169</v>
      </c>
      <c r="M2740" t="s">
        <v>57</v>
      </c>
      <c r="N2740" t="str">
        <f>"046011"</f>
        <v>046011</v>
      </c>
      <c r="O2740" t="s">
        <v>1166</v>
      </c>
      <c r="P2740" t="s">
        <v>68</v>
      </c>
      <c r="Q2740">
        <v>26.8</v>
      </c>
      <c r="R2740">
        <v>2.2000000000000028</v>
      </c>
      <c r="S2740" t="s">
        <v>130</v>
      </c>
    </row>
    <row r="2741" spans="1:19" x14ac:dyDescent="0.35">
      <c r="A2741">
        <v>37861</v>
      </c>
      <c r="B2741" t="str">
        <f>"037861"</f>
        <v>037861</v>
      </c>
      <c r="C2741" t="s">
        <v>8754</v>
      </c>
      <c r="D2741" t="s">
        <v>3398</v>
      </c>
      <c r="E2741" t="s">
        <v>3395</v>
      </c>
      <c r="F2741" t="s">
        <v>3396</v>
      </c>
      <c r="G2741" t="s">
        <v>318</v>
      </c>
      <c r="H2741" t="s">
        <v>8755</v>
      </c>
      <c r="I2741" t="s">
        <v>8756</v>
      </c>
      <c r="J2741" t="s">
        <v>321</v>
      </c>
      <c r="K2741" t="s">
        <v>55</v>
      </c>
      <c r="L2741" t="s">
        <v>322</v>
      </c>
      <c r="M2741" t="s">
        <v>57</v>
      </c>
      <c r="N2741" t="str">
        <f>"049536"</f>
        <v>049536</v>
      </c>
      <c r="O2741" t="s">
        <v>317</v>
      </c>
      <c r="P2741" t="s">
        <v>68</v>
      </c>
      <c r="Q2741">
        <v>34.4</v>
      </c>
      <c r="R2741">
        <v>11.400000000000006</v>
      </c>
      <c r="S2741" t="s">
        <v>130</v>
      </c>
    </row>
    <row r="2742" spans="1:19" x14ac:dyDescent="0.35">
      <c r="A2742">
        <v>37879</v>
      </c>
      <c r="B2742" t="str">
        <f>"037879"</f>
        <v>037879</v>
      </c>
      <c r="C2742" t="s">
        <v>8757</v>
      </c>
      <c r="D2742" t="s">
        <v>3394</v>
      </c>
      <c r="E2742" t="s">
        <v>3395</v>
      </c>
      <c r="F2742" t="s">
        <v>3396</v>
      </c>
      <c r="G2742" t="s">
        <v>117</v>
      </c>
      <c r="H2742" t="s">
        <v>8758</v>
      </c>
      <c r="I2742" t="s">
        <v>8759</v>
      </c>
      <c r="J2742" t="s">
        <v>160</v>
      </c>
      <c r="K2742" t="s">
        <v>55</v>
      </c>
      <c r="L2742" t="s">
        <v>161</v>
      </c>
      <c r="M2742" t="s">
        <v>57</v>
      </c>
      <c r="N2742" t="str">
        <f>"049866"</f>
        <v>049866</v>
      </c>
      <c r="O2742" t="s">
        <v>157</v>
      </c>
      <c r="P2742" t="s">
        <v>68</v>
      </c>
      <c r="Q2742">
        <v>16.5</v>
      </c>
      <c r="R2742">
        <v>7.2999999999999972</v>
      </c>
      <c r="S2742" t="s">
        <v>77</v>
      </c>
    </row>
    <row r="2743" spans="1:19" x14ac:dyDescent="0.35">
      <c r="A2743">
        <v>37903</v>
      </c>
      <c r="B2743" t="str">
        <f>"037903"</f>
        <v>037903</v>
      </c>
      <c r="C2743" t="s">
        <v>8760</v>
      </c>
      <c r="D2743" t="s">
        <v>3394</v>
      </c>
      <c r="E2743" t="s">
        <v>3395</v>
      </c>
      <c r="F2743" t="s">
        <v>3396</v>
      </c>
      <c r="G2743" t="s">
        <v>536</v>
      </c>
      <c r="H2743" t="s">
        <v>1772</v>
      </c>
      <c r="I2743" t="s">
        <v>1773</v>
      </c>
      <c r="J2743" t="s">
        <v>1774</v>
      </c>
      <c r="K2743" t="s">
        <v>55</v>
      </c>
      <c r="L2743" t="s">
        <v>1775</v>
      </c>
      <c r="M2743" t="s">
        <v>57</v>
      </c>
      <c r="N2743" t="str">
        <f>"046458"</f>
        <v>046458</v>
      </c>
      <c r="O2743" t="s">
        <v>1771</v>
      </c>
      <c r="P2743" t="s">
        <v>68</v>
      </c>
      <c r="Q2743">
        <v>29.2</v>
      </c>
      <c r="R2743">
        <v>1.9000000000000057</v>
      </c>
      <c r="S2743" t="s">
        <v>77</v>
      </c>
    </row>
    <row r="2744" spans="1:19" x14ac:dyDescent="0.35">
      <c r="A2744">
        <v>37911</v>
      </c>
      <c r="B2744" t="str">
        <f>"037911"</f>
        <v>037911</v>
      </c>
      <c r="C2744" t="s">
        <v>8761</v>
      </c>
      <c r="D2744" t="s">
        <v>3398</v>
      </c>
      <c r="E2744" t="s">
        <v>3395</v>
      </c>
      <c r="F2744" t="s">
        <v>3396</v>
      </c>
      <c r="G2744" t="s">
        <v>536</v>
      </c>
      <c r="H2744" t="s">
        <v>1772</v>
      </c>
      <c r="I2744" t="s">
        <v>1773</v>
      </c>
      <c r="J2744" t="s">
        <v>1774</v>
      </c>
      <c r="K2744" t="s">
        <v>55</v>
      </c>
      <c r="L2744" t="s">
        <v>1775</v>
      </c>
      <c r="M2744" t="s">
        <v>57</v>
      </c>
      <c r="N2744" t="str">
        <f>"046458"</f>
        <v>046458</v>
      </c>
      <c r="O2744" t="s">
        <v>1771</v>
      </c>
      <c r="P2744" t="s">
        <v>68</v>
      </c>
      <c r="Q2744">
        <v>31.6</v>
      </c>
      <c r="R2744">
        <v>5</v>
      </c>
      <c r="S2744" t="s">
        <v>77</v>
      </c>
    </row>
    <row r="2745" spans="1:19" x14ac:dyDescent="0.35">
      <c r="A2745">
        <v>37945</v>
      </c>
      <c r="B2745" t="str">
        <f>"037945"</f>
        <v>037945</v>
      </c>
      <c r="C2745" t="s">
        <v>8762</v>
      </c>
      <c r="D2745" t="s">
        <v>3398</v>
      </c>
      <c r="E2745" t="s">
        <v>3395</v>
      </c>
      <c r="F2745" t="s">
        <v>3396</v>
      </c>
      <c r="G2745" t="s">
        <v>600</v>
      </c>
      <c r="H2745" t="s">
        <v>8763</v>
      </c>
      <c r="I2745" t="s">
        <v>8764</v>
      </c>
      <c r="J2745" t="s">
        <v>1017</v>
      </c>
      <c r="K2745" t="s">
        <v>55</v>
      </c>
      <c r="L2745" t="s">
        <v>1018</v>
      </c>
      <c r="M2745" t="s">
        <v>57</v>
      </c>
      <c r="N2745" t="str">
        <f>"044933"</f>
        <v>044933</v>
      </c>
      <c r="O2745" t="s">
        <v>1014</v>
      </c>
      <c r="P2745" t="s">
        <v>68</v>
      </c>
      <c r="Q2745">
        <v>3.9</v>
      </c>
      <c r="R2745">
        <v>16.700000000000003</v>
      </c>
      <c r="S2745" t="s">
        <v>60</v>
      </c>
    </row>
    <row r="2746" spans="1:19" x14ac:dyDescent="0.35">
      <c r="A2746">
        <v>37952</v>
      </c>
      <c r="B2746" t="str">
        <f>"037952"</f>
        <v>037952</v>
      </c>
      <c r="C2746" t="s">
        <v>8765</v>
      </c>
      <c r="D2746" t="s">
        <v>3398</v>
      </c>
      <c r="E2746" t="s">
        <v>3395</v>
      </c>
      <c r="F2746" t="s">
        <v>3396</v>
      </c>
      <c r="G2746" t="s">
        <v>1702</v>
      </c>
      <c r="H2746" t="s">
        <v>2649</v>
      </c>
      <c r="I2746" t="s">
        <v>2650</v>
      </c>
      <c r="J2746" t="s">
        <v>2651</v>
      </c>
      <c r="K2746" t="s">
        <v>55</v>
      </c>
      <c r="L2746" t="s">
        <v>2652</v>
      </c>
      <c r="M2746" t="s">
        <v>57</v>
      </c>
      <c r="N2746" t="str">
        <f>"045625"</f>
        <v>045625</v>
      </c>
      <c r="O2746" t="s">
        <v>2648</v>
      </c>
      <c r="P2746" t="s">
        <v>68</v>
      </c>
      <c r="Q2746">
        <v>28.2</v>
      </c>
      <c r="R2746">
        <v>10.900000000000006</v>
      </c>
      <c r="S2746" t="s">
        <v>156</v>
      </c>
    </row>
    <row r="2747" spans="1:19" x14ac:dyDescent="0.35">
      <c r="A2747">
        <v>37960</v>
      </c>
      <c r="B2747" t="str">
        <f>"037960"</f>
        <v>037960</v>
      </c>
      <c r="C2747" t="s">
        <v>8766</v>
      </c>
      <c r="D2747" t="s">
        <v>3398</v>
      </c>
      <c r="E2747" t="s">
        <v>3395</v>
      </c>
      <c r="F2747" t="s">
        <v>3396</v>
      </c>
      <c r="G2747" t="s">
        <v>878</v>
      </c>
      <c r="H2747" t="s">
        <v>3188</v>
      </c>
      <c r="I2747" t="s">
        <v>3189</v>
      </c>
      <c r="J2747" t="s">
        <v>3190</v>
      </c>
      <c r="K2747" t="s">
        <v>55</v>
      </c>
      <c r="L2747" t="s">
        <v>3191</v>
      </c>
      <c r="M2747" t="s">
        <v>57</v>
      </c>
      <c r="N2747" t="str">
        <f>"047522"</f>
        <v>047522</v>
      </c>
      <c r="O2747" t="s">
        <v>3187</v>
      </c>
      <c r="P2747" t="s">
        <v>68</v>
      </c>
      <c r="Q2747">
        <v>51.6</v>
      </c>
      <c r="R2747">
        <v>8.5999999999999943</v>
      </c>
      <c r="S2747" t="s">
        <v>156</v>
      </c>
    </row>
    <row r="2748" spans="1:19" x14ac:dyDescent="0.35">
      <c r="A2748">
        <v>37978</v>
      </c>
      <c r="B2748" t="str">
        <f>"037978"</f>
        <v>037978</v>
      </c>
      <c r="C2748" t="s">
        <v>8767</v>
      </c>
      <c r="D2748" t="s">
        <v>3394</v>
      </c>
      <c r="E2748" t="s">
        <v>3395</v>
      </c>
      <c r="F2748" t="s">
        <v>3396</v>
      </c>
      <c r="G2748" t="s">
        <v>63</v>
      </c>
      <c r="H2748" t="s">
        <v>8768</v>
      </c>
      <c r="I2748" t="s">
        <v>8769</v>
      </c>
      <c r="J2748" t="s">
        <v>2182</v>
      </c>
      <c r="K2748" t="s">
        <v>55</v>
      </c>
      <c r="L2748" t="s">
        <v>8770</v>
      </c>
      <c r="M2748" t="s">
        <v>57</v>
      </c>
      <c r="N2748" t="str">
        <f>"043950"</f>
        <v>043950</v>
      </c>
      <c r="O2748" t="s">
        <v>2179</v>
      </c>
      <c r="P2748" t="s">
        <v>68</v>
      </c>
      <c r="Q2748">
        <v>100</v>
      </c>
      <c r="R2748">
        <v>97.4</v>
      </c>
      <c r="S2748" t="s">
        <v>69</v>
      </c>
    </row>
    <row r="2749" spans="1:19" x14ac:dyDescent="0.35">
      <c r="A2749">
        <v>37986</v>
      </c>
      <c r="B2749" t="str">
        <f>"037986"</f>
        <v>037986</v>
      </c>
      <c r="C2749" t="s">
        <v>8771</v>
      </c>
      <c r="D2749" t="s">
        <v>3506</v>
      </c>
      <c r="E2749" t="s">
        <v>3395</v>
      </c>
      <c r="F2749" t="s">
        <v>3396</v>
      </c>
      <c r="G2749" t="s">
        <v>206</v>
      </c>
      <c r="H2749" t="s">
        <v>4893</v>
      </c>
      <c r="I2749" t="s">
        <v>4894</v>
      </c>
      <c r="J2749" t="s">
        <v>209</v>
      </c>
      <c r="K2749" t="s">
        <v>55</v>
      </c>
      <c r="L2749" t="s">
        <v>210</v>
      </c>
      <c r="M2749" t="s">
        <v>57</v>
      </c>
      <c r="N2749" t="str">
        <f>"044941"</f>
        <v>044941</v>
      </c>
      <c r="O2749" t="s">
        <v>205</v>
      </c>
      <c r="P2749" t="s">
        <v>68</v>
      </c>
      <c r="Q2749">
        <v>50.5</v>
      </c>
      <c r="R2749">
        <v>13.200000000000003</v>
      </c>
      <c r="S2749" t="s">
        <v>180</v>
      </c>
    </row>
    <row r="2750" spans="1:19" x14ac:dyDescent="0.35">
      <c r="A2750">
        <v>37994</v>
      </c>
      <c r="B2750" t="str">
        <f>"037994"</f>
        <v>037994</v>
      </c>
      <c r="C2750" t="s">
        <v>8772</v>
      </c>
      <c r="D2750" t="s">
        <v>3398</v>
      </c>
      <c r="E2750" t="s">
        <v>3395</v>
      </c>
      <c r="F2750" t="s">
        <v>3396</v>
      </c>
      <c r="G2750" t="s">
        <v>206</v>
      </c>
      <c r="H2750" t="s">
        <v>8773</v>
      </c>
      <c r="I2750" t="s">
        <v>8774</v>
      </c>
      <c r="J2750" t="s">
        <v>209</v>
      </c>
      <c r="K2750" t="s">
        <v>55</v>
      </c>
      <c r="L2750" t="s">
        <v>210</v>
      </c>
      <c r="M2750" t="s">
        <v>57</v>
      </c>
      <c r="N2750" t="str">
        <f>"044941"</f>
        <v>044941</v>
      </c>
      <c r="O2750" t="s">
        <v>205</v>
      </c>
      <c r="P2750" t="s">
        <v>68</v>
      </c>
      <c r="Q2750">
        <v>44.4</v>
      </c>
      <c r="R2750">
        <v>18</v>
      </c>
      <c r="S2750" t="s">
        <v>180</v>
      </c>
    </row>
    <row r="2751" spans="1:19" x14ac:dyDescent="0.35">
      <c r="A2751">
        <v>38034</v>
      </c>
      <c r="B2751" t="str">
        <f>"038034"</f>
        <v>038034</v>
      </c>
      <c r="C2751" t="s">
        <v>8775</v>
      </c>
      <c r="D2751" t="s">
        <v>3394</v>
      </c>
      <c r="E2751" t="s">
        <v>3395</v>
      </c>
      <c r="F2751" t="s">
        <v>3396</v>
      </c>
      <c r="G2751" t="s">
        <v>110</v>
      </c>
      <c r="H2751" t="s">
        <v>8776</v>
      </c>
      <c r="I2751" t="s">
        <v>8777</v>
      </c>
      <c r="J2751" t="s">
        <v>1312</v>
      </c>
      <c r="K2751" t="s">
        <v>55</v>
      </c>
      <c r="L2751" t="s">
        <v>1313</v>
      </c>
      <c r="M2751" t="s">
        <v>57</v>
      </c>
      <c r="N2751" t="str">
        <f>"048025"</f>
        <v>048025</v>
      </c>
      <c r="O2751" t="s">
        <v>1309</v>
      </c>
      <c r="P2751" t="s">
        <v>68</v>
      </c>
      <c r="Q2751">
        <v>47.6</v>
      </c>
      <c r="R2751">
        <v>3.7999999999999972</v>
      </c>
      <c r="S2751" t="s">
        <v>60</v>
      </c>
    </row>
    <row r="2752" spans="1:19" x14ac:dyDescent="0.35">
      <c r="A2752">
        <v>38042</v>
      </c>
      <c r="B2752" t="str">
        <f>"038042"</f>
        <v>038042</v>
      </c>
      <c r="C2752" t="s">
        <v>8778</v>
      </c>
      <c r="D2752" t="s">
        <v>3398</v>
      </c>
      <c r="E2752" t="s">
        <v>3395</v>
      </c>
      <c r="F2752" t="s">
        <v>3396</v>
      </c>
      <c r="G2752" t="s">
        <v>110</v>
      </c>
      <c r="H2752" t="s">
        <v>8779</v>
      </c>
      <c r="I2752" t="s">
        <v>8780</v>
      </c>
      <c r="J2752" t="s">
        <v>1312</v>
      </c>
      <c r="K2752" t="s">
        <v>55</v>
      </c>
      <c r="L2752" t="s">
        <v>1313</v>
      </c>
      <c r="M2752" t="s">
        <v>57</v>
      </c>
      <c r="N2752" t="str">
        <f>"048025"</f>
        <v>048025</v>
      </c>
      <c r="O2752" t="s">
        <v>1309</v>
      </c>
      <c r="P2752" t="s">
        <v>68</v>
      </c>
      <c r="Q2752">
        <v>31</v>
      </c>
      <c r="R2752">
        <v>3.5999999999999943</v>
      </c>
      <c r="S2752" t="s">
        <v>60</v>
      </c>
    </row>
    <row r="2753" spans="1:19" x14ac:dyDescent="0.35">
      <c r="A2753">
        <v>38059</v>
      </c>
      <c r="B2753" t="str">
        <f>"038059"</f>
        <v>038059</v>
      </c>
      <c r="C2753" t="s">
        <v>8781</v>
      </c>
      <c r="D2753" t="s">
        <v>3400</v>
      </c>
      <c r="E2753" t="s">
        <v>3395</v>
      </c>
      <c r="F2753" t="s">
        <v>3396</v>
      </c>
      <c r="G2753" t="s">
        <v>110</v>
      </c>
      <c r="H2753" t="s">
        <v>8779</v>
      </c>
      <c r="I2753" t="s">
        <v>8780</v>
      </c>
      <c r="J2753" t="s">
        <v>1312</v>
      </c>
      <c r="K2753" t="s">
        <v>55</v>
      </c>
      <c r="L2753" t="s">
        <v>1313</v>
      </c>
      <c r="M2753" t="s">
        <v>57</v>
      </c>
      <c r="N2753" t="str">
        <f>"048025"</f>
        <v>048025</v>
      </c>
      <c r="O2753" t="s">
        <v>1309</v>
      </c>
      <c r="P2753" t="s">
        <v>68</v>
      </c>
      <c r="Q2753">
        <v>36.6</v>
      </c>
      <c r="R2753">
        <v>4.0999999999999943</v>
      </c>
      <c r="S2753" t="s">
        <v>60</v>
      </c>
    </row>
    <row r="2754" spans="1:19" x14ac:dyDescent="0.35">
      <c r="A2754">
        <v>38075</v>
      </c>
      <c r="B2754" t="str">
        <f>"038075"</f>
        <v>038075</v>
      </c>
      <c r="C2754" t="s">
        <v>8782</v>
      </c>
      <c r="D2754" t="s">
        <v>3394</v>
      </c>
      <c r="E2754" t="s">
        <v>3395</v>
      </c>
      <c r="F2754" t="s">
        <v>3396</v>
      </c>
      <c r="G2754" t="s">
        <v>219</v>
      </c>
      <c r="H2754" t="s">
        <v>8783</v>
      </c>
      <c r="I2754" t="s">
        <v>8784</v>
      </c>
      <c r="J2754" t="s">
        <v>1897</v>
      </c>
      <c r="K2754" t="s">
        <v>55</v>
      </c>
      <c r="L2754" t="s">
        <v>1898</v>
      </c>
      <c r="M2754" t="s">
        <v>57</v>
      </c>
      <c r="N2754" t="str">
        <f>"049643"</f>
        <v>049643</v>
      </c>
      <c r="O2754" t="s">
        <v>3136</v>
      </c>
      <c r="P2754" t="s">
        <v>68</v>
      </c>
      <c r="Q2754">
        <v>42.4</v>
      </c>
      <c r="R2754">
        <v>6.0999999999999943</v>
      </c>
      <c r="S2754" t="s">
        <v>130</v>
      </c>
    </row>
    <row r="2755" spans="1:19" x14ac:dyDescent="0.35">
      <c r="A2755">
        <v>38083</v>
      </c>
      <c r="B2755" t="str">
        <f>"038083"</f>
        <v>038083</v>
      </c>
      <c r="C2755" t="s">
        <v>8782</v>
      </c>
      <c r="D2755" t="s">
        <v>3394</v>
      </c>
      <c r="E2755" t="s">
        <v>3395</v>
      </c>
      <c r="F2755" t="s">
        <v>3396</v>
      </c>
      <c r="G2755" t="s">
        <v>642</v>
      </c>
      <c r="H2755" t="s">
        <v>8785</v>
      </c>
      <c r="I2755" t="s">
        <v>8786</v>
      </c>
      <c r="J2755" t="s">
        <v>2447</v>
      </c>
      <c r="K2755" t="s">
        <v>55</v>
      </c>
      <c r="L2755" t="s">
        <v>3742</v>
      </c>
      <c r="M2755" t="s">
        <v>57</v>
      </c>
      <c r="N2755" t="str">
        <f>"047241"</f>
        <v>047241</v>
      </c>
      <c r="O2755" t="s">
        <v>2444</v>
      </c>
      <c r="P2755" t="s">
        <v>68</v>
      </c>
      <c r="Q2755">
        <v>14</v>
      </c>
      <c r="R2755">
        <v>14.599999999999994</v>
      </c>
      <c r="S2755" t="s">
        <v>180</v>
      </c>
    </row>
    <row r="2756" spans="1:19" x14ac:dyDescent="0.35">
      <c r="A2756">
        <v>38091</v>
      </c>
      <c r="B2756" t="str">
        <f>"038091"</f>
        <v>038091</v>
      </c>
      <c r="C2756" t="s">
        <v>8787</v>
      </c>
      <c r="D2756" t="s">
        <v>3394</v>
      </c>
      <c r="E2756" t="s">
        <v>3395</v>
      </c>
      <c r="F2756" t="s">
        <v>3396</v>
      </c>
      <c r="G2756" t="s">
        <v>600</v>
      </c>
      <c r="H2756" t="s">
        <v>8788</v>
      </c>
      <c r="I2756" t="s">
        <v>8789</v>
      </c>
      <c r="J2756" t="s">
        <v>1348</v>
      </c>
      <c r="K2756" t="s">
        <v>55</v>
      </c>
      <c r="L2756" t="s">
        <v>3462</v>
      </c>
      <c r="M2756" t="s">
        <v>57</v>
      </c>
      <c r="N2756" t="str">
        <f>"043802"</f>
        <v>043802</v>
      </c>
      <c r="O2756" t="s">
        <v>3171</v>
      </c>
      <c r="P2756" t="s">
        <v>68</v>
      </c>
      <c r="Q2756">
        <v>100</v>
      </c>
      <c r="R2756">
        <v>88.4</v>
      </c>
      <c r="S2756" t="s">
        <v>60</v>
      </c>
    </row>
    <row r="2757" spans="1:19" x14ac:dyDescent="0.35">
      <c r="A2757">
        <v>38109</v>
      </c>
      <c r="B2757" t="str">
        <f>"038109"</f>
        <v>038109</v>
      </c>
      <c r="C2757" t="s">
        <v>8790</v>
      </c>
      <c r="D2757" t="s">
        <v>3398</v>
      </c>
      <c r="E2757" t="s">
        <v>3395</v>
      </c>
      <c r="F2757" t="s">
        <v>3396</v>
      </c>
      <c r="G2757" t="s">
        <v>63</v>
      </c>
      <c r="H2757" t="s">
        <v>8791</v>
      </c>
      <c r="I2757" t="s">
        <v>8792</v>
      </c>
      <c r="J2757" t="s">
        <v>8793</v>
      </c>
      <c r="K2757" t="s">
        <v>55</v>
      </c>
      <c r="L2757" t="s">
        <v>2232</v>
      </c>
      <c r="M2757" t="s">
        <v>57</v>
      </c>
      <c r="N2757" t="str">
        <f>"044636"</f>
        <v>044636</v>
      </c>
      <c r="O2757" t="s">
        <v>1331</v>
      </c>
      <c r="P2757" t="s">
        <v>68</v>
      </c>
      <c r="Q2757">
        <v>51</v>
      </c>
      <c r="R2757">
        <v>29.799999999999997</v>
      </c>
      <c r="S2757" t="s">
        <v>69</v>
      </c>
    </row>
    <row r="2758" spans="1:19" x14ac:dyDescent="0.35">
      <c r="A2758">
        <v>38117</v>
      </c>
      <c r="B2758" t="str">
        <f>"038117"</f>
        <v>038117</v>
      </c>
      <c r="C2758" t="s">
        <v>8794</v>
      </c>
      <c r="D2758" t="s">
        <v>3394</v>
      </c>
      <c r="E2758" t="s">
        <v>3395</v>
      </c>
      <c r="F2758" t="s">
        <v>3396</v>
      </c>
      <c r="G2758" t="s">
        <v>543</v>
      </c>
      <c r="H2758" t="s">
        <v>8795</v>
      </c>
      <c r="I2758" t="s">
        <v>8796</v>
      </c>
      <c r="J2758" t="s">
        <v>3204</v>
      </c>
      <c r="K2758" t="s">
        <v>55</v>
      </c>
      <c r="L2758" t="s">
        <v>3205</v>
      </c>
      <c r="M2758" t="s">
        <v>57</v>
      </c>
      <c r="N2758" t="str">
        <f>"045054"</f>
        <v>045054</v>
      </c>
      <c r="O2758" t="s">
        <v>3201</v>
      </c>
      <c r="P2758" t="s">
        <v>68</v>
      </c>
      <c r="Q2758">
        <v>64.5</v>
      </c>
      <c r="R2758">
        <v>45.8</v>
      </c>
      <c r="S2758" t="s">
        <v>180</v>
      </c>
    </row>
    <row r="2759" spans="1:19" x14ac:dyDescent="0.35">
      <c r="A2759">
        <v>38125</v>
      </c>
      <c r="B2759" t="str">
        <f>"038125"</f>
        <v>038125</v>
      </c>
      <c r="C2759" t="s">
        <v>8797</v>
      </c>
      <c r="D2759" t="s">
        <v>3398</v>
      </c>
      <c r="E2759" t="s">
        <v>3395</v>
      </c>
      <c r="F2759" t="s">
        <v>3396</v>
      </c>
      <c r="G2759" t="s">
        <v>219</v>
      </c>
      <c r="H2759" t="s">
        <v>3137</v>
      </c>
      <c r="I2759" t="s">
        <v>3138</v>
      </c>
      <c r="J2759" t="s">
        <v>1897</v>
      </c>
      <c r="K2759" t="s">
        <v>55</v>
      </c>
      <c r="L2759" t="s">
        <v>1898</v>
      </c>
      <c r="M2759" t="s">
        <v>57</v>
      </c>
      <c r="N2759" t="str">
        <f>"049643"</f>
        <v>049643</v>
      </c>
      <c r="O2759" t="s">
        <v>3136</v>
      </c>
      <c r="P2759" t="s">
        <v>68</v>
      </c>
      <c r="Q2759">
        <v>42.4</v>
      </c>
      <c r="R2759">
        <v>6.5999999999999943</v>
      </c>
      <c r="S2759" t="s">
        <v>130</v>
      </c>
    </row>
    <row r="2760" spans="1:19" x14ac:dyDescent="0.35">
      <c r="A2760">
        <v>38133</v>
      </c>
      <c r="B2760" t="str">
        <f>"038133"</f>
        <v>038133</v>
      </c>
      <c r="C2760" t="s">
        <v>8798</v>
      </c>
      <c r="D2760" t="s">
        <v>3400</v>
      </c>
      <c r="E2760" t="s">
        <v>3395</v>
      </c>
      <c r="F2760" t="s">
        <v>3396</v>
      </c>
      <c r="G2760" t="s">
        <v>219</v>
      </c>
      <c r="H2760" t="s">
        <v>8799</v>
      </c>
      <c r="I2760" t="s">
        <v>8800</v>
      </c>
      <c r="J2760" t="s">
        <v>1897</v>
      </c>
      <c r="K2760" t="s">
        <v>55</v>
      </c>
      <c r="L2760" t="s">
        <v>1898</v>
      </c>
      <c r="M2760" t="s">
        <v>57</v>
      </c>
      <c r="N2760" t="str">
        <f>"049643"</f>
        <v>049643</v>
      </c>
      <c r="O2760" t="s">
        <v>3136</v>
      </c>
      <c r="P2760" t="s">
        <v>68</v>
      </c>
      <c r="Q2760">
        <v>38.4</v>
      </c>
      <c r="R2760">
        <v>5.2000000000000028</v>
      </c>
      <c r="S2760" t="s">
        <v>130</v>
      </c>
    </row>
    <row r="2761" spans="1:19" x14ac:dyDescent="0.35">
      <c r="A2761">
        <v>38158</v>
      </c>
      <c r="B2761" t="str">
        <f>"038158"</f>
        <v>038158</v>
      </c>
      <c r="C2761" t="s">
        <v>8801</v>
      </c>
      <c r="D2761" t="s">
        <v>3394</v>
      </c>
      <c r="E2761" t="s">
        <v>3395</v>
      </c>
      <c r="F2761" t="s">
        <v>3396</v>
      </c>
      <c r="G2761" t="s">
        <v>406</v>
      </c>
      <c r="H2761" t="s">
        <v>8802</v>
      </c>
      <c r="I2761" t="s">
        <v>8803</v>
      </c>
      <c r="J2761" t="s">
        <v>465</v>
      </c>
      <c r="K2761" t="s">
        <v>55</v>
      </c>
      <c r="L2761" t="s">
        <v>466</v>
      </c>
      <c r="M2761" t="s">
        <v>57</v>
      </c>
      <c r="N2761" t="str">
        <f>"044974"</f>
        <v>044974</v>
      </c>
      <c r="O2761" t="s">
        <v>462</v>
      </c>
      <c r="P2761" t="s">
        <v>68</v>
      </c>
      <c r="Q2761">
        <v>22.4</v>
      </c>
      <c r="R2761">
        <v>8.7999999999999972</v>
      </c>
      <c r="S2761" t="s">
        <v>77</v>
      </c>
    </row>
    <row r="2762" spans="1:19" x14ac:dyDescent="0.35">
      <c r="A2762">
        <v>38174</v>
      </c>
      <c r="B2762" t="str">
        <f>"038174"</f>
        <v>038174</v>
      </c>
      <c r="C2762" t="s">
        <v>8804</v>
      </c>
      <c r="D2762" t="s">
        <v>3398</v>
      </c>
      <c r="E2762" t="s">
        <v>3395</v>
      </c>
      <c r="F2762" t="s">
        <v>3396</v>
      </c>
      <c r="G2762" t="s">
        <v>543</v>
      </c>
      <c r="H2762" t="s">
        <v>8805</v>
      </c>
      <c r="I2762" t="s">
        <v>8806</v>
      </c>
      <c r="J2762" t="s">
        <v>2789</v>
      </c>
      <c r="K2762" t="s">
        <v>55</v>
      </c>
      <c r="L2762" t="s">
        <v>2790</v>
      </c>
      <c r="M2762" t="s">
        <v>57</v>
      </c>
      <c r="N2762" t="str">
        <f>"048744"</f>
        <v>048744</v>
      </c>
      <c r="O2762" t="s">
        <v>2786</v>
      </c>
      <c r="P2762" t="s">
        <v>68</v>
      </c>
      <c r="Q2762">
        <v>35.799999999999997</v>
      </c>
      <c r="R2762">
        <v>7.2999999999999972</v>
      </c>
      <c r="S2762" t="s">
        <v>180</v>
      </c>
    </row>
    <row r="2763" spans="1:19" x14ac:dyDescent="0.35">
      <c r="A2763">
        <v>38182</v>
      </c>
      <c r="B2763" t="str">
        <f>"038182"</f>
        <v>038182</v>
      </c>
      <c r="C2763" t="s">
        <v>8801</v>
      </c>
      <c r="D2763" t="s">
        <v>3394</v>
      </c>
      <c r="E2763" t="s">
        <v>3395</v>
      </c>
      <c r="F2763" t="s">
        <v>3396</v>
      </c>
      <c r="G2763" t="s">
        <v>63</v>
      </c>
      <c r="H2763" t="s">
        <v>8807</v>
      </c>
      <c r="I2763" t="s">
        <v>8808</v>
      </c>
      <c r="J2763" t="s">
        <v>285</v>
      </c>
      <c r="K2763" t="s">
        <v>55</v>
      </c>
      <c r="L2763" t="s">
        <v>3561</v>
      </c>
      <c r="M2763" t="s">
        <v>57</v>
      </c>
      <c r="N2763" t="str">
        <f>"043786"</f>
        <v>043786</v>
      </c>
      <c r="O2763" t="s">
        <v>1340</v>
      </c>
      <c r="P2763" t="s">
        <v>68</v>
      </c>
      <c r="Q2763">
        <v>100</v>
      </c>
      <c r="R2763">
        <v>74.8</v>
      </c>
      <c r="S2763" t="s">
        <v>69</v>
      </c>
    </row>
    <row r="2764" spans="1:19" x14ac:dyDescent="0.35">
      <c r="A2764">
        <v>38190</v>
      </c>
      <c r="B2764" t="str">
        <f>"038190"</f>
        <v>038190</v>
      </c>
      <c r="C2764" t="s">
        <v>8809</v>
      </c>
      <c r="D2764" t="s">
        <v>3394</v>
      </c>
      <c r="E2764" t="s">
        <v>3395</v>
      </c>
      <c r="F2764" t="s">
        <v>3396</v>
      </c>
      <c r="G2764" t="s">
        <v>600</v>
      </c>
      <c r="H2764" t="s">
        <v>8810</v>
      </c>
      <c r="I2764" t="s">
        <v>8811</v>
      </c>
      <c r="J2764" t="s">
        <v>1348</v>
      </c>
      <c r="K2764" t="s">
        <v>55</v>
      </c>
      <c r="L2764" t="s">
        <v>3854</v>
      </c>
      <c r="M2764" t="s">
        <v>57</v>
      </c>
      <c r="N2764" t="str">
        <f>"043802"</f>
        <v>043802</v>
      </c>
      <c r="O2764" t="s">
        <v>3171</v>
      </c>
      <c r="P2764" t="s">
        <v>68</v>
      </c>
      <c r="Q2764">
        <v>100</v>
      </c>
      <c r="R2764">
        <v>73.599999999999994</v>
      </c>
      <c r="S2764" t="s">
        <v>60</v>
      </c>
    </row>
    <row r="2765" spans="1:19" x14ac:dyDescent="0.35">
      <c r="A2765">
        <v>38208</v>
      </c>
      <c r="B2765" t="str">
        <f>"038208"</f>
        <v>038208</v>
      </c>
      <c r="C2765" t="s">
        <v>8812</v>
      </c>
      <c r="D2765" t="s">
        <v>3394</v>
      </c>
      <c r="E2765" t="s">
        <v>3395</v>
      </c>
      <c r="F2765" t="s">
        <v>3396</v>
      </c>
      <c r="G2765" t="s">
        <v>821</v>
      </c>
      <c r="H2765" t="s">
        <v>8813</v>
      </c>
      <c r="I2765" t="s">
        <v>8814</v>
      </c>
      <c r="J2765" t="s">
        <v>3081</v>
      </c>
      <c r="K2765" t="s">
        <v>55</v>
      </c>
      <c r="L2765" t="s">
        <v>3082</v>
      </c>
      <c r="M2765" t="s">
        <v>57</v>
      </c>
      <c r="N2765" t="str">
        <f>"047464"</f>
        <v>047464</v>
      </c>
      <c r="O2765" t="s">
        <v>3078</v>
      </c>
      <c r="P2765" t="s">
        <v>68</v>
      </c>
      <c r="Q2765">
        <v>13</v>
      </c>
      <c r="R2765">
        <v>8.7999999999999972</v>
      </c>
      <c r="S2765" t="s">
        <v>156</v>
      </c>
    </row>
    <row r="2766" spans="1:19" x14ac:dyDescent="0.35">
      <c r="A2766">
        <v>38216</v>
      </c>
      <c r="B2766" t="str">
        <f>"038216"</f>
        <v>038216</v>
      </c>
      <c r="C2766" t="s">
        <v>8815</v>
      </c>
      <c r="D2766" t="s">
        <v>3394</v>
      </c>
      <c r="E2766" t="s">
        <v>3395</v>
      </c>
      <c r="F2766" t="s">
        <v>3396</v>
      </c>
      <c r="G2766" t="s">
        <v>244</v>
      </c>
      <c r="H2766" t="s">
        <v>8816</v>
      </c>
      <c r="I2766" t="s">
        <v>8817</v>
      </c>
      <c r="J2766" t="s">
        <v>212</v>
      </c>
      <c r="K2766" t="s">
        <v>55</v>
      </c>
      <c r="L2766" t="s">
        <v>374</v>
      </c>
      <c r="M2766" t="s">
        <v>57</v>
      </c>
      <c r="N2766" t="str">
        <f>"044107"</f>
        <v>044107</v>
      </c>
      <c r="O2766" t="s">
        <v>971</v>
      </c>
      <c r="P2766" t="s">
        <v>68</v>
      </c>
      <c r="Q2766">
        <v>100</v>
      </c>
      <c r="R2766">
        <v>67.3</v>
      </c>
      <c r="S2766" t="s">
        <v>217</v>
      </c>
    </row>
    <row r="2767" spans="1:19" x14ac:dyDescent="0.35">
      <c r="A2767">
        <v>38224</v>
      </c>
      <c r="B2767" t="str">
        <f>"038224"</f>
        <v>038224</v>
      </c>
      <c r="C2767" t="s">
        <v>8818</v>
      </c>
      <c r="D2767" t="s">
        <v>3400</v>
      </c>
      <c r="E2767" t="s">
        <v>3395</v>
      </c>
      <c r="F2767" t="s">
        <v>3396</v>
      </c>
      <c r="G2767" t="s">
        <v>543</v>
      </c>
      <c r="H2767" t="s">
        <v>8819</v>
      </c>
      <c r="I2767" t="s">
        <v>8820</v>
      </c>
      <c r="J2767" t="s">
        <v>1961</v>
      </c>
      <c r="K2767" t="s">
        <v>55</v>
      </c>
      <c r="L2767" t="s">
        <v>1962</v>
      </c>
      <c r="M2767" t="s">
        <v>57</v>
      </c>
      <c r="N2767" t="str">
        <f>"044180"</f>
        <v>044180</v>
      </c>
      <c r="O2767" t="s">
        <v>1963</v>
      </c>
      <c r="P2767" t="s">
        <v>68</v>
      </c>
      <c r="Q2767">
        <v>37.5</v>
      </c>
      <c r="R2767">
        <v>22.799999999999997</v>
      </c>
      <c r="S2767" t="s">
        <v>180</v>
      </c>
    </row>
    <row r="2768" spans="1:19" x14ac:dyDescent="0.35">
      <c r="A2768">
        <v>38232</v>
      </c>
      <c r="B2768" t="str">
        <f>"038232"</f>
        <v>038232</v>
      </c>
      <c r="C2768" t="s">
        <v>8821</v>
      </c>
      <c r="D2768" t="s">
        <v>3398</v>
      </c>
      <c r="E2768" t="s">
        <v>3395</v>
      </c>
      <c r="F2768" t="s">
        <v>3396</v>
      </c>
      <c r="G2768" t="s">
        <v>821</v>
      </c>
      <c r="H2768" t="s">
        <v>3079</v>
      </c>
      <c r="I2768" t="s">
        <v>3080</v>
      </c>
      <c r="J2768" t="s">
        <v>3081</v>
      </c>
      <c r="K2768" t="s">
        <v>55</v>
      </c>
      <c r="L2768" t="s">
        <v>3082</v>
      </c>
      <c r="M2768" t="s">
        <v>57</v>
      </c>
      <c r="N2768" t="str">
        <f>"047464"</f>
        <v>047464</v>
      </c>
      <c r="O2768" t="s">
        <v>3078</v>
      </c>
      <c r="P2768" t="s">
        <v>68</v>
      </c>
      <c r="Q2768">
        <v>8.5</v>
      </c>
      <c r="R2768">
        <v>12.299999999999997</v>
      </c>
      <c r="S2768" t="s">
        <v>156</v>
      </c>
    </row>
    <row r="2769" spans="1:19" x14ac:dyDescent="0.35">
      <c r="A2769">
        <v>38257</v>
      </c>
      <c r="B2769" t="str">
        <f>"038257"</f>
        <v>038257</v>
      </c>
      <c r="C2769" t="s">
        <v>8822</v>
      </c>
      <c r="D2769" t="s">
        <v>3400</v>
      </c>
      <c r="E2769" t="s">
        <v>3395</v>
      </c>
      <c r="F2769" t="s">
        <v>3396</v>
      </c>
      <c r="G2769" t="s">
        <v>543</v>
      </c>
      <c r="H2769" t="s">
        <v>8823</v>
      </c>
      <c r="I2769" t="s">
        <v>8824</v>
      </c>
      <c r="J2769" t="s">
        <v>687</v>
      </c>
      <c r="K2769" t="s">
        <v>55</v>
      </c>
      <c r="L2769" t="s">
        <v>5260</v>
      </c>
      <c r="M2769" t="s">
        <v>57</v>
      </c>
      <c r="N2769" t="str">
        <f>"043844"</f>
        <v>043844</v>
      </c>
      <c r="O2769" t="s">
        <v>985</v>
      </c>
      <c r="P2769" t="s">
        <v>68</v>
      </c>
      <c r="Q2769">
        <v>96.2</v>
      </c>
      <c r="R2769">
        <v>93</v>
      </c>
      <c r="S2769" t="s">
        <v>180</v>
      </c>
    </row>
    <row r="2770" spans="1:19" x14ac:dyDescent="0.35">
      <c r="A2770">
        <v>38265</v>
      </c>
      <c r="B2770" t="str">
        <f>"038265"</f>
        <v>038265</v>
      </c>
      <c r="C2770" t="s">
        <v>8825</v>
      </c>
      <c r="D2770" t="s">
        <v>3398</v>
      </c>
      <c r="E2770" t="s">
        <v>3395</v>
      </c>
      <c r="F2770" t="s">
        <v>3396</v>
      </c>
      <c r="G2770" t="s">
        <v>1020</v>
      </c>
      <c r="H2770" t="s">
        <v>8826</v>
      </c>
      <c r="I2770" t="s">
        <v>8827</v>
      </c>
      <c r="J2770" t="s">
        <v>1020</v>
      </c>
      <c r="K2770" t="s">
        <v>55</v>
      </c>
      <c r="L2770" t="s">
        <v>1023</v>
      </c>
      <c r="M2770" t="s">
        <v>57</v>
      </c>
      <c r="N2770" t="str">
        <f>"044966"</f>
        <v>044966</v>
      </c>
      <c r="O2770" t="s">
        <v>1019</v>
      </c>
      <c r="P2770" t="s">
        <v>68</v>
      </c>
      <c r="Q2770">
        <v>41</v>
      </c>
      <c r="R2770">
        <v>12.400000000000006</v>
      </c>
      <c r="S2770" t="s">
        <v>156</v>
      </c>
    </row>
    <row r="2771" spans="1:19" x14ac:dyDescent="0.35">
      <c r="A2771">
        <v>38281</v>
      </c>
      <c r="B2771" t="str">
        <f>"038281"</f>
        <v>038281</v>
      </c>
      <c r="C2771" t="s">
        <v>8828</v>
      </c>
      <c r="D2771" t="s">
        <v>3394</v>
      </c>
      <c r="E2771" t="s">
        <v>3395</v>
      </c>
      <c r="F2771" t="s">
        <v>3396</v>
      </c>
      <c r="G2771" t="s">
        <v>821</v>
      </c>
      <c r="H2771" t="s">
        <v>8829</v>
      </c>
      <c r="I2771" t="s">
        <v>8830</v>
      </c>
      <c r="J2771" t="s">
        <v>1174</v>
      </c>
      <c r="K2771" t="s">
        <v>55</v>
      </c>
      <c r="L2771" t="s">
        <v>1175</v>
      </c>
      <c r="M2771" t="s">
        <v>57</v>
      </c>
      <c r="N2771" t="str">
        <f>"047472"</f>
        <v>047472</v>
      </c>
      <c r="O2771" t="s">
        <v>1171</v>
      </c>
      <c r="P2771" t="s">
        <v>68</v>
      </c>
      <c r="Q2771">
        <v>57.1</v>
      </c>
      <c r="R2771">
        <v>6.0999999999999943</v>
      </c>
      <c r="S2771" t="s">
        <v>156</v>
      </c>
    </row>
    <row r="2772" spans="1:19" x14ac:dyDescent="0.35">
      <c r="A2772">
        <v>38299</v>
      </c>
      <c r="B2772" t="str">
        <f>"038299"</f>
        <v>038299</v>
      </c>
      <c r="C2772" t="s">
        <v>8831</v>
      </c>
      <c r="D2772" t="s">
        <v>3398</v>
      </c>
      <c r="E2772" t="s">
        <v>3395</v>
      </c>
      <c r="F2772" t="s">
        <v>3396</v>
      </c>
      <c r="G2772" t="s">
        <v>821</v>
      </c>
      <c r="H2772" t="s">
        <v>8829</v>
      </c>
      <c r="I2772" t="s">
        <v>8830</v>
      </c>
      <c r="J2772" t="s">
        <v>1174</v>
      </c>
      <c r="K2772" t="s">
        <v>55</v>
      </c>
      <c r="L2772" t="s">
        <v>1175</v>
      </c>
      <c r="M2772" t="s">
        <v>57</v>
      </c>
      <c r="N2772" t="str">
        <f>"047472"</f>
        <v>047472</v>
      </c>
      <c r="O2772" t="s">
        <v>1171</v>
      </c>
      <c r="P2772" t="s">
        <v>68</v>
      </c>
      <c r="Q2772">
        <v>25.8</v>
      </c>
      <c r="R2772">
        <v>9.7000000000000028</v>
      </c>
      <c r="S2772" t="s">
        <v>156</v>
      </c>
    </row>
    <row r="2773" spans="1:19" x14ac:dyDescent="0.35">
      <c r="A2773">
        <v>38307</v>
      </c>
      <c r="B2773" t="str">
        <f>"038307"</f>
        <v>038307</v>
      </c>
      <c r="C2773" t="s">
        <v>8832</v>
      </c>
      <c r="D2773" t="s">
        <v>3400</v>
      </c>
      <c r="E2773" t="s">
        <v>3395</v>
      </c>
      <c r="F2773" t="s">
        <v>3396</v>
      </c>
      <c r="G2773" t="s">
        <v>150</v>
      </c>
      <c r="H2773" t="s">
        <v>1683</v>
      </c>
      <c r="I2773" t="s">
        <v>1684</v>
      </c>
      <c r="J2773" t="s">
        <v>1685</v>
      </c>
      <c r="K2773" t="s">
        <v>55</v>
      </c>
      <c r="L2773" t="s">
        <v>1686</v>
      </c>
      <c r="M2773" t="s">
        <v>57</v>
      </c>
      <c r="N2773" t="str">
        <f>"049312"</f>
        <v>049312</v>
      </c>
      <c r="O2773" t="s">
        <v>1682</v>
      </c>
      <c r="P2773" t="s">
        <v>68</v>
      </c>
      <c r="Q2773">
        <v>25.2</v>
      </c>
      <c r="R2773">
        <v>10.299999999999997</v>
      </c>
      <c r="S2773" t="s">
        <v>156</v>
      </c>
    </row>
    <row r="2774" spans="1:19" x14ac:dyDescent="0.35">
      <c r="A2774">
        <v>38331</v>
      </c>
      <c r="B2774" t="str">
        <f>"038331"</f>
        <v>038331</v>
      </c>
      <c r="C2774" t="s">
        <v>8833</v>
      </c>
      <c r="D2774" t="s">
        <v>3400</v>
      </c>
      <c r="E2774" t="s">
        <v>3395</v>
      </c>
      <c r="F2774" t="s">
        <v>3396</v>
      </c>
      <c r="G2774" t="s">
        <v>759</v>
      </c>
      <c r="H2774" t="s">
        <v>8834</v>
      </c>
      <c r="I2774" t="s">
        <v>8835</v>
      </c>
      <c r="J2774" t="s">
        <v>2780</v>
      </c>
      <c r="K2774" t="s">
        <v>55</v>
      </c>
      <c r="L2774" t="s">
        <v>2781</v>
      </c>
      <c r="M2774" t="s">
        <v>57</v>
      </c>
      <c r="N2774" t="str">
        <f>"046821"</f>
        <v>046821</v>
      </c>
      <c r="O2774" t="s">
        <v>2777</v>
      </c>
      <c r="P2774" t="s">
        <v>68</v>
      </c>
      <c r="Q2774">
        <v>40.9</v>
      </c>
      <c r="R2774">
        <v>11.200000000000003</v>
      </c>
      <c r="S2774" t="s">
        <v>69</v>
      </c>
    </row>
    <row r="2775" spans="1:19" x14ac:dyDescent="0.35">
      <c r="A2775">
        <v>38349</v>
      </c>
      <c r="B2775" t="str">
        <f>"038349"</f>
        <v>038349</v>
      </c>
      <c r="C2775" t="s">
        <v>8836</v>
      </c>
      <c r="D2775" t="s">
        <v>3398</v>
      </c>
      <c r="E2775" t="s">
        <v>3395</v>
      </c>
      <c r="F2775" t="s">
        <v>3396</v>
      </c>
      <c r="G2775" t="s">
        <v>759</v>
      </c>
      <c r="H2775" t="s">
        <v>2778</v>
      </c>
      <c r="I2775" t="s">
        <v>2779</v>
      </c>
      <c r="J2775" t="s">
        <v>2780</v>
      </c>
      <c r="K2775" t="s">
        <v>55</v>
      </c>
      <c r="L2775" t="s">
        <v>2781</v>
      </c>
      <c r="M2775" t="s">
        <v>57</v>
      </c>
      <c r="N2775" t="str">
        <f>"046821"</f>
        <v>046821</v>
      </c>
      <c r="O2775" t="s">
        <v>2777</v>
      </c>
      <c r="P2775" t="s">
        <v>68</v>
      </c>
      <c r="Q2775">
        <v>34.299999999999997</v>
      </c>
      <c r="R2775">
        <v>12.700000000000003</v>
      </c>
      <c r="S2775" t="s">
        <v>69</v>
      </c>
    </row>
    <row r="2776" spans="1:19" x14ac:dyDescent="0.35">
      <c r="A2776">
        <v>38356</v>
      </c>
      <c r="B2776" t="str">
        <f>"038356"</f>
        <v>038356</v>
      </c>
      <c r="C2776" t="s">
        <v>8837</v>
      </c>
      <c r="D2776" t="s">
        <v>3394</v>
      </c>
      <c r="E2776" t="s">
        <v>3395</v>
      </c>
      <c r="F2776" t="s">
        <v>3396</v>
      </c>
      <c r="G2776" t="s">
        <v>212</v>
      </c>
      <c r="H2776" t="s">
        <v>8838</v>
      </c>
      <c r="I2776" t="s">
        <v>8839</v>
      </c>
      <c r="J2776" t="s">
        <v>1697</v>
      </c>
      <c r="K2776" t="s">
        <v>55</v>
      </c>
      <c r="L2776" t="s">
        <v>954</v>
      </c>
      <c r="M2776" t="s">
        <v>57</v>
      </c>
      <c r="N2776" t="str">
        <f>"045146"</f>
        <v>045146</v>
      </c>
      <c r="O2776" t="s">
        <v>1694</v>
      </c>
      <c r="P2776" t="s">
        <v>68</v>
      </c>
      <c r="Q2776">
        <v>12.9</v>
      </c>
      <c r="R2776">
        <v>33.900000000000006</v>
      </c>
      <c r="S2776" t="s">
        <v>217</v>
      </c>
    </row>
    <row r="2777" spans="1:19" x14ac:dyDescent="0.35">
      <c r="A2777">
        <v>38364</v>
      </c>
      <c r="B2777" t="str">
        <f>"038364"</f>
        <v>038364</v>
      </c>
      <c r="C2777" t="s">
        <v>8840</v>
      </c>
      <c r="D2777" t="s">
        <v>3400</v>
      </c>
      <c r="E2777" t="s">
        <v>3395</v>
      </c>
      <c r="F2777" t="s">
        <v>3396</v>
      </c>
      <c r="G2777" t="s">
        <v>169</v>
      </c>
      <c r="H2777" t="s">
        <v>1538</v>
      </c>
      <c r="I2777" t="s">
        <v>1539</v>
      </c>
      <c r="J2777" t="s">
        <v>1540</v>
      </c>
      <c r="K2777" t="s">
        <v>55</v>
      </c>
      <c r="L2777" t="s">
        <v>1541</v>
      </c>
      <c r="M2777" t="s">
        <v>57</v>
      </c>
      <c r="N2777" t="str">
        <f>"050179"</f>
        <v>050179</v>
      </c>
      <c r="O2777" t="s">
        <v>1537</v>
      </c>
      <c r="P2777" t="s">
        <v>68</v>
      </c>
      <c r="Q2777">
        <v>47.1</v>
      </c>
      <c r="R2777">
        <v>5.2999999999999972</v>
      </c>
      <c r="S2777" t="s">
        <v>77</v>
      </c>
    </row>
    <row r="2778" spans="1:19" x14ac:dyDescent="0.35">
      <c r="A2778">
        <v>38372</v>
      </c>
      <c r="B2778" t="str">
        <f>"038372"</f>
        <v>038372</v>
      </c>
      <c r="C2778" t="s">
        <v>8841</v>
      </c>
      <c r="D2778" t="s">
        <v>3394</v>
      </c>
      <c r="E2778" t="s">
        <v>3395</v>
      </c>
      <c r="F2778" t="s">
        <v>3396</v>
      </c>
      <c r="G2778" t="s">
        <v>219</v>
      </c>
      <c r="H2778" t="s">
        <v>8842</v>
      </c>
      <c r="I2778" t="s">
        <v>8843</v>
      </c>
      <c r="J2778" t="s">
        <v>2098</v>
      </c>
      <c r="K2778" t="s">
        <v>55</v>
      </c>
      <c r="L2778" t="s">
        <v>2099</v>
      </c>
      <c r="M2778" t="s">
        <v>57</v>
      </c>
      <c r="N2778" t="str">
        <f>"049593"</f>
        <v>049593</v>
      </c>
      <c r="O2778" t="s">
        <v>2095</v>
      </c>
      <c r="P2778" t="s">
        <v>68</v>
      </c>
      <c r="Q2778">
        <v>52.6</v>
      </c>
      <c r="R2778">
        <v>1.4000000000000057</v>
      </c>
      <c r="S2778" t="s">
        <v>130</v>
      </c>
    </row>
    <row r="2779" spans="1:19" x14ac:dyDescent="0.35">
      <c r="A2779">
        <v>38398</v>
      </c>
      <c r="B2779" t="str">
        <f>"038398"</f>
        <v>038398</v>
      </c>
      <c r="C2779" t="s">
        <v>8844</v>
      </c>
      <c r="D2779" t="s">
        <v>3400</v>
      </c>
      <c r="E2779" t="s">
        <v>3395</v>
      </c>
      <c r="F2779" t="s">
        <v>3396</v>
      </c>
      <c r="G2779" t="s">
        <v>362</v>
      </c>
      <c r="H2779" t="s">
        <v>2283</v>
      </c>
      <c r="I2779" t="s">
        <v>2284</v>
      </c>
      <c r="J2779" t="s">
        <v>2285</v>
      </c>
      <c r="K2779" t="s">
        <v>55</v>
      </c>
      <c r="L2779" t="s">
        <v>2286</v>
      </c>
      <c r="M2779" t="s">
        <v>57</v>
      </c>
      <c r="N2779" t="str">
        <f>"091397"</f>
        <v>091397</v>
      </c>
      <c r="O2779" t="s">
        <v>2282</v>
      </c>
      <c r="P2779" t="s">
        <v>68</v>
      </c>
      <c r="Q2779">
        <v>32.9</v>
      </c>
      <c r="R2779">
        <v>3.7999999999999972</v>
      </c>
      <c r="S2779" t="s">
        <v>180</v>
      </c>
    </row>
    <row r="2780" spans="1:19" x14ac:dyDescent="0.35">
      <c r="A2780">
        <v>38406</v>
      </c>
      <c r="B2780" t="str">
        <f>"038406"</f>
        <v>038406</v>
      </c>
      <c r="C2780" t="s">
        <v>8845</v>
      </c>
      <c r="D2780" t="s">
        <v>3394</v>
      </c>
      <c r="E2780" t="s">
        <v>3395</v>
      </c>
      <c r="F2780" t="s">
        <v>3396</v>
      </c>
      <c r="G2780" t="s">
        <v>175</v>
      </c>
      <c r="H2780" t="s">
        <v>8846</v>
      </c>
      <c r="I2780" t="s">
        <v>8847</v>
      </c>
      <c r="J2780" t="s">
        <v>1288</v>
      </c>
      <c r="K2780" t="s">
        <v>55</v>
      </c>
      <c r="L2780" t="s">
        <v>1289</v>
      </c>
      <c r="M2780" t="s">
        <v>57</v>
      </c>
      <c r="N2780" t="str">
        <f>"045633"</f>
        <v>045633</v>
      </c>
      <c r="O2780" t="s">
        <v>1285</v>
      </c>
      <c r="P2780" t="s">
        <v>68</v>
      </c>
      <c r="Q2780">
        <v>7.6</v>
      </c>
      <c r="R2780">
        <v>3.7999999999999972</v>
      </c>
      <c r="S2780" t="s">
        <v>180</v>
      </c>
    </row>
    <row r="2781" spans="1:19" x14ac:dyDescent="0.35">
      <c r="A2781">
        <v>38414</v>
      </c>
      <c r="B2781" t="str">
        <f>"038414"</f>
        <v>038414</v>
      </c>
      <c r="C2781" t="s">
        <v>8848</v>
      </c>
      <c r="D2781" t="s">
        <v>3398</v>
      </c>
      <c r="E2781" t="s">
        <v>3395</v>
      </c>
      <c r="F2781" t="s">
        <v>3396</v>
      </c>
      <c r="G2781" t="s">
        <v>175</v>
      </c>
      <c r="H2781" t="s">
        <v>8846</v>
      </c>
      <c r="I2781" t="s">
        <v>8847</v>
      </c>
      <c r="J2781" t="s">
        <v>1288</v>
      </c>
      <c r="K2781" t="s">
        <v>55</v>
      </c>
      <c r="L2781" t="s">
        <v>1289</v>
      </c>
      <c r="M2781" t="s">
        <v>57</v>
      </c>
      <c r="N2781" t="str">
        <f>"045633"</f>
        <v>045633</v>
      </c>
      <c r="O2781" t="s">
        <v>1285</v>
      </c>
      <c r="P2781" t="s">
        <v>68</v>
      </c>
      <c r="Q2781">
        <v>11.8</v>
      </c>
      <c r="R2781">
        <v>1.2999999999999972</v>
      </c>
      <c r="S2781" t="s">
        <v>180</v>
      </c>
    </row>
    <row r="2782" spans="1:19" x14ac:dyDescent="0.35">
      <c r="A2782">
        <v>38430</v>
      </c>
      <c r="B2782" t="str">
        <f>"038430"</f>
        <v>038430</v>
      </c>
      <c r="C2782" t="s">
        <v>5859</v>
      </c>
      <c r="D2782" t="s">
        <v>3394</v>
      </c>
      <c r="E2782" t="s">
        <v>3395</v>
      </c>
      <c r="F2782" t="s">
        <v>3396</v>
      </c>
      <c r="G2782" t="s">
        <v>383</v>
      </c>
      <c r="H2782" t="s">
        <v>8849</v>
      </c>
      <c r="I2782" t="s">
        <v>8850</v>
      </c>
      <c r="J2782" t="s">
        <v>1069</v>
      </c>
      <c r="K2782" t="s">
        <v>55</v>
      </c>
      <c r="L2782" t="s">
        <v>1070</v>
      </c>
      <c r="M2782" t="s">
        <v>57</v>
      </c>
      <c r="N2782" t="str">
        <f>"048314"</f>
        <v>048314</v>
      </c>
      <c r="O2782" t="s">
        <v>1138</v>
      </c>
      <c r="P2782" t="s">
        <v>68</v>
      </c>
      <c r="Q2782">
        <v>12.3</v>
      </c>
      <c r="R2782">
        <v>7.7000000000000028</v>
      </c>
      <c r="S2782" t="s">
        <v>77</v>
      </c>
    </row>
    <row r="2783" spans="1:19" x14ac:dyDescent="0.35">
      <c r="A2783">
        <v>38448</v>
      </c>
      <c r="B2783" t="str">
        <f>"038448"</f>
        <v>038448</v>
      </c>
      <c r="C2783" t="s">
        <v>8851</v>
      </c>
      <c r="D2783" t="s">
        <v>3394</v>
      </c>
      <c r="E2783" t="s">
        <v>3395</v>
      </c>
      <c r="F2783" t="s">
        <v>3396</v>
      </c>
      <c r="G2783" t="s">
        <v>143</v>
      </c>
      <c r="H2783" t="s">
        <v>8852</v>
      </c>
      <c r="I2783" t="s">
        <v>8853</v>
      </c>
      <c r="J2783" t="s">
        <v>143</v>
      </c>
      <c r="K2783" t="s">
        <v>55</v>
      </c>
      <c r="L2783" t="s">
        <v>5382</v>
      </c>
      <c r="M2783" t="s">
        <v>57</v>
      </c>
      <c r="N2783" t="str">
        <f>"048132"</f>
        <v>048132</v>
      </c>
      <c r="O2783" t="s">
        <v>1030</v>
      </c>
      <c r="P2783" t="s">
        <v>68</v>
      </c>
      <c r="Q2783">
        <v>100</v>
      </c>
      <c r="R2783">
        <v>66.3</v>
      </c>
      <c r="S2783" t="s">
        <v>69</v>
      </c>
    </row>
    <row r="2784" spans="1:19" x14ac:dyDescent="0.35">
      <c r="A2784">
        <v>38471</v>
      </c>
      <c r="B2784" t="str">
        <f>"038471"</f>
        <v>038471</v>
      </c>
      <c r="C2784" t="s">
        <v>8854</v>
      </c>
      <c r="D2784" t="s">
        <v>3398</v>
      </c>
      <c r="E2784" t="s">
        <v>3395</v>
      </c>
      <c r="F2784" t="s">
        <v>3396</v>
      </c>
      <c r="G2784" t="s">
        <v>2992</v>
      </c>
      <c r="H2784" t="s">
        <v>8855</v>
      </c>
      <c r="I2784" t="s">
        <v>8856</v>
      </c>
      <c r="J2784" t="s">
        <v>2995</v>
      </c>
      <c r="K2784" t="s">
        <v>55</v>
      </c>
      <c r="L2784" t="s">
        <v>2996</v>
      </c>
      <c r="M2784" t="s">
        <v>57</v>
      </c>
      <c r="N2784" t="str">
        <f>"050393"</f>
        <v>050393</v>
      </c>
      <c r="O2784" t="s">
        <v>2991</v>
      </c>
      <c r="P2784" t="s">
        <v>68</v>
      </c>
      <c r="Q2784">
        <v>99.6</v>
      </c>
      <c r="R2784">
        <v>3.5</v>
      </c>
      <c r="S2784" t="s">
        <v>130</v>
      </c>
    </row>
    <row r="2785" spans="1:19" x14ac:dyDescent="0.35">
      <c r="A2785">
        <v>38489</v>
      </c>
      <c r="B2785" t="str">
        <f>"038489"</f>
        <v>038489</v>
      </c>
      <c r="C2785" t="s">
        <v>8857</v>
      </c>
      <c r="D2785" t="s">
        <v>3394</v>
      </c>
      <c r="E2785" t="s">
        <v>3395</v>
      </c>
      <c r="F2785" t="s">
        <v>3396</v>
      </c>
      <c r="G2785" t="s">
        <v>861</v>
      </c>
      <c r="H2785" t="s">
        <v>8858</v>
      </c>
      <c r="I2785" t="s">
        <v>8859</v>
      </c>
      <c r="J2785" t="s">
        <v>2992</v>
      </c>
      <c r="K2785" t="s">
        <v>55</v>
      </c>
      <c r="L2785" t="s">
        <v>8860</v>
      </c>
      <c r="M2785" t="s">
        <v>57</v>
      </c>
      <c r="N2785" t="str">
        <f>"065680"</f>
        <v>065680</v>
      </c>
      <c r="O2785" t="s">
        <v>1755</v>
      </c>
      <c r="P2785" t="s">
        <v>68</v>
      </c>
      <c r="Q2785">
        <v>100</v>
      </c>
      <c r="R2785">
        <v>9.2999999999999972</v>
      </c>
      <c r="S2785" t="s">
        <v>130</v>
      </c>
    </row>
    <row r="2786" spans="1:19" x14ac:dyDescent="0.35">
      <c r="A2786">
        <v>38505</v>
      </c>
      <c r="B2786" t="str">
        <f>"038505"</f>
        <v>038505</v>
      </c>
      <c r="C2786" t="s">
        <v>8861</v>
      </c>
      <c r="D2786" t="s">
        <v>3394</v>
      </c>
      <c r="E2786" t="s">
        <v>3395</v>
      </c>
      <c r="F2786" t="s">
        <v>3396</v>
      </c>
      <c r="G2786" t="s">
        <v>264</v>
      </c>
      <c r="H2786" t="s">
        <v>8862</v>
      </c>
      <c r="I2786" t="s">
        <v>8863</v>
      </c>
      <c r="J2786" t="s">
        <v>267</v>
      </c>
      <c r="K2786" t="s">
        <v>55</v>
      </c>
      <c r="L2786" t="s">
        <v>5223</v>
      </c>
      <c r="M2786" t="s">
        <v>57</v>
      </c>
      <c r="N2786" t="str">
        <f>"043489"</f>
        <v>043489</v>
      </c>
      <c r="O2786" t="s">
        <v>3176</v>
      </c>
      <c r="P2786" t="s">
        <v>68</v>
      </c>
      <c r="Q2786">
        <v>100</v>
      </c>
      <c r="R2786">
        <v>67.3</v>
      </c>
      <c r="S2786" t="s">
        <v>77</v>
      </c>
    </row>
    <row r="2787" spans="1:19" x14ac:dyDescent="0.35">
      <c r="A2787">
        <v>38513</v>
      </c>
      <c r="B2787" t="str">
        <f>"038513"</f>
        <v>038513</v>
      </c>
      <c r="C2787" t="s">
        <v>8864</v>
      </c>
      <c r="D2787" t="s">
        <v>3394</v>
      </c>
      <c r="E2787" t="s">
        <v>3395</v>
      </c>
      <c r="F2787" t="s">
        <v>3396</v>
      </c>
      <c r="G2787" t="s">
        <v>362</v>
      </c>
      <c r="H2787" t="s">
        <v>2145</v>
      </c>
      <c r="I2787" t="s">
        <v>2146</v>
      </c>
      <c r="J2787" t="s">
        <v>2147</v>
      </c>
      <c r="K2787" t="s">
        <v>55</v>
      </c>
      <c r="L2787" t="s">
        <v>2148</v>
      </c>
      <c r="M2787" t="s">
        <v>57</v>
      </c>
      <c r="N2787" t="str">
        <f>"049296"</f>
        <v>049296</v>
      </c>
      <c r="O2787" t="s">
        <v>2144</v>
      </c>
      <c r="P2787" t="s">
        <v>68</v>
      </c>
      <c r="Q2787">
        <v>37.4</v>
      </c>
      <c r="R2787">
        <v>3.7999999999999972</v>
      </c>
      <c r="S2787" t="s">
        <v>180</v>
      </c>
    </row>
    <row r="2788" spans="1:19" x14ac:dyDescent="0.35">
      <c r="A2788">
        <v>38539</v>
      </c>
      <c r="B2788" t="str">
        <f>"038539"</f>
        <v>038539</v>
      </c>
      <c r="C2788" t="s">
        <v>8865</v>
      </c>
      <c r="D2788" t="s">
        <v>3394</v>
      </c>
      <c r="E2788" t="s">
        <v>3395</v>
      </c>
      <c r="F2788" t="s">
        <v>3396</v>
      </c>
      <c r="G2788" t="s">
        <v>383</v>
      </c>
      <c r="H2788" t="s">
        <v>8866</v>
      </c>
      <c r="I2788" t="s">
        <v>8867</v>
      </c>
      <c r="J2788" t="s">
        <v>1215</v>
      </c>
      <c r="K2788" t="s">
        <v>55</v>
      </c>
      <c r="L2788" t="s">
        <v>2451</v>
      </c>
      <c r="M2788" t="s">
        <v>57</v>
      </c>
      <c r="N2788" t="str">
        <f>"048306"</f>
        <v>048306</v>
      </c>
      <c r="O2788" t="s">
        <v>2448</v>
      </c>
      <c r="P2788" t="s">
        <v>68</v>
      </c>
      <c r="Q2788">
        <v>55.5</v>
      </c>
      <c r="R2788">
        <v>35.400000000000006</v>
      </c>
      <c r="S2788" t="s">
        <v>77</v>
      </c>
    </row>
    <row r="2789" spans="1:19" x14ac:dyDescent="0.35">
      <c r="A2789">
        <v>38547</v>
      </c>
      <c r="B2789" t="str">
        <f>"038547"</f>
        <v>038547</v>
      </c>
      <c r="C2789" t="s">
        <v>8868</v>
      </c>
      <c r="D2789" t="s">
        <v>3400</v>
      </c>
      <c r="E2789" t="s">
        <v>3395</v>
      </c>
      <c r="F2789" t="s">
        <v>3396</v>
      </c>
      <c r="G2789" t="s">
        <v>383</v>
      </c>
      <c r="H2789" t="s">
        <v>8869</v>
      </c>
      <c r="I2789" t="s">
        <v>8870</v>
      </c>
      <c r="J2789" t="s">
        <v>1981</v>
      </c>
      <c r="K2789" t="s">
        <v>55</v>
      </c>
      <c r="L2789" t="s">
        <v>1982</v>
      </c>
      <c r="M2789" t="s">
        <v>57</v>
      </c>
      <c r="N2789" t="str">
        <f>"048389"</f>
        <v>048389</v>
      </c>
      <c r="O2789" t="s">
        <v>1978</v>
      </c>
      <c r="P2789" t="s">
        <v>68</v>
      </c>
      <c r="Q2789">
        <v>36.9</v>
      </c>
      <c r="R2789">
        <v>5.7999999999999972</v>
      </c>
      <c r="S2789" t="s">
        <v>77</v>
      </c>
    </row>
    <row r="2790" spans="1:19" x14ac:dyDescent="0.35">
      <c r="A2790">
        <v>38554</v>
      </c>
      <c r="B2790" t="str">
        <f>"038554"</f>
        <v>038554</v>
      </c>
      <c r="C2790" t="s">
        <v>8871</v>
      </c>
      <c r="D2790" t="s">
        <v>3398</v>
      </c>
      <c r="E2790" t="s">
        <v>3395</v>
      </c>
      <c r="F2790" t="s">
        <v>3396</v>
      </c>
      <c r="G2790" t="s">
        <v>383</v>
      </c>
      <c r="H2790" t="s">
        <v>1979</v>
      </c>
      <c r="I2790" t="s">
        <v>1980</v>
      </c>
      <c r="J2790" t="s">
        <v>1981</v>
      </c>
      <c r="K2790" t="s">
        <v>55</v>
      </c>
      <c r="L2790" t="s">
        <v>1982</v>
      </c>
      <c r="M2790" t="s">
        <v>57</v>
      </c>
      <c r="N2790" t="str">
        <f>"048389"</f>
        <v>048389</v>
      </c>
      <c r="O2790" t="s">
        <v>1978</v>
      </c>
      <c r="P2790" t="s">
        <v>68</v>
      </c>
      <c r="Q2790">
        <v>26.8</v>
      </c>
      <c r="R2790">
        <v>5</v>
      </c>
      <c r="S2790" t="s">
        <v>77</v>
      </c>
    </row>
    <row r="2791" spans="1:19" x14ac:dyDescent="0.35">
      <c r="A2791">
        <v>38562</v>
      </c>
      <c r="B2791" t="str">
        <f>"038562"</f>
        <v>038562</v>
      </c>
      <c r="C2791" t="s">
        <v>8872</v>
      </c>
      <c r="D2791" t="s">
        <v>3394</v>
      </c>
      <c r="E2791" t="s">
        <v>3395</v>
      </c>
      <c r="F2791" t="s">
        <v>3396</v>
      </c>
      <c r="G2791" t="s">
        <v>600</v>
      </c>
      <c r="H2791" t="s">
        <v>8873</v>
      </c>
      <c r="I2791" t="s">
        <v>8874</v>
      </c>
      <c r="J2791" t="s">
        <v>1348</v>
      </c>
      <c r="K2791" t="s">
        <v>55</v>
      </c>
      <c r="L2791" t="s">
        <v>3854</v>
      </c>
      <c r="M2791" t="s">
        <v>57</v>
      </c>
      <c r="N2791" t="str">
        <f>"043802"</f>
        <v>043802</v>
      </c>
      <c r="O2791" t="s">
        <v>3171</v>
      </c>
      <c r="P2791" t="s">
        <v>68</v>
      </c>
      <c r="Q2791">
        <v>100</v>
      </c>
      <c r="R2791">
        <v>68.3</v>
      </c>
      <c r="S2791" t="s">
        <v>60</v>
      </c>
    </row>
    <row r="2792" spans="1:19" x14ac:dyDescent="0.35">
      <c r="A2792">
        <v>38588</v>
      </c>
      <c r="B2792" t="str">
        <f>"038588"</f>
        <v>038588</v>
      </c>
      <c r="C2792" t="s">
        <v>8875</v>
      </c>
      <c r="D2792" t="s">
        <v>3398</v>
      </c>
      <c r="E2792" t="s">
        <v>3395</v>
      </c>
      <c r="F2792" t="s">
        <v>3396</v>
      </c>
      <c r="G2792" t="s">
        <v>543</v>
      </c>
      <c r="H2792" t="s">
        <v>8876</v>
      </c>
      <c r="I2792" t="s">
        <v>8877</v>
      </c>
      <c r="J2792" t="s">
        <v>3204</v>
      </c>
      <c r="K2792" t="s">
        <v>55</v>
      </c>
      <c r="L2792" t="s">
        <v>3205</v>
      </c>
      <c r="M2792" t="s">
        <v>57</v>
      </c>
      <c r="N2792" t="str">
        <f>"045054"</f>
        <v>045054</v>
      </c>
      <c r="O2792" t="s">
        <v>3201</v>
      </c>
      <c r="P2792" t="s">
        <v>68</v>
      </c>
      <c r="Q2792">
        <v>53.5</v>
      </c>
      <c r="R2792">
        <v>44.5</v>
      </c>
      <c r="S2792" t="s">
        <v>180</v>
      </c>
    </row>
    <row r="2793" spans="1:19" x14ac:dyDescent="0.35">
      <c r="A2793">
        <v>38596</v>
      </c>
      <c r="B2793" t="str">
        <f>"038596"</f>
        <v>038596</v>
      </c>
      <c r="C2793" t="s">
        <v>8878</v>
      </c>
      <c r="D2793" t="s">
        <v>3400</v>
      </c>
      <c r="E2793" t="s">
        <v>3395</v>
      </c>
      <c r="F2793" t="s">
        <v>3396</v>
      </c>
      <c r="G2793" t="s">
        <v>543</v>
      </c>
      <c r="H2793" t="s">
        <v>8879</v>
      </c>
      <c r="I2793" t="s">
        <v>8880</v>
      </c>
      <c r="J2793" t="s">
        <v>3204</v>
      </c>
      <c r="K2793" t="s">
        <v>55</v>
      </c>
      <c r="L2793" t="s">
        <v>3205</v>
      </c>
      <c r="M2793" t="s">
        <v>57</v>
      </c>
      <c r="N2793" t="str">
        <f>"045054"</f>
        <v>045054</v>
      </c>
      <c r="O2793" t="s">
        <v>3201</v>
      </c>
      <c r="P2793" t="s">
        <v>68</v>
      </c>
      <c r="Q2793">
        <v>63.4</v>
      </c>
      <c r="R2793">
        <v>45.3</v>
      </c>
      <c r="S2793" t="s">
        <v>180</v>
      </c>
    </row>
    <row r="2794" spans="1:19" x14ac:dyDescent="0.35">
      <c r="A2794">
        <v>38604</v>
      </c>
      <c r="B2794" t="str">
        <f>"038604"</f>
        <v>038604</v>
      </c>
      <c r="C2794" t="s">
        <v>8881</v>
      </c>
      <c r="D2794" t="s">
        <v>3394</v>
      </c>
      <c r="E2794" t="s">
        <v>3395</v>
      </c>
      <c r="F2794" t="s">
        <v>3396</v>
      </c>
      <c r="G2794" t="s">
        <v>63</v>
      </c>
      <c r="H2794" t="s">
        <v>8882</v>
      </c>
      <c r="I2794" t="s">
        <v>8883</v>
      </c>
      <c r="J2794" t="s">
        <v>285</v>
      </c>
      <c r="K2794" t="s">
        <v>55</v>
      </c>
      <c r="L2794" t="s">
        <v>3798</v>
      </c>
      <c r="M2794" t="s">
        <v>57</v>
      </c>
      <c r="N2794" t="str">
        <f>"043786"</f>
        <v>043786</v>
      </c>
      <c r="O2794" t="s">
        <v>1340</v>
      </c>
      <c r="P2794" t="s">
        <v>68</v>
      </c>
      <c r="Q2794">
        <v>100</v>
      </c>
      <c r="R2794">
        <v>51.4</v>
      </c>
      <c r="S2794" t="s">
        <v>69</v>
      </c>
    </row>
    <row r="2795" spans="1:19" x14ac:dyDescent="0.35">
      <c r="A2795">
        <v>38646</v>
      </c>
      <c r="B2795" t="str">
        <f>"038646"</f>
        <v>038646</v>
      </c>
      <c r="C2795" t="s">
        <v>8884</v>
      </c>
      <c r="D2795" t="s">
        <v>3394</v>
      </c>
      <c r="E2795" t="s">
        <v>3395</v>
      </c>
      <c r="F2795" t="s">
        <v>3396</v>
      </c>
      <c r="G2795" t="s">
        <v>600</v>
      </c>
      <c r="H2795" t="s">
        <v>8885</v>
      </c>
      <c r="I2795" t="s">
        <v>8886</v>
      </c>
      <c r="J2795" t="s">
        <v>1348</v>
      </c>
      <c r="K2795" t="s">
        <v>55</v>
      </c>
      <c r="L2795" t="s">
        <v>3854</v>
      </c>
      <c r="M2795" t="s">
        <v>57</v>
      </c>
      <c r="N2795" t="str">
        <f>"044800"</f>
        <v>044800</v>
      </c>
      <c r="O2795" t="s">
        <v>1133</v>
      </c>
      <c r="P2795" t="s">
        <v>68</v>
      </c>
      <c r="Q2795">
        <v>84.7</v>
      </c>
      <c r="R2795">
        <v>75.099999999999994</v>
      </c>
      <c r="S2795" t="s">
        <v>60</v>
      </c>
    </row>
    <row r="2796" spans="1:19" x14ac:dyDescent="0.35">
      <c r="A2796">
        <v>38653</v>
      </c>
      <c r="B2796" t="str">
        <f>"038653"</f>
        <v>038653</v>
      </c>
      <c r="C2796" t="s">
        <v>8887</v>
      </c>
      <c r="D2796" t="s">
        <v>3398</v>
      </c>
      <c r="E2796" t="s">
        <v>3395</v>
      </c>
      <c r="F2796" t="s">
        <v>3396</v>
      </c>
      <c r="G2796" t="s">
        <v>511</v>
      </c>
      <c r="H2796" t="s">
        <v>8888</v>
      </c>
      <c r="I2796" t="s">
        <v>8889</v>
      </c>
      <c r="J2796" t="s">
        <v>2044</v>
      </c>
      <c r="K2796" t="s">
        <v>55</v>
      </c>
      <c r="L2796" t="s">
        <v>2045</v>
      </c>
      <c r="M2796" t="s">
        <v>57</v>
      </c>
      <c r="N2796" t="str">
        <f>"047225"</f>
        <v>047225</v>
      </c>
      <c r="O2796" t="s">
        <v>2041</v>
      </c>
      <c r="P2796" t="s">
        <v>68</v>
      </c>
      <c r="Q2796">
        <v>10.199999999999999</v>
      </c>
      <c r="R2796">
        <v>9</v>
      </c>
      <c r="S2796" t="s">
        <v>69</v>
      </c>
    </row>
    <row r="2797" spans="1:19" x14ac:dyDescent="0.35">
      <c r="A2797">
        <v>38661</v>
      </c>
      <c r="B2797" t="str">
        <f>"038661"</f>
        <v>038661</v>
      </c>
      <c r="C2797" t="s">
        <v>8890</v>
      </c>
      <c r="D2797" t="s">
        <v>3400</v>
      </c>
      <c r="E2797" t="s">
        <v>3395</v>
      </c>
      <c r="F2797" t="s">
        <v>3396</v>
      </c>
      <c r="G2797" t="s">
        <v>511</v>
      </c>
      <c r="H2797" t="s">
        <v>8891</v>
      </c>
      <c r="I2797" t="s">
        <v>8892</v>
      </c>
      <c r="J2797" t="s">
        <v>2044</v>
      </c>
      <c r="K2797" t="s">
        <v>55</v>
      </c>
      <c r="L2797" t="s">
        <v>2045</v>
      </c>
      <c r="M2797" t="s">
        <v>57</v>
      </c>
      <c r="N2797" t="str">
        <f>"047225"</f>
        <v>047225</v>
      </c>
      <c r="O2797" t="s">
        <v>2041</v>
      </c>
      <c r="P2797" t="s">
        <v>68</v>
      </c>
      <c r="Q2797">
        <v>11.1</v>
      </c>
      <c r="R2797">
        <v>9.0999999999999943</v>
      </c>
      <c r="S2797" t="s">
        <v>69</v>
      </c>
    </row>
    <row r="2798" spans="1:19" x14ac:dyDescent="0.35">
      <c r="A2798">
        <v>38679</v>
      </c>
      <c r="B2798" t="str">
        <f>"038679"</f>
        <v>038679</v>
      </c>
      <c r="C2798" t="s">
        <v>8893</v>
      </c>
      <c r="D2798" t="s">
        <v>3400</v>
      </c>
      <c r="E2798" t="s">
        <v>3395</v>
      </c>
      <c r="F2798" t="s">
        <v>3396</v>
      </c>
      <c r="G2798" t="s">
        <v>63</v>
      </c>
      <c r="H2798" t="s">
        <v>8894</v>
      </c>
      <c r="I2798" t="s">
        <v>8895</v>
      </c>
      <c r="J2798" t="s">
        <v>1236</v>
      </c>
      <c r="K2798" t="s">
        <v>55</v>
      </c>
      <c r="L2798" t="s">
        <v>1237</v>
      </c>
      <c r="M2798" t="s">
        <v>57</v>
      </c>
      <c r="N2798" t="str">
        <f>"043901"</f>
        <v>043901</v>
      </c>
      <c r="O2798" t="s">
        <v>3351</v>
      </c>
      <c r="P2798" t="s">
        <v>68</v>
      </c>
      <c r="Q2798">
        <v>100</v>
      </c>
      <c r="R2798">
        <v>100</v>
      </c>
      <c r="S2798" t="s">
        <v>69</v>
      </c>
    </row>
    <row r="2799" spans="1:19" x14ac:dyDescent="0.35">
      <c r="A2799">
        <v>38687</v>
      </c>
      <c r="B2799" t="str">
        <f>"038687"</f>
        <v>038687</v>
      </c>
      <c r="C2799" t="s">
        <v>8896</v>
      </c>
      <c r="D2799" t="s">
        <v>3394</v>
      </c>
      <c r="E2799" t="s">
        <v>3395</v>
      </c>
      <c r="F2799" t="s">
        <v>3396</v>
      </c>
      <c r="G2799" t="s">
        <v>187</v>
      </c>
      <c r="H2799" t="s">
        <v>8897</v>
      </c>
      <c r="I2799" t="s">
        <v>8898</v>
      </c>
      <c r="J2799" t="s">
        <v>2020</v>
      </c>
      <c r="K2799" t="s">
        <v>55</v>
      </c>
      <c r="L2799" t="s">
        <v>2021</v>
      </c>
      <c r="M2799" t="s">
        <v>57</v>
      </c>
      <c r="N2799" t="str">
        <f>"045591"</f>
        <v>045591</v>
      </c>
      <c r="O2799" t="s">
        <v>2017</v>
      </c>
      <c r="P2799" t="s">
        <v>68</v>
      </c>
      <c r="Q2799">
        <v>44.8</v>
      </c>
      <c r="R2799">
        <v>6.5999999999999943</v>
      </c>
      <c r="S2799" t="s">
        <v>77</v>
      </c>
    </row>
    <row r="2800" spans="1:19" x14ac:dyDescent="0.35">
      <c r="A2800">
        <v>38695</v>
      </c>
      <c r="B2800" t="str">
        <f>"038695"</f>
        <v>038695</v>
      </c>
      <c r="C2800" t="s">
        <v>8899</v>
      </c>
      <c r="D2800" t="s">
        <v>3398</v>
      </c>
      <c r="E2800" t="s">
        <v>3395</v>
      </c>
      <c r="F2800" t="s">
        <v>3396</v>
      </c>
      <c r="G2800" t="s">
        <v>712</v>
      </c>
      <c r="H2800" t="s">
        <v>8900</v>
      </c>
      <c r="I2800" t="s">
        <v>8901</v>
      </c>
      <c r="J2800" t="s">
        <v>715</v>
      </c>
      <c r="K2800" t="s">
        <v>55</v>
      </c>
      <c r="L2800" t="s">
        <v>716</v>
      </c>
      <c r="M2800" t="s">
        <v>57</v>
      </c>
      <c r="N2800" t="str">
        <f>"047696"</f>
        <v>047696</v>
      </c>
      <c r="O2800" t="s">
        <v>711</v>
      </c>
      <c r="P2800" t="s">
        <v>68</v>
      </c>
      <c r="Q2800">
        <v>36.200000000000003</v>
      </c>
      <c r="R2800">
        <v>5.4000000000000057</v>
      </c>
      <c r="S2800" t="s">
        <v>77</v>
      </c>
    </row>
    <row r="2801" spans="1:19" x14ac:dyDescent="0.35">
      <c r="A2801">
        <v>38729</v>
      </c>
      <c r="B2801" t="str">
        <f>"038729"</f>
        <v>038729</v>
      </c>
      <c r="C2801" t="s">
        <v>8902</v>
      </c>
      <c r="D2801" t="s">
        <v>3400</v>
      </c>
      <c r="E2801" t="s">
        <v>3395</v>
      </c>
      <c r="F2801" t="s">
        <v>3396</v>
      </c>
      <c r="G2801" t="s">
        <v>657</v>
      </c>
      <c r="H2801" t="s">
        <v>8903</v>
      </c>
      <c r="I2801" t="s">
        <v>8904</v>
      </c>
      <c r="J2801" t="s">
        <v>1417</v>
      </c>
      <c r="K2801" t="s">
        <v>55</v>
      </c>
      <c r="L2801" t="s">
        <v>1418</v>
      </c>
      <c r="M2801" t="s">
        <v>57</v>
      </c>
      <c r="N2801" t="str">
        <f>"048256"</f>
        <v>048256</v>
      </c>
      <c r="O2801" t="s">
        <v>1414</v>
      </c>
      <c r="P2801" t="s">
        <v>68</v>
      </c>
      <c r="Q2801">
        <v>41.5</v>
      </c>
      <c r="R2801">
        <v>8.5</v>
      </c>
      <c r="S2801" t="s">
        <v>60</v>
      </c>
    </row>
    <row r="2802" spans="1:19" x14ac:dyDescent="0.35">
      <c r="A2802">
        <v>38737</v>
      </c>
      <c r="B2802" t="str">
        <f>"038737"</f>
        <v>038737</v>
      </c>
      <c r="C2802" t="s">
        <v>8905</v>
      </c>
      <c r="D2802" t="s">
        <v>3398</v>
      </c>
      <c r="E2802" t="s">
        <v>3395</v>
      </c>
      <c r="F2802" t="s">
        <v>3396</v>
      </c>
      <c r="G2802" t="s">
        <v>657</v>
      </c>
      <c r="H2802" t="s">
        <v>8906</v>
      </c>
      <c r="I2802" t="s">
        <v>8907</v>
      </c>
      <c r="J2802" t="s">
        <v>1417</v>
      </c>
      <c r="K2802" t="s">
        <v>55</v>
      </c>
      <c r="L2802" t="s">
        <v>1418</v>
      </c>
      <c r="M2802" t="s">
        <v>57</v>
      </c>
      <c r="N2802" t="str">
        <f>"048256"</f>
        <v>048256</v>
      </c>
      <c r="O2802" t="s">
        <v>1414</v>
      </c>
      <c r="P2802" t="s">
        <v>68</v>
      </c>
      <c r="Q2802">
        <v>27.6</v>
      </c>
      <c r="R2802">
        <v>5.2000000000000028</v>
      </c>
      <c r="S2802" t="s">
        <v>60</v>
      </c>
    </row>
    <row r="2803" spans="1:19" x14ac:dyDescent="0.35">
      <c r="A2803">
        <v>38752</v>
      </c>
      <c r="B2803" t="str">
        <f>"038752"</f>
        <v>038752</v>
      </c>
      <c r="C2803" t="s">
        <v>8908</v>
      </c>
      <c r="D2803" t="s">
        <v>3394</v>
      </c>
      <c r="E2803" t="s">
        <v>3395</v>
      </c>
      <c r="F2803" t="s">
        <v>3396</v>
      </c>
      <c r="G2803" t="s">
        <v>206</v>
      </c>
      <c r="H2803" t="s">
        <v>2481</v>
      </c>
      <c r="I2803" t="s">
        <v>2482</v>
      </c>
      <c r="J2803" t="s">
        <v>2483</v>
      </c>
      <c r="K2803" t="s">
        <v>55</v>
      </c>
      <c r="L2803" t="s">
        <v>2484</v>
      </c>
      <c r="M2803" t="s">
        <v>57</v>
      </c>
      <c r="N2803" t="str">
        <f>"046219"</f>
        <v>046219</v>
      </c>
      <c r="O2803" t="s">
        <v>2480</v>
      </c>
      <c r="P2803" t="s">
        <v>68</v>
      </c>
      <c r="Q2803">
        <v>23.3</v>
      </c>
      <c r="R2803">
        <v>6.0999999999999943</v>
      </c>
      <c r="S2803" t="s">
        <v>180</v>
      </c>
    </row>
    <row r="2804" spans="1:19" x14ac:dyDescent="0.35">
      <c r="A2804">
        <v>38760</v>
      </c>
      <c r="B2804" t="str">
        <f>"038760"</f>
        <v>038760</v>
      </c>
      <c r="C2804" t="s">
        <v>8909</v>
      </c>
      <c r="D2804" t="s">
        <v>3398</v>
      </c>
      <c r="E2804" t="s">
        <v>3395</v>
      </c>
      <c r="F2804" t="s">
        <v>3396</v>
      </c>
      <c r="G2804" t="s">
        <v>206</v>
      </c>
      <c r="H2804" t="s">
        <v>2481</v>
      </c>
      <c r="I2804" t="s">
        <v>2482</v>
      </c>
      <c r="J2804" t="s">
        <v>2483</v>
      </c>
      <c r="K2804" t="s">
        <v>55</v>
      </c>
      <c r="L2804" t="s">
        <v>2484</v>
      </c>
      <c r="M2804" t="s">
        <v>57</v>
      </c>
      <c r="N2804" t="str">
        <f>"046219"</f>
        <v>046219</v>
      </c>
      <c r="O2804" t="s">
        <v>2480</v>
      </c>
      <c r="P2804" t="s">
        <v>68</v>
      </c>
      <c r="Q2804">
        <v>19.399999999999999</v>
      </c>
      <c r="R2804">
        <v>6.5</v>
      </c>
      <c r="S2804" t="s">
        <v>180</v>
      </c>
    </row>
    <row r="2805" spans="1:19" x14ac:dyDescent="0.35">
      <c r="A2805">
        <v>38786</v>
      </c>
      <c r="B2805" t="str">
        <f>"038786"</f>
        <v>038786</v>
      </c>
      <c r="C2805" t="s">
        <v>8910</v>
      </c>
      <c r="D2805" t="s">
        <v>3394</v>
      </c>
      <c r="E2805" t="s">
        <v>3395</v>
      </c>
      <c r="F2805" t="s">
        <v>3396</v>
      </c>
      <c r="G2805" t="s">
        <v>295</v>
      </c>
      <c r="H2805" t="s">
        <v>8911</v>
      </c>
      <c r="I2805" t="s">
        <v>8912</v>
      </c>
      <c r="J2805" t="s">
        <v>1764</v>
      </c>
      <c r="K2805" t="s">
        <v>55</v>
      </c>
      <c r="L2805" t="s">
        <v>1765</v>
      </c>
      <c r="M2805" t="s">
        <v>57</v>
      </c>
      <c r="N2805" t="str">
        <f>"044685"</f>
        <v>044685</v>
      </c>
      <c r="O2805" t="s">
        <v>2751</v>
      </c>
      <c r="P2805" t="s">
        <v>68</v>
      </c>
      <c r="Q2805">
        <v>100</v>
      </c>
      <c r="R2805">
        <v>29.900000000000006</v>
      </c>
      <c r="S2805" t="s">
        <v>77</v>
      </c>
    </row>
    <row r="2806" spans="1:19" x14ac:dyDescent="0.35">
      <c r="A2806">
        <v>38828</v>
      </c>
      <c r="B2806" t="str">
        <f>"038828"</f>
        <v>038828</v>
      </c>
      <c r="C2806" t="s">
        <v>8913</v>
      </c>
      <c r="D2806" t="s">
        <v>3394</v>
      </c>
      <c r="E2806" t="s">
        <v>3395</v>
      </c>
      <c r="F2806" t="s">
        <v>3396</v>
      </c>
      <c r="G2806" t="s">
        <v>600</v>
      </c>
      <c r="H2806" t="s">
        <v>8914</v>
      </c>
      <c r="I2806" t="s">
        <v>8915</v>
      </c>
      <c r="J2806" t="s">
        <v>1348</v>
      </c>
      <c r="K2806" t="s">
        <v>55</v>
      </c>
      <c r="L2806" t="s">
        <v>5209</v>
      </c>
      <c r="M2806" t="s">
        <v>57</v>
      </c>
      <c r="N2806" t="str">
        <f>"043802"</f>
        <v>043802</v>
      </c>
      <c r="O2806" t="s">
        <v>3171</v>
      </c>
      <c r="P2806" t="s">
        <v>68</v>
      </c>
      <c r="Q2806">
        <v>100</v>
      </c>
      <c r="R2806">
        <v>63.7</v>
      </c>
      <c r="S2806" t="s">
        <v>60</v>
      </c>
    </row>
    <row r="2807" spans="1:19" x14ac:dyDescent="0.35">
      <c r="A2807">
        <v>38836</v>
      </c>
      <c r="B2807" t="str">
        <f>"038836"</f>
        <v>038836</v>
      </c>
      <c r="C2807" t="s">
        <v>8916</v>
      </c>
      <c r="D2807" t="s">
        <v>3398</v>
      </c>
      <c r="E2807" t="s">
        <v>3395</v>
      </c>
      <c r="F2807" t="s">
        <v>3396</v>
      </c>
      <c r="G2807" t="s">
        <v>674</v>
      </c>
      <c r="H2807" t="s">
        <v>8917</v>
      </c>
      <c r="I2807" t="s">
        <v>8918</v>
      </c>
      <c r="J2807" t="s">
        <v>927</v>
      </c>
      <c r="K2807" t="s">
        <v>55</v>
      </c>
      <c r="L2807" t="s">
        <v>928</v>
      </c>
      <c r="M2807" t="s">
        <v>57</v>
      </c>
      <c r="N2807" t="str">
        <f>"048884"</f>
        <v>048884</v>
      </c>
      <c r="O2807" t="s">
        <v>1698</v>
      </c>
      <c r="P2807" t="s">
        <v>68</v>
      </c>
      <c r="Q2807">
        <v>35.9</v>
      </c>
      <c r="R2807">
        <v>10.299999999999997</v>
      </c>
      <c r="S2807" t="s">
        <v>130</v>
      </c>
    </row>
    <row r="2808" spans="1:19" x14ac:dyDescent="0.35">
      <c r="A2808">
        <v>38844</v>
      </c>
      <c r="B2808" t="str">
        <f>"038844"</f>
        <v>038844</v>
      </c>
      <c r="C2808" t="s">
        <v>8919</v>
      </c>
      <c r="D2808" t="s">
        <v>3400</v>
      </c>
      <c r="E2808" t="s">
        <v>3395</v>
      </c>
      <c r="F2808" t="s">
        <v>3396</v>
      </c>
      <c r="G2808" t="s">
        <v>536</v>
      </c>
      <c r="H2808" t="s">
        <v>8920</v>
      </c>
      <c r="I2808" t="s">
        <v>8921</v>
      </c>
      <c r="J2808" t="s">
        <v>2698</v>
      </c>
      <c r="K2808" t="s">
        <v>55</v>
      </c>
      <c r="L2808" t="s">
        <v>2699</v>
      </c>
      <c r="M2808" t="s">
        <v>57</v>
      </c>
      <c r="N2808" t="str">
        <f>"043927"</f>
        <v>043927</v>
      </c>
      <c r="O2808" t="s">
        <v>2695</v>
      </c>
      <c r="P2808" t="s">
        <v>68</v>
      </c>
      <c r="Q2808">
        <v>44.4</v>
      </c>
      <c r="R2808">
        <v>6.2999999999999972</v>
      </c>
      <c r="S2808" t="s">
        <v>77</v>
      </c>
    </row>
    <row r="2809" spans="1:19" x14ac:dyDescent="0.35">
      <c r="A2809">
        <v>38851</v>
      </c>
      <c r="B2809" t="str">
        <f>"038851"</f>
        <v>038851</v>
      </c>
      <c r="C2809" t="s">
        <v>8922</v>
      </c>
      <c r="D2809" t="s">
        <v>3394</v>
      </c>
      <c r="E2809" t="s">
        <v>3395</v>
      </c>
      <c r="F2809" t="s">
        <v>3396</v>
      </c>
      <c r="G2809" t="s">
        <v>295</v>
      </c>
      <c r="H2809" t="s">
        <v>8923</v>
      </c>
      <c r="I2809" t="s">
        <v>8924</v>
      </c>
      <c r="J2809" t="s">
        <v>1764</v>
      </c>
      <c r="K2809" t="s">
        <v>55</v>
      </c>
      <c r="L2809" t="s">
        <v>1765</v>
      </c>
      <c r="M2809" t="s">
        <v>57</v>
      </c>
      <c r="N2809" t="str">
        <f>"044685"</f>
        <v>044685</v>
      </c>
      <c r="O2809" t="s">
        <v>2751</v>
      </c>
      <c r="P2809" t="s">
        <v>68</v>
      </c>
      <c r="Q2809">
        <v>100</v>
      </c>
      <c r="R2809">
        <v>31.599999999999994</v>
      </c>
      <c r="S2809" t="s">
        <v>77</v>
      </c>
    </row>
    <row r="2810" spans="1:19" x14ac:dyDescent="0.35">
      <c r="A2810">
        <v>38885</v>
      </c>
      <c r="B2810" t="str">
        <f>"038885"</f>
        <v>038885</v>
      </c>
      <c r="C2810" t="s">
        <v>8925</v>
      </c>
      <c r="D2810" t="s">
        <v>3394</v>
      </c>
      <c r="E2810" t="s">
        <v>3395</v>
      </c>
      <c r="F2810" t="s">
        <v>3396</v>
      </c>
      <c r="G2810" t="s">
        <v>621</v>
      </c>
      <c r="H2810" t="s">
        <v>8926</v>
      </c>
      <c r="I2810" t="s">
        <v>8927</v>
      </c>
      <c r="J2810" t="s">
        <v>624</v>
      </c>
      <c r="K2810" t="s">
        <v>55</v>
      </c>
      <c r="L2810" t="s">
        <v>625</v>
      </c>
      <c r="M2810" t="s">
        <v>57</v>
      </c>
      <c r="N2810" t="str">
        <f>"061903"</f>
        <v>061903</v>
      </c>
      <c r="O2810" t="s">
        <v>620</v>
      </c>
      <c r="P2810" t="s">
        <v>68</v>
      </c>
      <c r="Q2810">
        <v>62.1</v>
      </c>
      <c r="R2810">
        <v>3.5999999999999943</v>
      </c>
      <c r="S2810" t="s">
        <v>130</v>
      </c>
    </row>
    <row r="2811" spans="1:19" x14ac:dyDescent="0.35">
      <c r="A2811">
        <v>38893</v>
      </c>
      <c r="B2811" t="str">
        <f>"038893"</f>
        <v>038893</v>
      </c>
      <c r="C2811" t="s">
        <v>8928</v>
      </c>
      <c r="D2811" t="s">
        <v>3398</v>
      </c>
      <c r="E2811" t="s">
        <v>3395</v>
      </c>
      <c r="F2811" t="s">
        <v>3396</v>
      </c>
      <c r="G2811" t="s">
        <v>621</v>
      </c>
      <c r="H2811" t="s">
        <v>8929</v>
      </c>
      <c r="I2811" t="s">
        <v>8930</v>
      </c>
      <c r="J2811" t="s">
        <v>624</v>
      </c>
      <c r="K2811" t="s">
        <v>55</v>
      </c>
      <c r="L2811" t="s">
        <v>625</v>
      </c>
      <c r="M2811" t="s">
        <v>57</v>
      </c>
      <c r="N2811" t="str">
        <f>"061903"</f>
        <v>061903</v>
      </c>
      <c r="O2811" t="s">
        <v>620</v>
      </c>
      <c r="P2811" t="s">
        <v>68</v>
      </c>
      <c r="Q2811">
        <v>63</v>
      </c>
      <c r="R2811">
        <v>3.2000000000000028</v>
      </c>
      <c r="S2811" t="s">
        <v>130</v>
      </c>
    </row>
    <row r="2812" spans="1:19" x14ac:dyDescent="0.35">
      <c r="A2812">
        <v>38901</v>
      </c>
      <c r="B2812" t="str">
        <f>"038901"</f>
        <v>038901</v>
      </c>
      <c r="C2812" t="s">
        <v>5859</v>
      </c>
      <c r="D2812" t="s">
        <v>3394</v>
      </c>
      <c r="E2812" t="s">
        <v>3395</v>
      </c>
      <c r="F2812" t="s">
        <v>3396</v>
      </c>
      <c r="G2812" t="s">
        <v>1118</v>
      </c>
      <c r="H2812" t="s">
        <v>2150</v>
      </c>
      <c r="I2812" t="s">
        <v>2151</v>
      </c>
      <c r="J2812" t="s">
        <v>2152</v>
      </c>
      <c r="K2812" t="s">
        <v>55</v>
      </c>
      <c r="L2812" t="s">
        <v>2153</v>
      </c>
      <c r="M2812" t="s">
        <v>57</v>
      </c>
      <c r="N2812" t="str">
        <f>"050633"</f>
        <v>050633</v>
      </c>
      <c r="O2812" t="s">
        <v>2149</v>
      </c>
      <c r="P2812" t="s">
        <v>68</v>
      </c>
      <c r="Q2812">
        <v>46.6</v>
      </c>
      <c r="R2812">
        <v>11.299999999999997</v>
      </c>
      <c r="S2812" t="s">
        <v>156</v>
      </c>
    </row>
    <row r="2813" spans="1:19" x14ac:dyDescent="0.35">
      <c r="A2813">
        <v>38927</v>
      </c>
      <c r="B2813" t="str">
        <f>"038927"</f>
        <v>038927</v>
      </c>
      <c r="C2813" t="s">
        <v>8931</v>
      </c>
      <c r="D2813" t="s">
        <v>3394</v>
      </c>
      <c r="E2813" t="s">
        <v>3395</v>
      </c>
      <c r="F2813" t="s">
        <v>3396</v>
      </c>
      <c r="G2813" t="s">
        <v>63</v>
      </c>
      <c r="H2813" t="s">
        <v>8932</v>
      </c>
      <c r="I2813" t="s">
        <v>8933</v>
      </c>
      <c r="J2813" t="s">
        <v>285</v>
      </c>
      <c r="K2813" t="s">
        <v>55</v>
      </c>
      <c r="L2813" t="s">
        <v>5437</v>
      </c>
      <c r="M2813" t="s">
        <v>57</v>
      </c>
      <c r="N2813" t="str">
        <f>"043786"</f>
        <v>043786</v>
      </c>
      <c r="O2813" t="s">
        <v>1340</v>
      </c>
      <c r="P2813" t="s">
        <v>68</v>
      </c>
      <c r="Q2813">
        <v>100</v>
      </c>
      <c r="R2813">
        <v>100</v>
      </c>
      <c r="S2813" t="s">
        <v>69</v>
      </c>
    </row>
    <row r="2814" spans="1:19" x14ac:dyDescent="0.35">
      <c r="A2814">
        <v>38935</v>
      </c>
      <c r="B2814" t="str">
        <f>"038935"</f>
        <v>038935</v>
      </c>
      <c r="C2814" t="s">
        <v>8934</v>
      </c>
      <c r="D2814" t="s">
        <v>3398</v>
      </c>
      <c r="E2814" t="s">
        <v>3395</v>
      </c>
      <c r="F2814" t="s">
        <v>3396</v>
      </c>
      <c r="G2814" t="s">
        <v>406</v>
      </c>
      <c r="H2814" t="s">
        <v>8935</v>
      </c>
      <c r="I2814" t="s">
        <v>8936</v>
      </c>
      <c r="J2814" t="s">
        <v>465</v>
      </c>
      <c r="K2814" t="s">
        <v>55</v>
      </c>
      <c r="L2814" t="s">
        <v>466</v>
      </c>
      <c r="M2814" t="s">
        <v>57</v>
      </c>
      <c r="N2814" t="str">
        <f>"044974"</f>
        <v>044974</v>
      </c>
      <c r="O2814" t="s">
        <v>462</v>
      </c>
      <c r="P2814" t="s">
        <v>68</v>
      </c>
      <c r="Q2814">
        <v>17.899999999999999</v>
      </c>
      <c r="R2814">
        <v>9.4000000000000057</v>
      </c>
      <c r="S2814" t="s">
        <v>77</v>
      </c>
    </row>
    <row r="2815" spans="1:19" x14ac:dyDescent="0.35">
      <c r="A2815">
        <v>38950</v>
      </c>
      <c r="B2815" t="str">
        <f>"038950"</f>
        <v>038950</v>
      </c>
      <c r="C2815" t="s">
        <v>8937</v>
      </c>
      <c r="D2815" t="s">
        <v>3398</v>
      </c>
      <c r="E2815" t="s">
        <v>3395</v>
      </c>
      <c r="F2815" t="s">
        <v>3396</v>
      </c>
      <c r="G2815" t="s">
        <v>200</v>
      </c>
      <c r="H2815" t="s">
        <v>8938</v>
      </c>
      <c r="I2815" t="s">
        <v>8939</v>
      </c>
      <c r="J2815" t="s">
        <v>304</v>
      </c>
      <c r="K2815" t="s">
        <v>55</v>
      </c>
      <c r="L2815" t="s">
        <v>3858</v>
      </c>
      <c r="M2815" t="s">
        <v>57</v>
      </c>
      <c r="N2815" t="str">
        <f>"044909"</f>
        <v>044909</v>
      </c>
      <c r="O2815" t="s">
        <v>3318</v>
      </c>
      <c r="P2815" t="s">
        <v>68</v>
      </c>
      <c r="Q2815">
        <v>99.7</v>
      </c>
      <c r="R2815">
        <v>63.6</v>
      </c>
      <c r="S2815" t="s">
        <v>156</v>
      </c>
    </row>
    <row r="2816" spans="1:19" x14ac:dyDescent="0.35">
      <c r="A2816">
        <v>38984</v>
      </c>
      <c r="B2816" t="str">
        <f>"038984"</f>
        <v>038984</v>
      </c>
      <c r="C2816" t="s">
        <v>8940</v>
      </c>
      <c r="D2816" t="s">
        <v>3394</v>
      </c>
      <c r="E2816" t="s">
        <v>3395</v>
      </c>
      <c r="F2816" t="s">
        <v>3396</v>
      </c>
      <c r="G2816" t="s">
        <v>200</v>
      </c>
      <c r="H2816" t="s">
        <v>8941</v>
      </c>
      <c r="I2816" t="s">
        <v>8942</v>
      </c>
      <c r="J2816" t="s">
        <v>304</v>
      </c>
      <c r="K2816" t="s">
        <v>55</v>
      </c>
      <c r="L2816" t="s">
        <v>3552</v>
      </c>
      <c r="M2816" t="s">
        <v>57</v>
      </c>
      <c r="N2816" t="str">
        <f>"044909"</f>
        <v>044909</v>
      </c>
      <c r="O2816" t="s">
        <v>3318</v>
      </c>
      <c r="P2816" t="s">
        <v>68</v>
      </c>
      <c r="Q2816">
        <v>100</v>
      </c>
      <c r="R2816">
        <v>76.3</v>
      </c>
      <c r="S2816" t="s">
        <v>156</v>
      </c>
    </row>
    <row r="2817" spans="1:19" x14ac:dyDescent="0.35">
      <c r="A2817">
        <v>38992</v>
      </c>
      <c r="B2817" t="str">
        <f>"038992"</f>
        <v>038992</v>
      </c>
      <c r="C2817" t="s">
        <v>8943</v>
      </c>
      <c r="D2817" t="s">
        <v>3394</v>
      </c>
      <c r="E2817" t="s">
        <v>3395</v>
      </c>
      <c r="F2817" t="s">
        <v>3396</v>
      </c>
      <c r="G2817" t="s">
        <v>312</v>
      </c>
      <c r="H2817" t="s">
        <v>8944</v>
      </c>
      <c r="I2817" t="s">
        <v>8945</v>
      </c>
      <c r="J2817" t="s">
        <v>312</v>
      </c>
      <c r="K2817" t="s">
        <v>55</v>
      </c>
      <c r="L2817" t="s">
        <v>315</v>
      </c>
      <c r="M2817" t="s">
        <v>57</v>
      </c>
      <c r="N2817" t="str">
        <f>"048447"</f>
        <v>048447</v>
      </c>
      <c r="O2817" t="s">
        <v>356</v>
      </c>
      <c r="P2817" t="s">
        <v>68</v>
      </c>
      <c r="Q2817">
        <v>29.3</v>
      </c>
      <c r="R2817">
        <v>11.099999999999994</v>
      </c>
      <c r="S2817" t="s">
        <v>156</v>
      </c>
    </row>
    <row r="2818" spans="1:19" x14ac:dyDescent="0.35">
      <c r="A2818">
        <v>39032</v>
      </c>
      <c r="B2818" t="str">
        <f>"039032"</f>
        <v>039032</v>
      </c>
      <c r="C2818" t="s">
        <v>8946</v>
      </c>
      <c r="D2818" t="s">
        <v>3394</v>
      </c>
      <c r="E2818" t="s">
        <v>3395</v>
      </c>
      <c r="F2818" t="s">
        <v>3396</v>
      </c>
      <c r="G2818" t="s">
        <v>295</v>
      </c>
      <c r="H2818" t="s">
        <v>8947</v>
      </c>
      <c r="I2818" t="s">
        <v>8948</v>
      </c>
      <c r="J2818" t="s">
        <v>1012</v>
      </c>
      <c r="K2818" t="s">
        <v>55</v>
      </c>
      <c r="L2818" t="s">
        <v>1013</v>
      </c>
      <c r="M2818" t="s">
        <v>57</v>
      </c>
      <c r="N2818" t="str">
        <f>"044164"</f>
        <v>044164</v>
      </c>
      <c r="O2818" t="s">
        <v>1009</v>
      </c>
      <c r="P2818" t="s">
        <v>68</v>
      </c>
      <c r="Q2818">
        <v>44.1</v>
      </c>
      <c r="R2818">
        <v>29.200000000000003</v>
      </c>
      <c r="S2818" t="s">
        <v>77</v>
      </c>
    </row>
    <row r="2819" spans="1:19" x14ac:dyDescent="0.35">
      <c r="A2819">
        <v>39040</v>
      </c>
      <c r="B2819" t="str">
        <f>"039040"</f>
        <v>039040</v>
      </c>
      <c r="C2819" t="s">
        <v>8949</v>
      </c>
      <c r="D2819" t="s">
        <v>3394</v>
      </c>
      <c r="E2819" t="s">
        <v>3395</v>
      </c>
      <c r="F2819" t="s">
        <v>3396</v>
      </c>
      <c r="G2819" t="s">
        <v>712</v>
      </c>
      <c r="H2819" t="s">
        <v>8950</v>
      </c>
      <c r="I2819" t="s">
        <v>8951</v>
      </c>
      <c r="J2819" t="s">
        <v>8952</v>
      </c>
      <c r="K2819" t="s">
        <v>55</v>
      </c>
      <c r="L2819" t="s">
        <v>8953</v>
      </c>
      <c r="M2819" t="s">
        <v>57</v>
      </c>
      <c r="N2819" t="str">
        <f>"047688"</f>
        <v>047688</v>
      </c>
      <c r="O2819" t="s">
        <v>2208</v>
      </c>
      <c r="P2819" t="s">
        <v>68</v>
      </c>
      <c r="Q2819">
        <v>16.899999999999999</v>
      </c>
      <c r="R2819">
        <v>5.4000000000000057</v>
      </c>
      <c r="S2819" t="s">
        <v>77</v>
      </c>
    </row>
    <row r="2820" spans="1:19" x14ac:dyDescent="0.35">
      <c r="A2820">
        <v>39057</v>
      </c>
      <c r="B2820" t="str">
        <f>"039057"</f>
        <v>039057</v>
      </c>
      <c r="C2820" t="s">
        <v>8954</v>
      </c>
      <c r="D2820" t="s">
        <v>3394</v>
      </c>
      <c r="E2820" t="s">
        <v>3395</v>
      </c>
      <c r="F2820" t="s">
        <v>3396</v>
      </c>
      <c r="G2820" t="s">
        <v>1567</v>
      </c>
      <c r="H2820" t="s">
        <v>8955</v>
      </c>
      <c r="I2820" t="s">
        <v>8956</v>
      </c>
      <c r="J2820" t="s">
        <v>3056</v>
      </c>
      <c r="K2820" t="s">
        <v>55</v>
      </c>
      <c r="L2820" t="s">
        <v>3057</v>
      </c>
      <c r="M2820" t="s">
        <v>57</v>
      </c>
      <c r="N2820" t="str">
        <f>"049098"</f>
        <v>049098</v>
      </c>
      <c r="O2820" t="s">
        <v>3053</v>
      </c>
      <c r="P2820" t="s">
        <v>68</v>
      </c>
      <c r="Q2820">
        <v>31.7</v>
      </c>
      <c r="R2820">
        <v>4.5999999999999943</v>
      </c>
      <c r="S2820" t="s">
        <v>60</v>
      </c>
    </row>
    <row r="2821" spans="1:19" x14ac:dyDescent="0.35">
      <c r="A2821">
        <v>39065</v>
      </c>
      <c r="B2821" t="str">
        <f>"039065"</f>
        <v>039065</v>
      </c>
      <c r="C2821" t="s">
        <v>8957</v>
      </c>
      <c r="D2821" t="s">
        <v>3394</v>
      </c>
      <c r="E2821" t="s">
        <v>3395</v>
      </c>
      <c r="F2821" t="s">
        <v>3396</v>
      </c>
      <c r="G2821" t="s">
        <v>92</v>
      </c>
      <c r="H2821" t="s">
        <v>93</v>
      </c>
      <c r="I2821" t="s">
        <v>94</v>
      </c>
      <c r="J2821" t="s">
        <v>95</v>
      </c>
      <c r="K2821" t="s">
        <v>55</v>
      </c>
      <c r="L2821" t="s">
        <v>96</v>
      </c>
      <c r="M2821" t="s">
        <v>57</v>
      </c>
      <c r="N2821" t="str">
        <f>"046904"</f>
        <v>046904</v>
      </c>
      <c r="O2821" t="s">
        <v>91</v>
      </c>
      <c r="P2821" t="s">
        <v>68</v>
      </c>
      <c r="Q2821">
        <v>46.6</v>
      </c>
      <c r="R2821">
        <v>6.7000000000000028</v>
      </c>
      <c r="S2821" t="s">
        <v>60</v>
      </c>
    </row>
    <row r="2822" spans="1:19" x14ac:dyDescent="0.35">
      <c r="A2822">
        <v>39073</v>
      </c>
      <c r="B2822" t="str">
        <f>"039073"</f>
        <v>039073</v>
      </c>
      <c r="C2822" t="s">
        <v>8958</v>
      </c>
      <c r="D2822" t="s">
        <v>3398</v>
      </c>
      <c r="E2822" t="s">
        <v>3395</v>
      </c>
      <c r="F2822" t="s">
        <v>3396</v>
      </c>
      <c r="G2822" t="s">
        <v>212</v>
      </c>
      <c r="H2822" t="s">
        <v>8959</v>
      </c>
      <c r="I2822" t="s">
        <v>8960</v>
      </c>
      <c r="J2822" t="s">
        <v>215</v>
      </c>
      <c r="K2822" t="s">
        <v>55</v>
      </c>
      <c r="L2822" t="s">
        <v>5876</v>
      </c>
      <c r="M2822" t="s">
        <v>57</v>
      </c>
      <c r="N2822" t="str">
        <f>"043752"</f>
        <v>043752</v>
      </c>
      <c r="O2822" t="s">
        <v>440</v>
      </c>
      <c r="P2822" t="s">
        <v>68</v>
      </c>
      <c r="Q2822">
        <v>15.4</v>
      </c>
      <c r="R2822">
        <v>41.3</v>
      </c>
      <c r="S2822" t="s">
        <v>217</v>
      </c>
    </row>
    <row r="2823" spans="1:19" x14ac:dyDescent="0.35">
      <c r="A2823">
        <v>39081</v>
      </c>
      <c r="B2823" t="str">
        <f>"039081"</f>
        <v>039081</v>
      </c>
      <c r="C2823" t="s">
        <v>8961</v>
      </c>
      <c r="D2823" t="s">
        <v>3398</v>
      </c>
      <c r="E2823" t="s">
        <v>3395</v>
      </c>
      <c r="F2823" t="s">
        <v>3396</v>
      </c>
      <c r="G2823" t="s">
        <v>92</v>
      </c>
      <c r="H2823" t="s">
        <v>93</v>
      </c>
      <c r="I2823" t="s">
        <v>94</v>
      </c>
      <c r="J2823" t="s">
        <v>95</v>
      </c>
      <c r="K2823" t="s">
        <v>55</v>
      </c>
      <c r="L2823" t="s">
        <v>96</v>
      </c>
      <c r="M2823" t="s">
        <v>57</v>
      </c>
      <c r="N2823" t="str">
        <f>"046904"</f>
        <v>046904</v>
      </c>
      <c r="O2823" t="s">
        <v>91</v>
      </c>
      <c r="P2823" t="s">
        <v>68</v>
      </c>
      <c r="Q2823">
        <v>38.4</v>
      </c>
      <c r="R2823">
        <v>4.4000000000000057</v>
      </c>
      <c r="S2823" t="s">
        <v>60</v>
      </c>
    </row>
    <row r="2824" spans="1:19" x14ac:dyDescent="0.35">
      <c r="A2824">
        <v>39099</v>
      </c>
      <c r="B2824" t="str">
        <f>"039099"</f>
        <v>039099</v>
      </c>
      <c r="C2824" t="s">
        <v>8962</v>
      </c>
      <c r="D2824" t="s">
        <v>3400</v>
      </c>
      <c r="E2824" t="s">
        <v>3395</v>
      </c>
      <c r="F2824" t="s">
        <v>3396</v>
      </c>
      <c r="G2824" t="s">
        <v>481</v>
      </c>
      <c r="H2824" t="s">
        <v>8963</v>
      </c>
      <c r="I2824" t="s">
        <v>8964</v>
      </c>
      <c r="J2824" t="s">
        <v>876</v>
      </c>
      <c r="K2824" t="s">
        <v>55</v>
      </c>
      <c r="L2824" t="s">
        <v>819</v>
      </c>
      <c r="M2824" t="s">
        <v>57</v>
      </c>
      <c r="N2824" t="str">
        <f>"044628"</f>
        <v>044628</v>
      </c>
      <c r="O2824" t="s">
        <v>873</v>
      </c>
      <c r="P2824" t="s">
        <v>68</v>
      </c>
      <c r="Q2824">
        <v>100</v>
      </c>
      <c r="R2824">
        <v>82.4</v>
      </c>
      <c r="S2824" t="s">
        <v>69</v>
      </c>
    </row>
    <row r="2825" spans="1:19" x14ac:dyDescent="0.35">
      <c r="A2825">
        <v>39107</v>
      </c>
      <c r="B2825" t="str">
        <f>"039107"</f>
        <v>039107</v>
      </c>
      <c r="C2825" t="s">
        <v>8965</v>
      </c>
      <c r="D2825" t="s">
        <v>3398</v>
      </c>
      <c r="E2825" t="s">
        <v>3395</v>
      </c>
      <c r="F2825" t="s">
        <v>3396</v>
      </c>
      <c r="G2825" t="s">
        <v>600</v>
      </c>
      <c r="H2825" t="s">
        <v>8966</v>
      </c>
      <c r="I2825" t="s">
        <v>8967</v>
      </c>
      <c r="J2825" t="s">
        <v>1348</v>
      </c>
      <c r="K2825" t="s">
        <v>55</v>
      </c>
      <c r="L2825" t="s">
        <v>6119</v>
      </c>
      <c r="M2825" t="s">
        <v>57</v>
      </c>
      <c r="N2825" t="str">
        <f>"043802"</f>
        <v>043802</v>
      </c>
      <c r="O2825" t="s">
        <v>3171</v>
      </c>
      <c r="P2825" t="s">
        <v>68</v>
      </c>
      <c r="Q2825">
        <v>100</v>
      </c>
      <c r="R2825">
        <v>94</v>
      </c>
      <c r="S2825" t="s">
        <v>60</v>
      </c>
    </row>
    <row r="2826" spans="1:19" x14ac:dyDescent="0.35">
      <c r="A2826">
        <v>39115</v>
      </c>
      <c r="B2826" t="str">
        <f>"039115"</f>
        <v>039115</v>
      </c>
      <c r="C2826" t="s">
        <v>8968</v>
      </c>
      <c r="D2826" t="s">
        <v>3400</v>
      </c>
      <c r="E2826" t="s">
        <v>3395</v>
      </c>
      <c r="F2826" t="s">
        <v>3396</v>
      </c>
      <c r="G2826" t="s">
        <v>600</v>
      </c>
      <c r="H2826" t="s">
        <v>8969</v>
      </c>
      <c r="I2826" t="s">
        <v>8970</v>
      </c>
      <c r="J2826" t="s">
        <v>2690</v>
      </c>
      <c r="K2826" t="s">
        <v>55</v>
      </c>
      <c r="L2826" t="s">
        <v>2691</v>
      </c>
      <c r="M2826" t="s">
        <v>57</v>
      </c>
      <c r="N2826" t="str">
        <f>"045047"</f>
        <v>045047</v>
      </c>
      <c r="O2826" t="s">
        <v>2687</v>
      </c>
      <c r="P2826" t="s">
        <v>68</v>
      </c>
      <c r="Q2826">
        <v>41.6</v>
      </c>
      <c r="R2826">
        <v>51.9</v>
      </c>
      <c r="S2826" t="s">
        <v>60</v>
      </c>
    </row>
    <row r="2827" spans="1:19" x14ac:dyDescent="0.35">
      <c r="A2827">
        <v>39149</v>
      </c>
      <c r="B2827" t="str">
        <f>"039149"</f>
        <v>039149</v>
      </c>
      <c r="C2827" t="s">
        <v>8971</v>
      </c>
      <c r="D2827" t="s">
        <v>3394</v>
      </c>
      <c r="E2827" t="s">
        <v>3395</v>
      </c>
      <c r="F2827" t="s">
        <v>3396</v>
      </c>
      <c r="G2827" t="s">
        <v>63</v>
      </c>
      <c r="H2827" t="s">
        <v>8972</v>
      </c>
      <c r="I2827" t="s">
        <v>8973</v>
      </c>
      <c r="J2827" t="s">
        <v>285</v>
      </c>
      <c r="K2827" t="s">
        <v>55</v>
      </c>
      <c r="L2827" t="s">
        <v>7551</v>
      </c>
      <c r="M2827" t="s">
        <v>57</v>
      </c>
      <c r="N2827" t="str">
        <f>"043786"</f>
        <v>043786</v>
      </c>
      <c r="O2827" t="s">
        <v>1340</v>
      </c>
      <c r="P2827" t="s">
        <v>68</v>
      </c>
      <c r="Q2827">
        <v>100</v>
      </c>
      <c r="R2827">
        <v>80.400000000000006</v>
      </c>
      <c r="S2827" t="s">
        <v>69</v>
      </c>
    </row>
    <row r="2828" spans="1:19" x14ac:dyDescent="0.35">
      <c r="A2828">
        <v>39156</v>
      </c>
      <c r="B2828" t="str">
        <f>"039156"</f>
        <v>039156</v>
      </c>
      <c r="C2828" t="s">
        <v>8974</v>
      </c>
      <c r="D2828" t="s">
        <v>3400</v>
      </c>
      <c r="E2828" t="s">
        <v>3395</v>
      </c>
      <c r="F2828" t="s">
        <v>3396</v>
      </c>
      <c r="G2828" t="s">
        <v>543</v>
      </c>
      <c r="H2828" t="s">
        <v>8975</v>
      </c>
      <c r="I2828" t="s">
        <v>8976</v>
      </c>
      <c r="J2828" t="s">
        <v>790</v>
      </c>
      <c r="K2828" t="s">
        <v>55</v>
      </c>
      <c r="L2828" t="s">
        <v>791</v>
      </c>
      <c r="M2828" t="s">
        <v>57</v>
      </c>
      <c r="N2828" t="str">
        <f>"044396"</f>
        <v>044396</v>
      </c>
      <c r="O2828" t="s">
        <v>787</v>
      </c>
      <c r="P2828" t="s">
        <v>68</v>
      </c>
      <c r="Q2828">
        <v>46.6</v>
      </c>
      <c r="R2828">
        <v>24.5</v>
      </c>
      <c r="S2828" t="s">
        <v>180</v>
      </c>
    </row>
    <row r="2829" spans="1:19" x14ac:dyDescent="0.35">
      <c r="A2829">
        <v>39164</v>
      </c>
      <c r="B2829" t="str">
        <f>"039164"</f>
        <v>039164</v>
      </c>
      <c r="C2829" t="s">
        <v>8977</v>
      </c>
      <c r="D2829" t="s">
        <v>3398</v>
      </c>
      <c r="E2829" t="s">
        <v>3395</v>
      </c>
      <c r="F2829" t="s">
        <v>3396</v>
      </c>
      <c r="G2829" t="s">
        <v>554</v>
      </c>
      <c r="H2829" t="s">
        <v>8978</v>
      </c>
      <c r="I2829" t="s">
        <v>8979</v>
      </c>
      <c r="J2829" t="s">
        <v>1184</v>
      </c>
      <c r="K2829" t="s">
        <v>55</v>
      </c>
      <c r="L2829" t="s">
        <v>1185</v>
      </c>
      <c r="M2829" t="s">
        <v>57</v>
      </c>
      <c r="N2829" t="str">
        <f>"044982"</f>
        <v>044982</v>
      </c>
      <c r="O2829" t="s">
        <v>1181</v>
      </c>
      <c r="P2829" t="s">
        <v>68</v>
      </c>
      <c r="Q2829">
        <v>27.2</v>
      </c>
      <c r="R2829">
        <v>5.7999999999999972</v>
      </c>
      <c r="S2829" t="s">
        <v>156</v>
      </c>
    </row>
    <row r="2830" spans="1:19" x14ac:dyDescent="0.35">
      <c r="A2830">
        <v>39180</v>
      </c>
      <c r="B2830" t="str">
        <f>"039180"</f>
        <v>039180</v>
      </c>
      <c r="C2830" t="s">
        <v>8980</v>
      </c>
      <c r="D2830" t="s">
        <v>3394</v>
      </c>
      <c r="E2830" t="s">
        <v>3395</v>
      </c>
      <c r="F2830" t="s">
        <v>3396</v>
      </c>
      <c r="G2830" t="s">
        <v>777</v>
      </c>
      <c r="H2830" t="s">
        <v>8981</v>
      </c>
      <c r="I2830" t="s">
        <v>8982</v>
      </c>
      <c r="J2830" t="s">
        <v>780</v>
      </c>
      <c r="K2830" t="s">
        <v>55</v>
      </c>
      <c r="L2830" t="s">
        <v>6175</v>
      </c>
      <c r="M2830" t="s">
        <v>57</v>
      </c>
      <c r="N2830" t="str">
        <f>"044818"</f>
        <v>044818</v>
      </c>
      <c r="O2830" t="s">
        <v>2812</v>
      </c>
      <c r="P2830" t="s">
        <v>68</v>
      </c>
      <c r="Q2830">
        <v>100</v>
      </c>
      <c r="R2830">
        <v>32.5</v>
      </c>
      <c r="S2830" t="s">
        <v>180</v>
      </c>
    </row>
    <row r="2831" spans="1:19" x14ac:dyDescent="0.35">
      <c r="A2831">
        <v>39206</v>
      </c>
      <c r="B2831" t="str">
        <f>"039206"</f>
        <v>039206</v>
      </c>
      <c r="C2831" t="s">
        <v>8983</v>
      </c>
      <c r="D2831" t="s">
        <v>3394</v>
      </c>
      <c r="E2831" t="s">
        <v>3395</v>
      </c>
      <c r="F2831" t="s">
        <v>3396</v>
      </c>
      <c r="G2831" t="s">
        <v>63</v>
      </c>
      <c r="H2831" t="s">
        <v>8984</v>
      </c>
      <c r="I2831" t="s">
        <v>8985</v>
      </c>
      <c r="J2831" t="s">
        <v>285</v>
      </c>
      <c r="K2831" t="s">
        <v>55</v>
      </c>
      <c r="L2831" t="s">
        <v>4335</v>
      </c>
      <c r="M2831" t="s">
        <v>57</v>
      </c>
      <c r="N2831" t="str">
        <f>"043786"</f>
        <v>043786</v>
      </c>
      <c r="O2831" t="s">
        <v>1340</v>
      </c>
      <c r="P2831" t="s">
        <v>68</v>
      </c>
      <c r="Q2831">
        <v>100</v>
      </c>
      <c r="R2831">
        <v>96.2</v>
      </c>
      <c r="S2831" t="s">
        <v>69</v>
      </c>
    </row>
    <row r="2832" spans="1:19" x14ac:dyDescent="0.35">
      <c r="A2832">
        <v>39214</v>
      </c>
      <c r="B2832" t="str">
        <f>"039214"</f>
        <v>039214</v>
      </c>
      <c r="C2832" t="s">
        <v>8986</v>
      </c>
      <c r="D2832" t="s">
        <v>3506</v>
      </c>
      <c r="E2832" t="s">
        <v>3395</v>
      </c>
      <c r="F2832" t="s">
        <v>3396</v>
      </c>
      <c r="G2832" t="s">
        <v>135</v>
      </c>
      <c r="H2832" t="s">
        <v>8987</v>
      </c>
      <c r="I2832" t="s">
        <v>8988</v>
      </c>
      <c r="J2832" t="s">
        <v>8989</v>
      </c>
      <c r="K2832" t="s">
        <v>55</v>
      </c>
      <c r="L2832" t="s">
        <v>8990</v>
      </c>
      <c r="M2832" t="s">
        <v>57</v>
      </c>
      <c r="N2832" t="str">
        <f>"047787"</f>
        <v>047787</v>
      </c>
      <c r="O2832" t="s">
        <v>742</v>
      </c>
      <c r="P2832" t="s">
        <v>68</v>
      </c>
      <c r="Q2832">
        <v>60</v>
      </c>
      <c r="R2832">
        <v>6.7999999999999972</v>
      </c>
      <c r="S2832" t="s">
        <v>130</v>
      </c>
    </row>
    <row r="2833" spans="1:19" x14ac:dyDescent="0.35">
      <c r="A2833">
        <v>39248</v>
      </c>
      <c r="B2833" t="str">
        <f>"039248"</f>
        <v>039248</v>
      </c>
      <c r="C2833" t="s">
        <v>8991</v>
      </c>
      <c r="D2833" t="s">
        <v>3398</v>
      </c>
      <c r="E2833" t="s">
        <v>3395</v>
      </c>
      <c r="F2833" t="s">
        <v>3396</v>
      </c>
      <c r="G2833" t="s">
        <v>124</v>
      </c>
      <c r="H2833" t="s">
        <v>8992</v>
      </c>
      <c r="I2833" t="s">
        <v>8993</v>
      </c>
      <c r="J2833" t="s">
        <v>2829</v>
      </c>
      <c r="K2833" t="s">
        <v>55</v>
      </c>
      <c r="L2833" t="s">
        <v>2830</v>
      </c>
      <c r="M2833" t="s">
        <v>57</v>
      </c>
      <c r="N2833" t="str">
        <f>"050500"</f>
        <v>050500</v>
      </c>
      <c r="O2833" t="s">
        <v>2826</v>
      </c>
      <c r="P2833" t="s">
        <v>68</v>
      </c>
      <c r="Q2833">
        <v>26.7</v>
      </c>
      <c r="R2833">
        <v>5.7000000000000028</v>
      </c>
      <c r="S2833" t="s">
        <v>130</v>
      </c>
    </row>
    <row r="2834" spans="1:19" x14ac:dyDescent="0.35">
      <c r="A2834">
        <v>39263</v>
      </c>
      <c r="B2834" t="str">
        <f>"039263"</f>
        <v>039263</v>
      </c>
      <c r="C2834" t="s">
        <v>8994</v>
      </c>
      <c r="D2834" t="s">
        <v>3398</v>
      </c>
      <c r="E2834" t="s">
        <v>3395</v>
      </c>
      <c r="F2834" t="s">
        <v>3396</v>
      </c>
      <c r="G2834" t="s">
        <v>63</v>
      </c>
      <c r="H2834" t="s">
        <v>8995</v>
      </c>
      <c r="I2834" t="s">
        <v>8996</v>
      </c>
      <c r="J2834" t="s">
        <v>1710</v>
      </c>
      <c r="K2834" t="s">
        <v>55</v>
      </c>
      <c r="L2834" t="s">
        <v>1711</v>
      </c>
      <c r="M2834" t="s">
        <v>57</v>
      </c>
      <c r="N2834" t="str">
        <f>"045005"</f>
        <v>045005</v>
      </c>
      <c r="O2834" t="s">
        <v>1707</v>
      </c>
      <c r="P2834" t="s">
        <v>68</v>
      </c>
      <c r="Q2834">
        <v>99.2</v>
      </c>
      <c r="R2834">
        <v>100</v>
      </c>
      <c r="S2834" t="s">
        <v>69</v>
      </c>
    </row>
    <row r="2835" spans="1:19" x14ac:dyDescent="0.35">
      <c r="A2835">
        <v>39271</v>
      </c>
      <c r="B2835" t="str">
        <f>"039271"</f>
        <v>039271</v>
      </c>
      <c r="C2835" t="s">
        <v>8997</v>
      </c>
      <c r="D2835" t="s">
        <v>3400</v>
      </c>
      <c r="E2835" t="s">
        <v>3395</v>
      </c>
      <c r="F2835" t="s">
        <v>3396</v>
      </c>
      <c r="G2835" t="s">
        <v>63</v>
      </c>
      <c r="H2835" t="s">
        <v>8998</v>
      </c>
      <c r="I2835" t="s">
        <v>8999</v>
      </c>
      <c r="J2835" t="s">
        <v>1710</v>
      </c>
      <c r="K2835" t="s">
        <v>55</v>
      </c>
      <c r="L2835" t="s">
        <v>1711</v>
      </c>
      <c r="M2835" t="s">
        <v>57</v>
      </c>
      <c r="N2835" t="str">
        <f>"045005"</f>
        <v>045005</v>
      </c>
      <c r="O2835" t="s">
        <v>1707</v>
      </c>
      <c r="P2835" t="s">
        <v>68</v>
      </c>
      <c r="Q2835">
        <v>99.7</v>
      </c>
      <c r="R2835">
        <v>100</v>
      </c>
      <c r="S2835" t="s">
        <v>69</v>
      </c>
    </row>
    <row r="2836" spans="1:19" x14ac:dyDescent="0.35">
      <c r="A2836">
        <v>39289</v>
      </c>
      <c r="B2836" t="str">
        <f>"039289"</f>
        <v>039289</v>
      </c>
      <c r="C2836" t="s">
        <v>9000</v>
      </c>
      <c r="D2836" t="s">
        <v>3394</v>
      </c>
      <c r="E2836" t="s">
        <v>3395</v>
      </c>
      <c r="F2836" t="s">
        <v>3396</v>
      </c>
      <c r="G2836" t="s">
        <v>1613</v>
      </c>
      <c r="H2836" t="s">
        <v>9001</v>
      </c>
      <c r="I2836" t="s">
        <v>9002</v>
      </c>
      <c r="J2836" t="s">
        <v>3358</v>
      </c>
      <c r="K2836" t="s">
        <v>55</v>
      </c>
      <c r="L2836" t="s">
        <v>3359</v>
      </c>
      <c r="M2836" t="s">
        <v>57</v>
      </c>
      <c r="N2836" t="str">
        <f>"046482"</f>
        <v>046482</v>
      </c>
      <c r="O2836" t="s">
        <v>3355</v>
      </c>
      <c r="P2836" t="s">
        <v>68</v>
      </c>
      <c r="Q2836">
        <v>49.2</v>
      </c>
      <c r="R2836">
        <v>6.4000000000000057</v>
      </c>
      <c r="S2836" t="s">
        <v>130</v>
      </c>
    </row>
    <row r="2837" spans="1:19" x14ac:dyDescent="0.35">
      <c r="A2837">
        <v>39305</v>
      </c>
      <c r="B2837" t="str">
        <f>"039305"</f>
        <v>039305</v>
      </c>
      <c r="C2837" t="s">
        <v>9003</v>
      </c>
      <c r="D2837" t="s">
        <v>3394</v>
      </c>
      <c r="E2837" t="s">
        <v>3395</v>
      </c>
      <c r="F2837" t="s">
        <v>3396</v>
      </c>
      <c r="G2837" t="s">
        <v>169</v>
      </c>
      <c r="H2837" t="s">
        <v>9004</v>
      </c>
      <c r="I2837" t="s">
        <v>9005</v>
      </c>
      <c r="J2837" t="s">
        <v>2973</v>
      </c>
      <c r="K2837" t="s">
        <v>55</v>
      </c>
      <c r="L2837" t="s">
        <v>2974</v>
      </c>
      <c r="M2837" t="s">
        <v>57</v>
      </c>
      <c r="N2837" t="str">
        <f>"044495"</f>
        <v>044495</v>
      </c>
      <c r="O2837" t="s">
        <v>2970</v>
      </c>
      <c r="P2837" t="s">
        <v>68</v>
      </c>
      <c r="Q2837">
        <v>99.3</v>
      </c>
      <c r="R2837">
        <v>21.700000000000003</v>
      </c>
      <c r="S2837" t="s">
        <v>77</v>
      </c>
    </row>
    <row r="2838" spans="1:19" x14ac:dyDescent="0.35">
      <c r="A2838">
        <v>39347</v>
      </c>
      <c r="B2838" t="str">
        <f>"039347"</f>
        <v>039347</v>
      </c>
      <c r="C2838" t="s">
        <v>9006</v>
      </c>
      <c r="D2838" t="s">
        <v>3394</v>
      </c>
      <c r="E2838" t="s">
        <v>3395</v>
      </c>
      <c r="F2838" t="s">
        <v>3396</v>
      </c>
      <c r="G2838" t="s">
        <v>143</v>
      </c>
      <c r="H2838" t="s">
        <v>9007</v>
      </c>
      <c r="I2838" t="s">
        <v>9008</v>
      </c>
      <c r="J2838" t="s">
        <v>143</v>
      </c>
      <c r="K2838" t="s">
        <v>55</v>
      </c>
      <c r="L2838" t="s">
        <v>1033</v>
      </c>
      <c r="M2838" t="s">
        <v>57</v>
      </c>
      <c r="N2838" t="str">
        <f>"044263"</f>
        <v>044263</v>
      </c>
      <c r="O2838" t="s">
        <v>1364</v>
      </c>
      <c r="P2838" t="s">
        <v>68</v>
      </c>
      <c r="Q2838">
        <v>100</v>
      </c>
      <c r="R2838">
        <v>83.4</v>
      </c>
      <c r="S2838" t="s">
        <v>69</v>
      </c>
    </row>
    <row r="2839" spans="1:19" x14ac:dyDescent="0.35">
      <c r="A2839">
        <v>39396</v>
      </c>
      <c r="B2839" t="str">
        <f>"039396"</f>
        <v>039396</v>
      </c>
      <c r="C2839" t="s">
        <v>9009</v>
      </c>
      <c r="D2839" t="s">
        <v>3394</v>
      </c>
      <c r="E2839" t="s">
        <v>3395</v>
      </c>
      <c r="F2839" t="s">
        <v>3396</v>
      </c>
      <c r="G2839" t="s">
        <v>719</v>
      </c>
      <c r="H2839" t="s">
        <v>9010</v>
      </c>
      <c r="I2839" t="s">
        <v>9011</v>
      </c>
      <c r="J2839" t="s">
        <v>1652</v>
      </c>
      <c r="K2839" t="s">
        <v>55</v>
      </c>
      <c r="L2839" t="s">
        <v>1653</v>
      </c>
      <c r="M2839" t="s">
        <v>57</v>
      </c>
      <c r="N2839" t="str">
        <f>"044123"</f>
        <v>044123</v>
      </c>
      <c r="O2839" t="s">
        <v>1649</v>
      </c>
      <c r="P2839" t="s">
        <v>68</v>
      </c>
      <c r="Q2839">
        <v>60.8</v>
      </c>
      <c r="R2839">
        <v>12</v>
      </c>
      <c r="S2839" t="s">
        <v>130</v>
      </c>
    </row>
    <row r="2840" spans="1:19" x14ac:dyDescent="0.35">
      <c r="A2840">
        <v>39420</v>
      </c>
      <c r="B2840" t="str">
        <f>"039420"</f>
        <v>039420</v>
      </c>
      <c r="C2840" t="s">
        <v>9012</v>
      </c>
      <c r="D2840" t="s">
        <v>3394</v>
      </c>
      <c r="E2840" t="s">
        <v>3395</v>
      </c>
      <c r="F2840" t="s">
        <v>3396</v>
      </c>
      <c r="G2840" t="s">
        <v>1296</v>
      </c>
      <c r="H2840" t="s">
        <v>9013</v>
      </c>
      <c r="I2840" t="s">
        <v>9014</v>
      </c>
      <c r="J2840" t="s">
        <v>1299</v>
      </c>
      <c r="K2840" t="s">
        <v>55</v>
      </c>
      <c r="L2840" t="s">
        <v>1300</v>
      </c>
      <c r="M2840" t="s">
        <v>57</v>
      </c>
      <c r="N2840" t="str">
        <f>"044891"</f>
        <v>044891</v>
      </c>
      <c r="O2840" t="s">
        <v>3295</v>
      </c>
      <c r="P2840" t="s">
        <v>68</v>
      </c>
      <c r="Q2840">
        <v>53.8</v>
      </c>
      <c r="R2840">
        <v>21.400000000000006</v>
      </c>
      <c r="S2840" t="s">
        <v>156</v>
      </c>
    </row>
    <row r="2841" spans="1:19" x14ac:dyDescent="0.35">
      <c r="A2841">
        <v>39438</v>
      </c>
      <c r="B2841" t="str">
        <f>"039438"</f>
        <v>039438</v>
      </c>
      <c r="C2841" t="s">
        <v>9015</v>
      </c>
      <c r="D2841" t="s">
        <v>3506</v>
      </c>
      <c r="E2841" t="s">
        <v>3395</v>
      </c>
      <c r="F2841" t="s">
        <v>3396</v>
      </c>
      <c r="G2841" t="s">
        <v>200</v>
      </c>
      <c r="H2841" t="s">
        <v>9016</v>
      </c>
      <c r="I2841" t="s">
        <v>9017</v>
      </c>
      <c r="J2841" t="s">
        <v>304</v>
      </c>
      <c r="K2841" t="s">
        <v>55</v>
      </c>
      <c r="L2841" t="s">
        <v>4721</v>
      </c>
      <c r="M2841" t="s">
        <v>57</v>
      </c>
      <c r="N2841" t="str">
        <f>"048231"</f>
        <v>048231</v>
      </c>
      <c r="O2841" t="s">
        <v>1553</v>
      </c>
      <c r="P2841" t="s">
        <v>68</v>
      </c>
      <c r="Q2841">
        <v>57.9</v>
      </c>
      <c r="R2841">
        <v>39.4</v>
      </c>
      <c r="S2841" t="s">
        <v>156</v>
      </c>
    </row>
    <row r="2842" spans="1:19" x14ac:dyDescent="0.35">
      <c r="A2842">
        <v>39537</v>
      </c>
      <c r="B2842" t="str">
        <f>"039537"</f>
        <v>039537</v>
      </c>
      <c r="C2842" t="s">
        <v>9006</v>
      </c>
      <c r="D2842" t="s">
        <v>3394</v>
      </c>
      <c r="E2842" t="s">
        <v>3395</v>
      </c>
      <c r="F2842" t="s">
        <v>3396</v>
      </c>
      <c r="G2842" t="s">
        <v>117</v>
      </c>
      <c r="H2842" t="s">
        <v>9018</v>
      </c>
      <c r="I2842" t="s">
        <v>9019</v>
      </c>
      <c r="J2842" t="s">
        <v>120</v>
      </c>
      <c r="K2842" t="s">
        <v>55</v>
      </c>
      <c r="L2842" t="s">
        <v>121</v>
      </c>
      <c r="M2842" t="s">
        <v>57</v>
      </c>
      <c r="N2842" t="str">
        <f>"049882"</f>
        <v>049882</v>
      </c>
      <c r="O2842" t="s">
        <v>116</v>
      </c>
      <c r="P2842" t="s">
        <v>68</v>
      </c>
      <c r="Q2842">
        <v>36</v>
      </c>
      <c r="R2842">
        <v>10.099999999999994</v>
      </c>
      <c r="S2842" t="s">
        <v>77</v>
      </c>
    </row>
    <row r="2843" spans="1:19" x14ac:dyDescent="0.35">
      <c r="A2843">
        <v>39578</v>
      </c>
      <c r="B2843" t="str">
        <f>"039578"</f>
        <v>039578</v>
      </c>
      <c r="C2843" t="s">
        <v>9020</v>
      </c>
      <c r="D2843" t="s">
        <v>3394</v>
      </c>
      <c r="E2843" t="s">
        <v>3395</v>
      </c>
      <c r="F2843" t="s">
        <v>3396</v>
      </c>
      <c r="G2843" t="s">
        <v>124</v>
      </c>
      <c r="H2843" t="s">
        <v>9021</v>
      </c>
      <c r="I2843" t="s">
        <v>9022</v>
      </c>
      <c r="J2843" t="s">
        <v>586</v>
      </c>
      <c r="K2843" t="s">
        <v>55</v>
      </c>
      <c r="L2843" t="s">
        <v>587</v>
      </c>
      <c r="M2843" t="s">
        <v>57</v>
      </c>
      <c r="N2843" t="str">
        <f>"044321"</f>
        <v>044321</v>
      </c>
      <c r="O2843" t="s">
        <v>583</v>
      </c>
      <c r="P2843" t="s">
        <v>68</v>
      </c>
      <c r="Q2843">
        <v>48.7</v>
      </c>
      <c r="R2843">
        <v>9.7000000000000028</v>
      </c>
      <c r="S2843" t="s">
        <v>130</v>
      </c>
    </row>
    <row r="2844" spans="1:19" x14ac:dyDescent="0.35">
      <c r="A2844">
        <v>39586</v>
      </c>
      <c r="B2844" t="str">
        <f>"039586"</f>
        <v>039586</v>
      </c>
      <c r="C2844" t="s">
        <v>9023</v>
      </c>
      <c r="D2844" t="s">
        <v>3394</v>
      </c>
      <c r="E2844" t="s">
        <v>3395</v>
      </c>
      <c r="F2844" t="s">
        <v>3396</v>
      </c>
      <c r="G2844" t="s">
        <v>312</v>
      </c>
      <c r="H2844" t="s">
        <v>9024</v>
      </c>
      <c r="I2844" t="s">
        <v>9025</v>
      </c>
      <c r="J2844" t="s">
        <v>312</v>
      </c>
      <c r="K2844" t="s">
        <v>55</v>
      </c>
      <c r="L2844" t="s">
        <v>315</v>
      </c>
      <c r="M2844" t="s">
        <v>57</v>
      </c>
      <c r="N2844" t="str">
        <f>"044339"</f>
        <v>044339</v>
      </c>
      <c r="O2844" t="s">
        <v>2453</v>
      </c>
      <c r="P2844" t="s">
        <v>68</v>
      </c>
      <c r="Q2844">
        <v>100</v>
      </c>
      <c r="R2844">
        <v>28.900000000000006</v>
      </c>
      <c r="S2844" t="s">
        <v>156</v>
      </c>
    </row>
    <row r="2845" spans="1:19" x14ac:dyDescent="0.35">
      <c r="A2845">
        <v>39602</v>
      </c>
      <c r="B2845" t="str">
        <f>"039602"</f>
        <v>039602</v>
      </c>
      <c r="C2845" t="s">
        <v>9026</v>
      </c>
      <c r="D2845" t="s">
        <v>3398</v>
      </c>
      <c r="E2845" t="s">
        <v>3395</v>
      </c>
      <c r="F2845" t="s">
        <v>3396</v>
      </c>
      <c r="G2845" t="s">
        <v>117</v>
      </c>
      <c r="H2845" t="s">
        <v>9027</v>
      </c>
      <c r="I2845" t="s">
        <v>9028</v>
      </c>
      <c r="J2845" t="s">
        <v>977</v>
      </c>
      <c r="K2845" t="s">
        <v>55</v>
      </c>
      <c r="L2845" t="s">
        <v>978</v>
      </c>
      <c r="M2845" t="s">
        <v>57</v>
      </c>
      <c r="N2845" t="str">
        <f>"044354"</f>
        <v>044354</v>
      </c>
      <c r="O2845" t="s">
        <v>974</v>
      </c>
      <c r="P2845" t="s">
        <v>68</v>
      </c>
      <c r="Q2845">
        <v>100</v>
      </c>
      <c r="R2845">
        <v>32.200000000000003</v>
      </c>
      <c r="S2845" t="s">
        <v>77</v>
      </c>
    </row>
    <row r="2846" spans="1:19" x14ac:dyDescent="0.35">
      <c r="A2846">
        <v>39628</v>
      </c>
      <c r="B2846" t="str">
        <f>"039628"</f>
        <v>039628</v>
      </c>
      <c r="C2846" t="s">
        <v>9029</v>
      </c>
      <c r="D2846" t="s">
        <v>3400</v>
      </c>
      <c r="E2846" t="s">
        <v>3395</v>
      </c>
      <c r="F2846" t="s">
        <v>3396</v>
      </c>
      <c r="G2846" t="s">
        <v>2298</v>
      </c>
      <c r="H2846" t="s">
        <v>9030</v>
      </c>
      <c r="I2846" t="s">
        <v>9031</v>
      </c>
      <c r="J2846" t="s">
        <v>2301</v>
      </c>
      <c r="K2846" t="s">
        <v>55</v>
      </c>
      <c r="L2846" t="s">
        <v>2302</v>
      </c>
      <c r="M2846" t="s">
        <v>57</v>
      </c>
      <c r="N2846" t="str">
        <f>"045013"</f>
        <v>045013</v>
      </c>
      <c r="O2846" t="s">
        <v>2700</v>
      </c>
      <c r="P2846" t="s">
        <v>68</v>
      </c>
      <c r="Q2846">
        <v>59.1</v>
      </c>
      <c r="R2846">
        <v>18.099999999999994</v>
      </c>
      <c r="S2846" t="s">
        <v>60</v>
      </c>
    </row>
    <row r="2847" spans="1:19" x14ac:dyDescent="0.35">
      <c r="A2847">
        <v>39651</v>
      </c>
      <c r="B2847" t="str">
        <f>"039651"</f>
        <v>039651</v>
      </c>
      <c r="C2847" t="s">
        <v>9006</v>
      </c>
      <c r="D2847" t="s">
        <v>3394</v>
      </c>
      <c r="E2847" t="s">
        <v>3395</v>
      </c>
      <c r="F2847" t="s">
        <v>3396</v>
      </c>
      <c r="G2847" t="s">
        <v>861</v>
      </c>
      <c r="H2847" t="s">
        <v>9032</v>
      </c>
      <c r="I2847" t="s">
        <v>9033</v>
      </c>
      <c r="J2847" t="s">
        <v>864</v>
      </c>
      <c r="K2847" t="s">
        <v>55</v>
      </c>
      <c r="L2847" t="s">
        <v>865</v>
      </c>
      <c r="M2847" t="s">
        <v>57</v>
      </c>
      <c r="N2847" t="str">
        <f>"044032"</f>
        <v>044032</v>
      </c>
      <c r="O2847" t="s">
        <v>860</v>
      </c>
      <c r="P2847" t="s">
        <v>68</v>
      </c>
      <c r="Q2847">
        <v>68</v>
      </c>
      <c r="R2847">
        <v>12.200000000000003</v>
      </c>
      <c r="S2847" t="s">
        <v>130</v>
      </c>
    </row>
    <row r="2848" spans="1:19" x14ac:dyDescent="0.35">
      <c r="A2848">
        <v>39693</v>
      </c>
      <c r="B2848" t="str">
        <f>"039693"</f>
        <v>039693</v>
      </c>
      <c r="C2848" t="s">
        <v>9034</v>
      </c>
      <c r="D2848" t="s">
        <v>3400</v>
      </c>
      <c r="E2848" t="s">
        <v>3395</v>
      </c>
      <c r="F2848" t="s">
        <v>3396</v>
      </c>
      <c r="G2848" t="s">
        <v>600</v>
      </c>
      <c r="H2848" t="s">
        <v>9035</v>
      </c>
      <c r="I2848" t="s">
        <v>9036</v>
      </c>
      <c r="J2848" t="s">
        <v>1956</v>
      </c>
      <c r="K2848" t="s">
        <v>55</v>
      </c>
      <c r="L2848" t="s">
        <v>1957</v>
      </c>
      <c r="M2848" t="s">
        <v>57</v>
      </c>
      <c r="N2848" t="str">
        <f>"047027"</f>
        <v>047027</v>
      </c>
      <c r="O2848" t="s">
        <v>1953</v>
      </c>
      <c r="P2848" t="s">
        <v>68</v>
      </c>
      <c r="Q2848">
        <v>41.9</v>
      </c>
      <c r="R2848">
        <v>50</v>
      </c>
      <c r="S2848" t="s">
        <v>60</v>
      </c>
    </row>
    <row r="2849" spans="1:19" x14ac:dyDescent="0.35">
      <c r="A2849">
        <v>39701</v>
      </c>
      <c r="B2849" t="str">
        <f>"039701"</f>
        <v>039701</v>
      </c>
      <c r="C2849" t="s">
        <v>9026</v>
      </c>
      <c r="D2849" t="s">
        <v>3398</v>
      </c>
      <c r="E2849" t="s">
        <v>3395</v>
      </c>
      <c r="F2849" t="s">
        <v>3396</v>
      </c>
      <c r="G2849" t="s">
        <v>2298</v>
      </c>
      <c r="H2849" t="s">
        <v>9037</v>
      </c>
      <c r="I2849" t="s">
        <v>9038</v>
      </c>
      <c r="J2849" t="s">
        <v>2301</v>
      </c>
      <c r="K2849" t="s">
        <v>55</v>
      </c>
      <c r="L2849" t="s">
        <v>2302</v>
      </c>
      <c r="M2849" t="s">
        <v>57</v>
      </c>
      <c r="N2849" t="str">
        <f>"045013"</f>
        <v>045013</v>
      </c>
      <c r="O2849" t="s">
        <v>2700</v>
      </c>
      <c r="P2849" t="s">
        <v>68</v>
      </c>
      <c r="Q2849">
        <v>51.3</v>
      </c>
      <c r="R2849">
        <v>18.700000000000003</v>
      </c>
      <c r="S2849" t="s">
        <v>60</v>
      </c>
    </row>
    <row r="2850" spans="1:19" x14ac:dyDescent="0.35">
      <c r="A2850">
        <v>39743</v>
      </c>
      <c r="B2850" t="str">
        <f>"039743"</f>
        <v>039743</v>
      </c>
      <c r="C2850" t="s">
        <v>9039</v>
      </c>
      <c r="D2850" t="s">
        <v>3394</v>
      </c>
      <c r="E2850" t="s">
        <v>3395</v>
      </c>
      <c r="F2850" t="s">
        <v>3396</v>
      </c>
      <c r="G2850" t="s">
        <v>124</v>
      </c>
      <c r="H2850" t="s">
        <v>9040</v>
      </c>
      <c r="I2850" t="s">
        <v>9041</v>
      </c>
      <c r="J2850" t="s">
        <v>1792</v>
      </c>
      <c r="K2850" t="s">
        <v>55</v>
      </c>
      <c r="L2850" t="s">
        <v>1793</v>
      </c>
      <c r="M2850" t="s">
        <v>57</v>
      </c>
      <c r="N2850" t="str">
        <f>"050518"</f>
        <v>050518</v>
      </c>
      <c r="O2850" t="s">
        <v>1789</v>
      </c>
      <c r="P2850" t="s">
        <v>68</v>
      </c>
      <c r="Q2850">
        <v>32.4</v>
      </c>
      <c r="R2850">
        <v>2.4000000000000057</v>
      </c>
      <c r="S2850" t="s">
        <v>130</v>
      </c>
    </row>
    <row r="2851" spans="1:19" x14ac:dyDescent="0.35">
      <c r="A2851">
        <v>39750</v>
      </c>
      <c r="B2851" t="str">
        <f>"039750"</f>
        <v>039750</v>
      </c>
      <c r="C2851" t="s">
        <v>9042</v>
      </c>
      <c r="D2851" t="s">
        <v>3398</v>
      </c>
      <c r="E2851" t="s">
        <v>3395</v>
      </c>
      <c r="F2851" t="s">
        <v>3396</v>
      </c>
      <c r="G2851" t="s">
        <v>124</v>
      </c>
      <c r="H2851" t="s">
        <v>9043</v>
      </c>
      <c r="I2851" t="s">
        <v>9044</v>
      </c>
      <c r="J2851" t="s">
        <v>1792</v>
      </c>
      <c r="K2851" t="s">
        <v>55</v>
      </c>
      <c r="L2851" t="s">
        <v>1793</v>
      </c>
      <c r="M2851" t="s">
        <v>57</v>
      </c>
      <c r="N2851" t="str">
        <f>"050518"</f>
        <v>050518</v>
      </c>
      <c r="O2851" t="s">
        <v>1789</v>
      </c>
      <c r="P2851" t="s">
        <v>68</v>
      </c>
      <c r="Q2851">
        <v>20.6</v>
      </c>
      <c r="R2851">
        <v>3.7000000000000028</v>
      </c>
      <c r="S2851" t="s">
        <v>130</v>
      </c>
    </row>
    <row r="2852" spans="1:19" x14ac:dyDescent="0.35">
      <c r="A2852">
        <v>39784</v>
      </c>
      <c r="B2852" t="str">
        <f>"039784"</f>
        <v>039784</v>
      </c>
      <c r="C2852" t="s">
        <v>9045</v>
      </c>
      <c r="D2852" t="s">
        <v>3398</v>
      </c>
      <c r="E2852" t="s">
        <v>3395</v>
      </c>
      <c r="F2852" t="s">
        <v>3396</v>
      </c>
      <c r="G2852" t="s">
        <v>295</v>
      </c>
      <c r="H2852" t="s">
        <v>1145</v>
      </c>
      <c r="I2852" t="s">
        <v>1146</v>
      </c>
      <c r="J2852" t="s">
        <v>1147</v>
      </c>
      <c r="K2852" t="s">
        <v>55</v>
      </c>
      <c r="L2852" t="s">
        <v>1148</v>
      </c>
      <c r="M2852" t="s">
        <v>57</v>
      </c>
      <c r="N2852" t="str">
        <f>"049247"</f>
        <v>049247</v>
      </c>
      <c r="O2852" t="s">
        <v>1144</v>
      </c>
      <c r="P2852" t="s">
        <v>68</v>
      </c>
      <c r="Q2852">
        <v>35</v>
      </c>
      <c r="R2852">
        <v>7.7000000000000028</v>
      </c>
      <c r="S2852" t="s">
        <v>77</v>
      </c>
    </row>
    <row r="2853" spans="1:19" x14ac:dyDescent="0.35">
      <c r="A2853">
        <v>39800</v>
      </c>
      <c r="B2853" t="str">
        <f>"039800"</f>
        <v>039800</v>
      </c>
      <c r="C2853" t="s">
        <v>9046</v>
      </c>
      <c r="D2853" t="s">
        <v>3394</v>
      </c>
      <c r="E2853" t="s">
        <v>3395</v>
      </c>
      <c r="F2853" t="s">
        <v>3396</v>
      </c>
      <c r="G2853" t="s">
        <v>200</v>
      </c>
      <c r="H2853" t="s">
        <v>9047</v>
      </c>
      <c r="I2853" t="s">
        <v>9048</v>
      </c>
      <c r="J2853" t="s">
        <v>9049</v>
      </c>
      <c r="K2853" t="s">
        <v>55</v>
      </c>
      <c r="L2853" t="s">
        <v>9050</v>
      </c>
      <c r="M2853" t="s">
        <v>57</v>
      </c>
      <c r="N2853" t="str">
        <f>"048207"</f>
        <v>048207</v>
      </c>
      <c r="O2853" t="s">
        <v>2677</v>
      </c>
      <c r="P2853" t="s">
        <v>68</v>
      </c>
      <c r="Q2853">
        <v>9.1999999999999993</v>
      </c>
      <c r="R2853">
        <v>7.5</v>
      </c>
      <c r="S2853" t="s">
        <v>156</v>
      </c>
    </row>
    <row r="2854" spans="1:19" x14ac:dyDescent="0.35">
      <c r="A2854">
        <v>39842</v>
      </c>
      <c r="B2854" t="str">
        <f>"039842"</f>
        <v>039842</v>
      </c>
      <c r="C2854" t="s">
        <v>9051</v>
      </c>
      <c r="D2854" t="s">
        <v>3398</v>
      </c>
      <c r="E2854" t="s">
        <v>3395</v>
      </c>
      <c r="F2854" t="s">
        <v>3396</v>
      </c>
      <c r="G2854" t="s">
        <v>110</v>
      </c>
      <c r="H2854" t="s">
        <v>9052</v>
      </c>
      <c r="I2854" t="s">
        <v>9053</v>
      </c>
      <c r="J2854" t="s">
        <v>1027</v>
      </c>
      <c r="K2854" t="s">
        <v>55</v>
      </c>
      <c r="L2854" t="s">
        <v>1028</v>
      </c>
      <c r="M2854" t="s">
        <v>57</v>
      </c>
      <c r="N2854" t="str">
        <f>"048041"</f>
        <v>048041</v>
      </c>
      <c r="O2854" t="s">
        <v>2424</v>
      </c>
      <c r="P2854" t="s">
        <v>68</v>
      </c>
      <c r="Q2854">
        <v>26.3</v>
      </c>
      <c r="R2854">
        <v>21.200000000000003</v>
      </c>
      <c r="S2854" t="s">
        <v>60</v>
      </c>
    </row>
    <row r="2855" spans="1:19" x14ac:dyDescent="0.35">
      <c r="A2855">
        <v>39859</v>
      </c>
      <c r="B2855" t="str">
        <f>"039859"</f>
        <v>039859</v>
      </c>
      <c r="C2855" t="s">
        <v>9054</v>
      </c>
      <c r="D2855" t="s">
        <v>3394</v>
      </c>
      <c r="E2855" t="s">
        <v>3395</v>
      </c>
      <c r="F2855" t="s">
        <v>3396</v>
      </c>
      <c r="G2855" t="s">
        <v>117</v>
      </c>
      <c r="H2855" t="s">
        <v>9055</v>
      </c>
      <c r="I2855" t="s">
        <v>9056</v>
      </c>
      <c r="J2855" t="s">
        <v>977</v>
      </c>
      <c r="K2855" t="s">
        <v>55</v>
      </c>
      <c r="L2855" t="s">
        <v>978</v>
      </c>
      <c r="M2855" t="s">
        <v>57</v>
      </c>
      <c r="N2855" t="str">
        <f>"049924"</f>
        <v>049924</v>
      </c>
      <c r="O2855" t="s">
        <v>1548</v>
      </c>
      <c r="P2855" t="s">
        <v>68</v>
      </c>
      <c r="Q2855">
        <v>43.8</v>
      </c>
      <c r="R2855">
        <v>18.099999999999994</v>
      </c>
      <c r="S2855" t="s">
        <v>77</v>
      </c>
    </row>
    <row r="2856" spans="1:19" x14ac:dyDescent="0.35">
      <c r="A2856">
        <v>39867</v>
      </c>
      <c r="B2856" t="str">
        <f>"039867"</f>
        <v>039867</v>
      </c>
      <c r="C2856" t="s">
        <v>9057</v>
      </c>
      <c r="D2856" t="s">
        <v>3394</v>
      </c>
      <c r="E2856" t="s">
        <v>3395</v>
      </c>
      <c r="F2856" t="s">
        <v>3396</v>
      </c>
      <c r="G2856" t="s">
        <v>383</v>
      </c>
      <c r="H2856" t="s">
        <v>9058</v>
      </c>
      <c r="I2856" t="s">
        <v>9059</v>
      </c>
      <c r="J2856" t="s">
        <v>1215</v>
      </c>
      <c r="K2856" t="s">
        <v>55</v>
      </c>
      <c r="L2856" t="s">
        <v>3277</v>
      </c>
      <c r="M2856" t="s">
        <v>57</v>
      </c>
      <c r="N2856" t="str">
        <f>"048298"</f>
        <v>048298</v>
      </c>
      <c r="O2856" t="s">
        <v>3274</v>
      </c>
      <c r="P2856" t="s">
        <v>68</v>
      </c>
      <c r="Q2856">
        <v>60.7</v>
      </c>
      <c r="R2856">
        <v>33.5</v>
      </c>
      <c r="S2856" t="s">
        <v>77</v>
      </c>
    </row>
    <row r="2857" spans="1:19" x14ac:dyDescent="0.35">
      <c r="A2857">
        <v>39883</v>
      </c>
      <c r="B2857" t="str">
        <f>"039883"</f>
        <v>039883</v>
      </c>
      <c r="C2857" t="s">
        <v>9060</v>
      </c>
      <c r="D2857" t="s">
        <v>3398</v>
      </c>
      <c r="E2857" t="s">
        <v>3395</v>
      </c>
      <c r="F2857" t="s">
        <v>3396</v>
      </c>
      <c r="G2857" t="s">
        <v>344</v>
      </c>
      <c r="H2857" t="s">
        <v>9061</v>
      </c>
      <c r="I2857" t="s">
        <v>9062</v>
      </c>
      <c r="J2857" t="s">
        <v>3376</v>
      </c>
      <c r="K2857" t="s">
        <v>55</v>
      </c>
      <c r="L2857" t="s">
        <v>3377</v>
      </c>
      <c r="M2857" t="s">
        <v>57</v>
      </c>
      <c r="N2857" t="str">
        <f>"045641"</f>
        <v>045641</v>
      </c>
      <c r="O2857" t="s">
        <v>3373</v>
      </c>
      <c r="P2857" t="s">
        <v>68</v>
      </c>
      <c r="Q2857">
        <v>27.9</v>
      </c>
      <c r="R2857">
        <v>26.599999999999994</v>
      </c>
      <c r="S2857" t="s">
        <v>156</v>
      </c>
    </row>
    <row r="2858" spans="1:19" x14ac:dyDescent="0.35">
      <c r="A2858">
        <v>39891</v>
      </c>
      <c r="B2858" t="str">
        <f>"039891"</f>
        <v>039891</v>
      </c>
      <c r="C2858" t="s">
        <v>9063</v>
      </c>
      <c r="D2858" t="s">
        <v>3394</v>
      </c>
      <c r="E2858" t="s">
        <v>3395</v>
      </c>
      <c r="F2858" t="s">
        <v>3396</v>
      </c>
      <c r="G2858" t="s">
        <v>63</v>
      </c>
      <c r="H2858" t="s">
        <v>9064</v>
      </c>
      <c r="I2858" t="s">
        <v>9065</v>
      </c>
      <c r="J2858" t="s">
        <v>285</v>
      </c>
      <c r="K2858" t="s">
        <v>55</v>
      </c>
      <c r="L2858" t="s">
        <v>3458</v>
      </c>
      <c r="M2858" t="s">
        <v>57</v>
      </c>
      <c r="N2858" t="str">
        <f>"043786"</f>
        <v>043786</v>
      </c>
      <c r="O2858" t="s">
        <v>1340</v>
      </c>
      <c r="P2858" t="s">
        <v>68</v>
      </c>
      <c r="Q2858">
        <v>100</v>
      </c>
      <c r="R2858">
        <v>87.9</v>
      </c>
      <c r="S2858" t="s">
        <v>69</v>
      </c>
    </row>
    <row r="2859" spans="1:19" x14ac:dyDescent="0.35">
      <c r="A2859">
        <v>39909</v>
      </c>
      <c r="B2859" t="str">
        <f>"039909"</f>
        <v>039909</v>
      </c>
      <c r="C2859" t="s">
        <v>9066</v>
      </c>
      <c r="D2859" t="s">
        <v>3398</v>
      </c>
      <c r="E2859" t="s">
        <v>3395</v>
      </c>
      <c r="F2859" t="s">
        <v>3396</v>
      </c>
      <c r="G2859" t="s">
        <v>194</v>
      </c>
      <c r="H2859" t="s">
        <v>9067</v>
      </c>
      <c r="I2859" t="s">
        <v>9068</v>
      </c>
      <c r="J2859" t="s">
        <v>1225</v>
      </c>
      <c r="K2859" t="s">
        <v>55</v>
      </c>
      <c r="L2859" t="s">
        <v>1226</v>
      </c>
      <c r="M2859" t="s">
        <v>57</v>
      </c>
      <c r="N2859" t="str">
        <f>"049148"</f>
        <v>049148</v>
      </c>
      <c r="O2859" t="s">
        <v>1222</v>
      </c>
      <c r="P2859" t="s">
        <v>68</v>
      </c>
      <c r="Q2859">
        <v>35.5</v>
      </c>
      <c r="R2859">
        <v>5.5999999999999943</v>
      </c>
      <c r="S2859" t="s">
        <v>130</v>
      </c>
    </row>
    <row r="2860" spans="1:19" x14ac:dyDescent="0.35">
      <c r="A2860">
        <v>39925</v>
      </c>
      <c r="B2860" t="str">
        <f>"039925"</f>
        <v>039925</v>
      </c>
      <c r="C2860" t="s">
        <v>9069</v>
      </c>
      <c r="D2860" t="s">
        <v>3394</v>
      </c>
      <c r="E2860" t="s">
        <v>3395</v>
      </c>
      <c r="F2860" t="s">
        <v>3396</v>
      </c>
      <c r="G2860" t="s">
        <v>172</v>
      </c>
      <c r="H2860" t="s">
        <v>680</v>
      </c>
      <c r="I2860" t="s">
        <v>681</v>
      </c>
      <c r="J2860" t="s">
        <v>682</v>
      </c>
      <c r="K2860" t="s">
        <v>55</v>
      </c>
      <c r="L2860" t="s">
        <v>683</v>
      </c>
      <c r="M2860" t="s">
        <v>57</v>
      </c>
      <c r="N2860" t="str">
        <f>"050468"</f>
        <v>050468</v>
      </c>
      <c r="O2860" t="s">
        <v>679</v>
      </c>
      <c r="P2860" t="s">
        <v>68</v>
      </c>
      <c r="Q2860">
        <v>10.7</v>
      </c>
      <c r="R2860">
        <v>8.0999999999999943</v>
      </c>
      <c r="S2860" t="s">
        <v>217</v>
      </c>
    </row>
    <row r="2861" spans="1:19" x14ac:dyDescent="0.35">
      <c r="A2861">
        <v>40048</v>
      </c>
      <c r="B2861" t="str">
        <f>"040048"</f>
        <v>040048</v>
      </c>
      <c r="C2861" t="s">
        <v>9070</v>
      </c>
      <c r="D2861" t="s">
        <v>3398</v>
      </c>
      <c r="E2861" t="s">
        <v>3395</v>
      </c>
      <c r="F2861" t="s">
        <v>3396</v>
      </c>
      <c r="G2861" t="s">
        <v>543</v>
      </c>
      <c r="H2861" t="s">
        <v>9071</v>
      </c>
      <c r="I2861" t="s">
        <v>9072</v>
      </c>
      <c r="J2861" t="s">
        <v>1252</v>
      </c>
      <c r="K2861" t="s">
        <v>55</v>
      </c>
      <c r="L2861" t="s">
        <v>1253</v>
      </c>
      <c r="M2861" t="s">
        <v>57</v>
      </c>
      <c r="N2861" t="str">
        <f>"048751"</f>
        <v>048751</v>
      </c>
      <c r="O2861" t="s">
        <v>1249</v>
      </c>
      <c r="P2861" t="s">
        <v>68</v>
      </c>
      <c r="Q2861">
        <v>51</v>
      </c>
      <c r="R2861">
        <v>46.4</v>
      </c>
      <c r="S2861" t="s">
        <v>180</v>
      </c>
    </row>
    <row r="2862" spans="1:19" x14ac:dyDescent="0.35">
      <c r="A2862">
        <v>40055</v>
      </c>
      <c r="B2862" t="str">
        <f>"040055"</f>
        <v>040055</v>
      </c>
      <c r="C2862" t="s">
        <v>9073</v>
      </c>
      <c r="D2862" t="s">
        <v>3398</v>
      </c>
      <c r="E2862" t="s">
        <v>3395</v>
      </c>
      <c r="F2862" t="s">
        <v>3396</v>
      </c>
      <c r="G2862" t="s">
        <v>172</v>
      </c>
      <c r="H2862" t="s">
        <v>9074</v>
      </c>
      <c r="I2862" t="s">
        <v>9075</v>
      </c>
      <c r="J2862" t="s">
        <v>682</v>
      </c>
      <c r="K2862" t="s">
        <v>55</v>
      </c>
      <c r="L2862" t="s">
        <v>683</v>
      </c>
      <c r="M2862" t="s">
        <v>57</v>
      </c>
      <c r="N2862" t="str">
        <f>"050468"</f>
        <v>050468</v>
      </c>
      <c r="O2862" t="s">
        <v>679</v>
      </c>
      <c r="P2862" t="s">
        <v>68</v>
      </c>
      <c r="Q2862">
        <v>12.3</v>
      </c>
      <c r="R2862">
        <v>7.7000000000000028</v>
      </c>
      <c r="S2862" t="s">
        <v>217</v>
      </c>
    </row>
    <row r="2863" spans="1:19" x14ac:dyDescent="0.35">
      <c r="A2863">
        <v>40063</v>
      </c>
      <c r="B2863" t="str">
        <f>"040063"</f>
        <v>040063</v>
      </c>
      <c r="C2863" t="s">
        <v>9076</v>
      </c>
      <c r="D2863" t="s">
        <v>3394</v>
      </c>
      <c r="E2863" t="s">
        <v>3395</v>
      </c>
      <c r="F2863" t="s">
        <v>3396</v>
      </c>
      <c r="G2863" t="s">
        <v>200</v>
      </c>
      <c r="H2863" t="s">
        <v>9077</v>
      </c>
      <c r="I2863" t="s">
        <v>9078</v>
      </c>
      <c r="J2863" t="s">
        <v>3036</v>
      </c>
      <c r="K2863" t="s">
        <v>55</v>
      </c>
      <c r="L2863" t="s">
        <v>3037</v>
      </c>
      <c r="M2863" t="s">
        <v>57</v>
      </c>
      <c r="N2863" t="str">
        <f>"044362"</f>
        <v>044362</v>
      </c>
      <c r="O2863" t="s">
        <v>3033</v>
      </c>
      <c r="P2863" t="s">
        <v>68</v>
      </c>
      <c r="Q2863">
        <v>31</v>
      </c>
      <c r="R2863">
        <v>29.099999999999994</v>
      </c>
      <c r="S2863" t="s">
        <v>156</v>
      </c>
    </row>
    <row r="2864" spans="1:19" x14ac:dyDescent="0.35">
      <c r="A2864">
        <v>40071</v>
      </c>
      <c r="B2864" t="str">
        <f>"040071"</f>
        <v>040071</v>
      </c>
      <c r="C2864" t="s">
        <v>9079</v>
      </c>
      <c r="D2864" t="s">
        <v>3398</v>
      </c>
      <c r="E2864" t="s">
        <v>3395</v>
      </c>
      <c r="F2864" t="s">
        <v>3396</v>
      </c>
      <c r="G2864" t="s">
        <v>187</v>
      </c>
      <c r="H2864" t="s">
        <v>9080</v>
      </c>
      <c r="I2864" t="s">
        <v>9081</v>
      </c>
      <c r="J2864" t="s">
        <v>2108</v>
      </c>
      <c r="K2864" t="s">
        <v>55</v>
      </c>
      <c r="L2864" t="s">
        <v>2109</v>
      </c>
      <c r="M2864" t="s">
        <v>57</v>
      </c>
      <c r="N2864" t="str">
        <f>"050583"</f>
        <v>050583</v>
      </c>
      <c r="O2864" t="s">
        <v>2105</v>
      </c>
      <c r="P2864" t="s">
        <v>68</v>
      </c>
      <c r="Q2864">
        <v>25.2</v>
      </c>
      <c r="R2864">
        <v>5.5999999999999943</v>
      </c>
      <c r="S2864" t="s">
        <v>77</v>
      </c>
    </row>
    <row r="2865" spans="1:19" x14ac:dyDescent="0.35">
      <c r="A2865">
        <v>40097</v>
      </c>
      <c r="B2865" t="str">
        <f>"040097"</f>
        <v>040097</v>
      </c>
      <c r="C2865" t="s">
        <v>9082</v>
      </c>
      <c r="D2865" t="s">
        <v>3398</v>
      </c>
      <c r="E2865" t="s">
        <v>3395</v>
      </c>
      <c r="F2865" t="s">
        <v>3396</v>
      </c>
      <c r="G2865" t="s">
        <v>554</v>
      </c>
      <c r="H2865" t="s">
        <v>2354</v>
      </c>
      <c r="I2865" t="s">
        <v>2355</v>
      </c>
      <c r="J2865" t="s">
        <v>2356</v>
      </c>
      <c r="K2865" t="s">
        <v>55</v>
      </c>
      <c r="L2865" t="s">
        <v>2357</v>
      </c>
      <c r="M2865" t="s">
        <v>57</v>
      </c>
      <c r="N2865" t="str">
        <f>"045971"</f>
        <v>045971</v>
      </c>
      <c r="O2865" t="s">
        <v>2353</v>
      </c>
      <c r="P2865" t="s">
        <v>68</v>
      </c>
      <c r="Q2865">
        <v>18.899999999999999</v>
      </c>
      <c r="R2865">
        <v>3.4000000000000057</v>
      </c>
      <c r="S2865" t="s">
        <v>156</v>
      </c>
    </row>
    <row r="2866" spans="1:19" x14ac:dyDescent="0.35">
      <c r="A2866">
        <v>40105</v>
      </c>
      <c r="B2866" t="str">
        <f>"040105"</f>
        <v>040105</v>
      </c>
      <c r="C2866" t="s">
        <v>9083</v>
      </c>
      <c r="D2866" t="s">
        <v>3394</v>
      </c>
      <c r="E2866" t="s">
        <v>3395</v>
      </c>
      <c r="F2866" t="s">
        <v>3396</v>
      </c>
      <c r="G2866" t="s">
        <v>554</v>
      </c>
      <c r="H2866" t="s">
        <v>2354</v>
      </c>
      <c r="I2866" t="s">
        <v>2355</v>
      </c>
      <c r="J2866" t="s">
        <v>2356</v>
      </c>
      <c r="K2866" t="s">
        <v>55</v>
      </c>
      <c r="L2866" t="s">
        <v>2357</v>
      </c>
      <c r="M2866" t="s">
        <v>57</v>
      </c>
      <c r="N2866" t="str">
        <f>"045971"</f>
        <v>045971</v>
      </c>
      <c r="O2866" t="s">
        <v>2353</v>
      </c>
      <c r="P2866" t="s">
        <v>68</v>
      </c>
      <c r="Q2866">
        <v>17.600000000000001</v>
      </c>
      <c r="R2866">
        <v>4.0999999999999943</v>
      </c>
      <c r="S2866" t="s">
        <v>156</v>
      </c>
    </row>
    <row r="2867" spans="1:19" x14ac:dyDescent="0.35">
      <c r="A2867">
        <v>40121</v>
      </c>
      <c r="B2867" t="str">
        <f>"040121"</f>
        <v>040121</v>
      </c>
      <c r="C2867" t="s">
        <v>9084</v>
      </c>
      <c r="D2867" t="s">
        <v>3394</v>
      </c>
      <c r="E2867" t="s">
        <v>3395</v>
      </c>
      <c r="F2867" t="s">
        <v>3396</v>
      </c>
      <c r="G2867" t="s">
        <v>543</v>
      </c>
      <c r="H2867" t="s">
        <v>9085</v>
      </c>
      <c r="I2867" t="s">
        <v>9086</v>
      </c>
      <c r="J2867" t="s">
        <v>687</v>
      </c>
      <c r="K2867" t="s">
        <v>55</v>
      </c>
      <c r="L2867" t="s">
        <v>3956</v>
      </c>
      <c r="M2867" t="s">
        <v>57</v>
      </c>
      <c r="N2867" t="str">
        <f>"043844"</f>
        <v>043844</v>
      </c>
      <c r="O2867" t="s">
        <v>985</v>
      </c>
      <c r="P2867" t="s">
        <v>68</v>
      </c>
      <c r="Q2867">
        <v>97.3</v>
      </c>
      <c r="R2867">
        <v>66.7</v>
      </c>
      <c r="S2867" t="s">
        <v>180</v>
      </c>
    </row>
    <row r="2868" spans="1:19" x14ac:dyDescent="0.35">
      <c r="A2868">
        <v>40147</v>
      </c>
      <c r="B2868" t="str">
        <f>"040147"</f>
        <v>040147</v>
      </c>
      <c r="C2868" t="s">
        <v>9087</v>
      </c>
      <c r="D2868" t="s">
        <v>3394</v>
      </c>
      <c r="E2868" t="s">
        <v>3395</v>
      </c>
      <c r="F2868" t="s">
        <v>3396</v>
      </c>
      <c r="G2868" t="s">
        <v>719</v>
      </c>
      <c r="H2868" t="s">
        <v>9088</v>
      </c>
      <c r="I2868" t="s">
        <v>9089</v>
      </c>
      <c r="J2868" t="s">
        <v>1652</v>
      </c>
      <c r="K2868" t="s">
        <v>55</v>
      </c>
      <c r="L2868" t="s">
        <v>1653</v>
      </c>
      <c r="M2868" t="s">
        <v>57</v>
      </c>
      <c r="N2868" t="str">
        <f>"044123"</f>
        <v>044123</v>
      </c>
      <c r="O2868" t="s">
        <v>1649</v>
      </c>
      <c r="P2868" t="s">
        <v>68</v>
      </c>
      <c r="Q2868">
        <v>50</v>
      </c>
      <c r="R2868">
        <v>9</v>
      </c>
      <c r="S2868" t="s">
        <v>130</v>
      </c>
    </row>
    <row r="2869" spans="1:19" x14ac:dyDescent="0.35">
      <c r="A2869">
        <v>40162</v>
      </c>
      <c r="B2869" t="str">
        <f>"040162"</f>
        <v>040162</v>
      </c>
      <c r="C2869" t="s">
        <v>9090</v>
      </c>
      <c r="D2869" t="s">
        <v>3400</v>
      </c>
      <c r="E2869" t="s">
        <v>3395</v>
      </c>
      <c r="F2869" t="s">
        <v>3396</v>
      </c>
      <c r="G2869" t="s">
        <v>600</v>
      </c>
      <c r="H2869" t="s">
        <v>9091</v>
      </c>
      <c r="I2869" t="s">
        <v>9092</v>
      </c>
      <c r="J2869" t="s">
        <v>1348</v>
      </c>
      <c r="K2869" t="s">
        <v>55</v>
      </c>
      <c r="L2869" t="s">
        <v>1349</v>
      </c>
      <c r="M2869" t="s">
        <v>57</v>
      </c>
      <c r="N2869" t="str">
        <f>"043802"</f>
        <v>043802</v>
      </c>
      <c r="O2869" t="s">
        <v>3171</v>
      </c>
      <c r="P2869" t="s">
        <v>68</v>
      </c>
      <c r="Q2869">
        <v>100</v>
      </c>
      <c r="R2869">
        <v>71</v>
      </c>
      <c r="S2869" t="s">
        <v>60</v>
      </c>
    </row>
    <row r="2870" spans="1:19" x14ac:dyDescent="0.35">
      <c r="A2870">
        <v>40170</v>
      </c>
      <c r="B2870" t="str">
        <f>"040170"</f>
        <v>040170</v>
      </c>
      <c r="C2870" t="s">
        <v>9093</v>
      </c>
      <c r="D2870" t="s">
        <v>3394</v>
      </c>
      <c r="E2870" t="s">
        <v>3395</v>
      </c>
      <c r="F2870" t="s">
        <v>3396</v>
      </c>
      <c r="G2870" t="s">
        <v>212</v>
      </c>
      <c r="H2870" t="s">
        <v>9094</v>
      </c>
      <c r="I2870" t="s">
        <v>9095</v>
      </c>
      <c r="J2870" t="s">
        <v>215</v>
      </c>
      <c r="K2870" t="s">
        <v>55</v>
      </c>
      <c r="L2870" t="s">
        <v>614</v>
      </c>
      <c r="M2870" t="s">
        <v>57</v>
      </c>
      <c r="N2870" t="str">
        <f>"047365"</f>
        <v>047365</v>
      </c>
      <c r="O2870" t="s">
        <v>611</v>
      </c>
      <c r="P2870" t="s">
        <v>68</v>
      </c>
      <c r="Q2870">
        <v>100</v>
      </c>
      <c r="R2870">
        <v>65.3</v>
      </c>
      <c r="S2870" t="s">
        <v>217</v>
      </c>
    </row>
    <row r="2871" spans="1:19" x14ac:dyDescent="0.35">
      <c r="A2871">
        <v>40188</v>
      </c>
      <c r="B2871" t="str">
        <f>"040188"</f>
        <v>040188</v>
      </c>
      <c r="C2871" t="s">
        <v>9096</v>
      </c>
      <c r="D2871" t="s">
        <v>3394</v>
      </c>
      <c r="E2871" t="s">
        <v>3395</v>
      </c>
      <c r="F2871" t="s">
        <v>3396</v>
      </c>
      <c r="G2871" t="s">
        <v>600</v>
      </c>
      <c r="H2871" t="s">
        <v>9097</v>
      </c>
      <c r="I2871" t="s">
        <v>9098</v>
      </c>
      <c r="J2871" t="s">
        <v>1348</v>
      </c>
      <c r="K2871" t="s">
        <v>55</v>
      </c>
      <c r="L2871" t="s">
        <v>9099</v>
      </c>
      <c r="M2871" t="s">
        <v>57</v>
      </c>
      <c r="N2871" t="str">
        <f>"043802"</f>
        <v>043802</v>
      </c>
      <c r="O2871" t="s">
        <v>3171</v>
      </c>
      <c r="P2871" t="s">
        <v>68</v>
      </c>
      <c r="Q2871">
        <v>100</v>
      </c>
      <c r="R2871">
        <v>89.8</v>
      </c>
      <c r="S2871" t="s">
        <v>60</v>
      </c>
    </row>
    <row r="2872" spans="1:19" x14ac:dyDescent="0.35">
      <c r="A2872">
        <v>40196</v>
      </c>
      <c r="B2872" t="str">
        <f>"040196"</f>
        <v>040196</v>
      </c>
      <c r="C2872" t="s">
        <v>9100</v>
      </c>
      <c r="D2872" t="s">
        <v>3394</v>
      </c>
      <c r="E2872" t="s">
        <v>3395</v>
      </c>
      <c r="F2872" t="s">
        <v>3396</v>
      </c>
      <c r="G2872" t="s">
        <v>543</v>
      </c>
      <c r="H2872" t="s">
        <v>9101</v>
      </c>
      <c r="I2872" t="s">
        <v>9102</v>
      </c>
      <c r="J2872" t="s">
        <v>1858</v>
      </c>
      <c r="K2872" t="s">
        <v>55</v>
      </c>
      <c r="L2872" t="s">
        <v>1859</v>
      </c>
      <c r="M2872" t="s">
        <v>57</v>
      </c>
      <c r="N2872" t="str">
        <f>"043737"</f>
        <v>043737</v>
      </c>
      <c r="O2872" t="s">
        <v>1855</v>
      </c>
      <c r="P2872" t="s">
        <v>68</v>
      </c>
      <c r="Q2872">
        <v>10.5</v>
      </c>
      <c r="R2872">
        <v>26.5</v>
      </c>
      <c r="S2872" t="s">
        <v>180</v>
      </c>
    </row>
    <row r="2873" spans="1:19" x14ac:dyDescent="0.35">
      <c r="A2873">
        <v>40246</v>
      </c>
      <c r="B2873" t="str">
        <f>"040246"</f>
        <v>040246</v>
      </c>
      <c r="C2873" t="s">
        <v>9103</v>
      </c>
      <c r="D2873" t="s">
        <v>3394</v>
      </c>
      <c r="E2873" t="s">
        <v>3395</v>
      </c>
      <c r="F2873" t="s">
        <v>3396</v>
      </c>
      <c r="G2873" t="s">
        <v>135</v>
      </c>
      <c r="H2873" t="s">
        <v>8491</v>
      </c>
      <c r="I2873" t="s">
        <v>8492</v>
      </c>
      <c r="J2873" t="s">
        <v>279</v>
      </c>
      <c r="K2873" t="s">
        <v>55</v>
      </c>
      <c r="L2873" t="s">
        <v>280</v>
      </c>
      <c r="M2873" t="s">
        <v>57</v>
      </c>
      <c r="N2873" t="str">
        <f>"044826"</f>
        <v>044826</v>
      </c>
      <c r="O2873" t="s">
        <v>276</v>
      </c>
      <c r="P2873" t="s">
        <v>68</v>
      </c>
      <c r="Q2873">
        <v>100</v>
      </c>
      <c r="R2873">
        <v>31.799999999999997</v>
      </c>
      <c r="S2873" t="s">
        <v>130</v>
      </c>
    </row>
    <row r="2874" spans="1:19" x14ac:dyDescent="0.35">
      <c r="A2874">
        <v>40261</v>
      </c>
      <c r="B2874" t="str">
        <f>"040261"</f>
        <v>040261</v>
      </c>
      <c r="C2874" t="s">
        <v>9104</v>
      </c>
      <c r="D2874" t="s">
        <v>3398</v>
      </c>
      <c r="E2874" t="s">
        <v>3395</v>
      </c>
      <c r="F2874" t="s">
        <v>3396</v>
      </c>
      <c r="G2874" t="s">
        <v>351</v>
      </c>
      <c r="H2874" t="s">
        <v>9105</v>
      </c>
      <c r="I2874" t="s">
        <v>9106</v>
      </c>
      <c r="J2874" t="s">
        <v>1839</v>
      </c>
      <c r="K2874" t="s">
        <v>55</v>
      </c>
      <c r="L2874" t="s">
        <v>1840</v>
      </c>
      <c r="M2874" t="s">
        <v>57</v>
      </c>
      <c r="N2874" t="str">
        <f>"045021"</f>
        <v>045021</v>
      </c>
      <c r="O2874" t="s">
        <v>1836</v>
      </c>
      <c r="P2874" t="s">
        <v>68</v>
      </c>
      <c r="Q2874">
        <v>99.7</v>
      </c>
      <c r="R2874">
        <v>3.4000000000000057</v>
      </c>
      <c r="S2874" t="s">
        <v>130</v>
      </c>
    </row>
    <row r="2875" spans="1:19" x14ac:dyDescent="0.35">
      <c r="A2875">
        <v>40279</v>
      </c>
      <c r="B2875" t="str">
        <f>"040279"</f>
        <v>040279</v>
      </c>
      <c r="C2875" t="s">
        <v>9107</v>
      </c>
      <c r="D2875" t="s">
        <v>3398</v>
      </c>
      <c r="E2875" t="s">
        <v>3395</v>
      </c>
      <c r="F2875" t="s">
        <v>3396</v>
      </c>
      <c r="G2875" t="s">
        <v>536</v>
      </c>
      <c r="H2875" t="s">
        <v>9108</v>
      </c>
      <c r="I2875" t="s">
        <v>9109</v>
      </c>
      <c r="J2875" t="s">
        <v>958</v>
      </c>
      <c r="K2875" t="s">
        <v>55</v>
      </c>
      <c r="L2875" t="s">
        <v>959</v>
      </c>
      <c r="M2875" t="s">
        <v>57</v>
      </c>
      <c r="N2875" t="str">
        <f>"045039"</f>
        <v>045039</v>
      </c>
      <c r="O2875" t="s">
        <v>955</v>
      </c>
      <c r="P2875" t="s">
        <v>68</v>
      </c>
      <c r="Q2875">
        <v>99.6</v>
      </c>
      <c r="R2875">
        <v>14.900000000000006</v>
      </c>
      <c r="S2875" t="s">
        <v>77</v>
      </c>
    </row>
    <row r="2876" spans="1:19" x14ac:dyDescent="0.35">
      <c r="A2876">
        <v>40287</v>
      </c>
      <c r="B2876" t="str">
        <f>"040287"</f>
        <v>040287</v>
      </c>
      <c r="C2876" t="s">
        <v>9110</v>
      </c>
      <c r="D2876" t="s">
        <v>3400</v>
      </c>
      <c r="E2876" t="s">
        <v>3395</v>
      </c>
      <c r="F2876" t="s">
        <v>3396</v>
      </c>
      <c r="G2876" t="s">
        <v>71</v>
      </c>
      <c r="H2876" t="s">
        <v>9111</v>
      </c>
      <c r="I2876" t="s">
        <v>9112</v>
      </c>
      <c r="J2876" t="s">
        <v>447</v>
      </c>
      <c r="K2876" t="s">
        <v>55</v>
      </c>
      <c r="L2876" t="s">
        <v>448</v>
      </c>
      <c r="M2876" t="s">
        <v>57</v>
      </c>
      <c r="N2876" t="str">
        <f>"044487"</f>
        <v>044487</v>
      </c>
      <c r="O2876" t="s">
        <v>444</v>
      </c>
      <c r="P2876" t="s">
        <v>68</v>
      </c>
      <c r="Q2876">
        <v>44.9</v>
      </c>
      <c r="R2876">
        <v>18.400000000000006</v>
      </c>
      <c r="S2876" t="s">
        <v>77</v>
      </c>
    </row>
    <row r="2877" spans="1:19" x14ac:dyDescent="0.35">
      <c r="A2877">
        <v>40295</v>
      </c>
      <c r="B2877" t="str">
        <f>"040295"</f>
        <v>040295</v>
      </c>
      <c r="C2877" t="s">
        <v>9113</v>
      </c>
      <c r="D2877" t="s">
        <v>3394</v>
      </c>
      <c r="E2877" t="s">
        <v>3395</v>
      </c>
      <c r="F2877" t="s">
        <v>3396</v>
      </c>
      <c r="G2877" t="s">
        <v>200</v>
      </c>
      <c r="H2877" t="s">
        <v>6014</v>
      </c>
      <c r="I2877" t="s">
        <v>6015</v>
      </c>
      <c r="J2877" t="s">
        <v>304</v>
      </c>
      <c r="K2877" t="s">
        <v>55</v>
      </c>
      <c r="L2877" t="s">
        <v>4721</v>
      </c>
      <c r="M2877" t="s">
        <v>57</v>
      </c>
      <c r="N2877" t="str">
        <f>"048231"</f>
        <v>048231</v>
      </c>
      <c r="O2877" t="s">
        <v>1553</v>
      </c>
      <c r="P2877" t="s">
        <v>68</v>
      </c>
      <c r="Q2877">
        <v>66.099999999999994</v>
      </c>
      <c r="R2877">
        <v>42.9</v>
      </c>
      <c r="S2877" t="s">
        <v>156</v>
      </c>
    </row>
    <row r="2878" spans="1:19" x14ac:dyDescent="0.35">
      <c r="A2878">
        <v>40303</v>
      </c>
      <c r="B2878" t="str">
        <f>"040303"</f>
        <v>040303</v>
      </c>
      <c r="C2878" t="s">
        <v>9114</v>
      </c>
      <c r="D2878" t="s">
        <v>3394</v>
      </c>
      <c r="E2878" t="s">
        <v>3395</v>
      </c>
      <c r="F2878" t="s">
        <v>3396</v>
      </c>
      <c r="G2878" t="s">
        <v>1335</v>
      </c>
      <c r="H2878" t="s">
        <v>9115</v>
      </c>
      <c r="I2878" t="s">
        <v>9116</v>
      </c>
      <c r="J2878" t="s">
        <v>1338</v>
      </c>
      <c r="K2878" t="s">
        <v>55</v>
      </c>
      <c r="L2878" t="s">
        <v>1339</v>
      </c>
      <c r="M2878" t="s">
        <v>57</v>
      </c>
      <c r="N2878" t="str">
        <f>"045294"</f>
        <v>045294</v>
      </c>
      <c r="O2878" t="s">
        <v>3352</v>
      </c>
      <c r="P2878" t="s">
        <v>68</v>
      </c>
      <c r="Q2878">
        <v>50.1</v>
      </c>
      <c r="R2878">
        <v>8.0999999999999943</v>
      </c>
      <c r="S2878" t="s">
        <v>130</v>
      </c>
    </row>
    <row r="2879" spans="1:19" x14ac:dyDescent="0.35">
      <c r="A2879">
        <v>40311</v>
      </c>
      <c r="B2879" t="str">
        <f>"040311"</f>
        <v>040311</v>
      </c>
      <c r="C2879" t="s">
        <v>9117</v>
      </c>
      <c r="D2879" t="s">
        <v>3394</v>
      </c>
      <c r="E2879" t="s">
        <v>3395</v>
      </c>
      <c r="F2879" t="s">
        <v>3396</v>
      </c>
      <c r="G2879" t="s">
        <v>423</v>
      </c>
      <c r="H2879" t="s">
        <v>4875</v>
      </c>
      <c r="I2879" t="s">
        <v>4876</v>
      </c>
      <c r="J2879" t="s">
        <v>2587</v>
      </c>
      <c r="K2879" t="s">
        <v>55</v>
      </c>
      <c r="L2879" t="s">
        <v>2588</v>
      </c>
      <c r="M2879" t="s">
        <v>57</v>
      </c>
      <c r="N2879" t="str">
        <f>"048595"</f>
        <v>048595</v>
      </c>
      <c r="O2879" t="s">
        <v>2584</v>
      </c>
      <c r="P2879" t="s">
        <v>68</v>
      </c>
      <c r="Q2879">
        <v>8</v>
      </c>
      <c r="R2879">
        <v>3.5</v>
      </c>
      <c r="S2879" t="s">
        <v>156</v>
      </c>
    </row>
    <row r="2880" spans="1:19" x14ac:dyDescent="0.35">
      <c r="A2880">
        <v>40337</v>
      </c>
      <c r="B2880" t="str">
        <f>"040337"</f>
        <v>040337</v>
      </c>
      <c r="C2880" t="s">
        <v>9118</v>
      </c>
      <c r="D2880" t="s">
        <v>3394</v>
      </c>
      <c r="E2880" t="s">
        <v>3395</v>
      </c>
      <c r="F2880" t="s">
        <v>3396</v>
      </c>
      <c r="G2880" t="s">
        <v>554</v>
      </c>
      <c r="H2880" t="s">
        <v>9119</v>
      </c>
      <c r="I2880" t="s">
        <v>9120</v>
      </c>
      <c r="J2880" t="s">
        <v>2223</v>
      </c>
      <c r="K2880" t="s">
        <v>55</v>
      </c>
      <c r="L2880" t="s">
        <v>2224</v>
      </c>
      <c r="M2880" t="s">
        <v>57</v>
      </c>
      <c r="N2880" t="str">
        <f>"044727"</f>
        <v>044727</v>
      </c>
      <c r="O2880" t="s">
        <v>2220</v>
      </c>
      <c r="P2880" t="s">
        <v>68</v>
      </c>
      <c r="Q2880">
        <v>44</v>
      </c>
      <c r="R2880">
        <v>9.2999999999999972</v>
      </c>
      <c r="S2880" t="s">
        <v>156</v>
      </c>
    </row>
    <row r="2881" spans="1:19" x14ac:dyDescent="0.35">
      <c r="A2881">
        <v>40345</v>
      </c>
      <c r="B2881" t="str">
        <f>"040345"</f>
        <v>040345</v>
      </c>
      <c r="C2881" t="s">
        <v>6086</v>
      </c>
      <c r="D2881" t="s">
        <v>3394</v>
      </c>
      <c r="E2881" t="s">
        <v>3395</v>
      </c>
      <c r="F2881" t="s">
        <v>3396</v>
      </c>
      <c r="G2881" t="s">
        <v>71</v>
      </c>
      <c r="H2881" t="s">
        <v>9121</v>
      </c>
      <c r="I2881" t="s">
        <v>9122</v>
      </c>
      <c r="J2881" t="s">
        <v>88</v>
      </c>
      <c r="K2881" t="s">
        <v>55</v>
      </c>
      <c r="L2881" t="s">
        <v>89</v>
      </c>
      <c r="M2881" t="s">
        <v>57</v>
      </c>
      <c r="N2881" t="str">
        <f>"045542"</f>
        <v>045542</v>
      </c>
      <c r="O2881" t="s">
        <v>85</v>
      </c>
      <c r="P2881" t="s">
        <v>68</v>
      </c>
      <c r="Q2881">
        <v>62.8</v>
      </c>
      <c r="R2881">
        <v>7.9000000000000057</v>
      </c>
      <c r="S2881" t="s">
        <v>77</v>
      </c>
    </row>
    <row r="2882" spans="1:19" x14ac:dyDescent="0.35">
      <c r="A2882">
        <v>40352</v>
      </c>
      <c r="B2882" t="str">
        <f>"040352"</f>
        <v>040352</v>
      </c>
      <c r="C2882" t="s">
        <v>6086</v>
      </c>
      <c r="D2882" t="s">
        <v>3394</v>
      </c>
      <c r="E2882" t="s">
        <v>3395</v>
      </c>
      <c r="F2882" t="s">
        <v>3396</v>
      </c>
      <c r="G2882" t="s">
        <v>71</v>
      </c>
      <c r="H2882" t="s">
        <v>9123</v>
      </c>
      <c r="I2882" t="s">
        <v>9124</v>
      </c>
      <c r="J2882" t="s">
        <v>447</v>
      </c>
      <c r="K2882" t="s">
        <v>55</v>
      </c>
      <c r="L2882" t="s">
        <v>448</v>
      </c>
      <c r="M2882" t="s">
        <v>57</v>
      </c>
      <c r="N2882" t="str">
        <f>"044487"</f>
        <v>044487</v>
      </c>
      <c r="O2882" t="s">
        <v>444</v>
      </c>
      <c r="P2882" t="s">
        <v>68</v>
      </c>
      <c r="Q2882">
        <v>52.6</v>
      </c>
      <c r="R2882">
        <v>25.099999999999994</v>
      </c>
      <c r="S2882" t="s">
        <v>77</v>
      </c>
    </row>
    <row r="2883" spans="1:19" x14ac:dyDescent="0.35">
      <c r="A2883">
        <v>40360</v>
      </c>
      <c r="B2883" t="str">
        <f>"040360"</f>
        <v>040360</v>
      </c>
      <c r="C2883" t="s">
        <v>9125</v>
      </c>
      <c r="D2883" t="s">
        <v>3394</v>
      </c>
      <c r="E2883" t="s">
        <v>3395</v>
      </c>
      <c r="F2883" t="s">
        <v>3396</v>
      </c>
      <c r="G2883" t="s">
        <v>423</v>
      </c>
      <c r="H2883" t="s">
        <v>9126</v>
      </c>
      <c r="I2883" t="s">
        <v>9127</v>
      </c>
      <c r="J2883" t="s">
        <v>426</v>
      </c>
      <c r="K2883" t="s">
        <v>55</v>
      </c>
      <c r="L2883" t="s">
        <v>427</v>
      </c>
      <c r="M2883" t="s">
        <v>57</v>
      </c>
      <c r="N2883" t="str">
        <f>"043729"</f>
        <v>043729</v>
      </c>
      <c r="O2883" t="s">
        <v>1485</v>
      </c>
      <c r="P2883" t="s">
        <v>68</v>
      </c>
      <c r="Q2883">
        <v>50</v>
      </c>
      <c r="R2883">
        <v>12.900000000000006</v>
      </c>
      <c r="S2883" t="s">
        <v>156</v>
      </c>
    </row>
    <row r="2884" spans="1:19" x14ac:dyDescent="0.35">
      <c r="A2884">
        <v>40386</v>
      </c>
      <c r="B2884" t="str">
        <f>"040386"</f>
        <v>040386</v>
      </c>
      <c r="C2884" t="s">
        <v>9128</v>
      </c>
      <c r="D2884" t="s">
        <v>3394</v>
      </c>
      <c r="E2884" t="s">
        <v>3395</v>
      </c>
      <c r="F2884" t="s">
        <v>3396</v>
      </c>
      <c r="G2884" t="s">
        <v>244</v>
      </c>
      <c r="H2884" t="s">
        <v>9129</v>
      </c>
      <c r="I2884" t="s">
        <v>9130</v>
      </c>
      <c r="J2884" t="s">
        <v>92</v>
      </c>
      <c r="K2884" t="s">
        <v>55</v>
      </c>
      <c r="L2884" t="s">
        <v>2423</v>
      </c>
      <c r="M2884" t="s">
        <v>57</v>
      </c>
      <c r="N2884" t="str">
        <f>"046102"</f>
        <v>046102</v>
      </c>
      <c r="O2884" t="s">
        <v>2420</v>
      </c>
      <c r="P2884" t="s">
        <v>68</v>
      </c>
      <c r="Q2884">
        <v>45.7</v>
      </c>
      <c r="R2884">
        <v>46.8</v>
      </c>
      <c r="S2884" t="s">
        <v>217</v>
      </c>
    </row>
    <row r="2885" spans="1:19" x14ac:dyDescent="0.35">
      <c r="A2885">
        <v>40410</v>
      </c>
      <c r="B2885" t="str">
        <f>"040410"</f>
        <v>040410</v>
      </c>
      <c r="C2885" t="s">
        <v>9131</v>
      </c>
      <c r="D2885" t="s">
        <v>3394</v>
      </c>
      <c r="E2885" t="s">
        <v>3395</v>
      </c>
      <c r="F2885" t="s">
        <v>3396</v>
      </c>
      <c r="G2885" t="s">
        <v>194</v>
      </c>
      <c r="H2885" t="s">
        <v>9132</v>
      </c>
      <c r="I2885" t="s">
        <v>9133</v>
      </c>
      <c r="J2885" t="s">
        <v>1225</v>
      </c>
      <c r="K2885" t="s">
        <v>55</v>
      </c>
      <c r="L2885" t="s">
        <v>1226</v>
      </c>
      <c r="M2885" t="s">
        <v>57</v>
      </c>
      <c r="N2885" t="str">
        <f>"049148"</f>
        <v>049148</v>
      </c>
      <c r="O2885" t="s">
        <v>1222</v>
      </c>
      <c r="P2885" t="s">
        <v>68</v>
      </c>
      <c r="Q2885">
        <v>100</v>
      </c>
      <c r="R2885">
        <v>5.7000000000000028</v>
      </c>
      <c r="S2885" t="s">
        <v>130</v>
      </c>
    </row>
    <row r="2886" spans="1:19" x14ac:dyDescent="0.35">
      <c r="A2886">
        <v>40436</v>
      </c>
      <c r="B2886" t="str">
        <f>"040436"</f>
        <v>040436</v>
      </c>
      <c r="C2886" t="s">
        <v>9134</v>
      </c>
      <c r="D2886" t="s">
        <v>3400</v>
      </c>
      <c r="E2886" t="s">
        <v>3395</v>
      </c>
      <c r="F2886" t="s">
        <v>3396</v>
      </c>
      <c r="G2886" t="s">
        <v>383</v>
      </c>
      <c r="H2886" t="s">
        <v>9135</v>
      </c>
      <c r="I2886" t="s">
        <v>9136</v>
      </c>
      <c r="J2886" t="s">
        <v>1215</v>
      </c>
      <c r="K2886" t="s">
        <v>55</v>
      </c>
      <c r="L2886" t="s">
        <v>4319</v>
      </c>
      <c r="M2886" t="s">
        <v>57</v>
      </c>
      <c r="N2886" t="str">
        <f>"045161"</f>
        <v>045161</v>
      </c>
      <c r="O2886" t="s">
        <v>1212</v>
      </c>
      <c r="P2886" t="s">
        <v>68</v>
      </c>
      <c r="Q2886">
        <v>100</v>
      </c>
      <c r="R2886">
        <v>83</v>
      </c>
      <c r="S2886" t="s">
        <v>77</v>
      </c>
    </row>
    <row r="2887" spans="1:19" x14ac:dyDescent="0.35">
      <c r="A2887">
        <v>40477</v>
      </c>
      <c r="B2887" t="str">
        <f>"040477"</f>
        <v>040477</v>
      </c>
      <c r="C2887" t="s">
        <v>9137</v>
      </c>
      <c r="D2887" t="s">
        <v>3394</v>
      </c>
      <c r="E2887" t="s">
        <v>3395</v>
      </c>
      <c r="F2887" t="s">
        <v>3396</v>
      </c>
      <c r="G2887" t="s">
        <v>901</v>
      </c>
      <c r="H2887" t="s">
        <v>9138</v>
      </c>
      <c r="I2887" t="s">
        <v>9139</v>
      </c>
      <c r="J2887" t="s">
        <v>904</v>
      </c>
      <c r="K2887" t="s">
        <v>55</v>
      </c>
      <c r="L2887" t="s">
        <v>905</v>
      </c>
      <c r="M2887" t="s">
        <v>57</v>
      </c>
      <c r="N2887" t="str">
        <f>"044420"</f>
        <v>044420</v>
      </c>
      <c r="O2887" t="s">
        <v>2345</v>
      </c>
      <c r="P2887" t="s">
        <v>68</v>
      </c>
      <c r="Q2887">
        <v>40.200000000000003</v>
      </c>
      <c r="R2887">
        <v>7.2999999999999972</v>
      </c>
      <c r="S2887" t="s">
        <v>60</v>
      </c>
    </row>
    <row r="2888" spans="1:19" x14ac:dyDescent="0.35">
      <c r="A2888">
        <v>40527</v>
      </c>
      <c r="B2888" t="str">
        <f>"040527"</f>
        <v>040527</v>
      </c>
      <c r="C2888" t="s">
        <v>9140</v>
      </c>
      <c r="D2888" t="s">
        <v>3398</v>
      </c>
      <c r="E2888" t="s">
        <v>3395</v>
      </c>
      <c r="F2888" t="s">
        <v>3396</v>
      </c>
      <c r="G2888" t="s">
        <v>600</v>
      </c>
      <c r="H2888" t="s">
        <v>9141</v>
      </c>
      <c r="I2888" t="s">
        <v>9142</v>
      </c>
      <c r="J2888" t="s">
        <v>1348</v>
      </c>
      <c r="K2888" t="s">
        <v>55</v>
      </c>
      <c r="L2888" t="s">
        <v>3854</v>
      </c>
      <c r="M2888" t="s">
        <v>57</v>
      </c>
      <c r="N2888" t="str">
        <f>"043802"</f>
        <v>043802</v>
      </c>
      <c r="O2888" t="s">
        <v>3171</v>
      </c>
      <c r="P2888" t="s">
        <v>68</v>
      </c>
      <c r="Q2888">
        <v>100</v>
      </c>
      <c r="R2888">
        <v>75.3</v>
      </c>
      <c r="S2888" t="s">
        <v>60</v>
      </c>
    </row>
    <row r="2889" spans="1:19" x14ac:dyDescent="0.35">
      <c r="A2889">
        <v>40527</v>
      </c>
      <c r="B2889" t="str">
        <f>"040527"</f>
        <v>040527</v>
      </c>
      <c r="C2889" t="s">
        <v>9140</v>
      </c>
      <c r="D2889" t="s">
        <v>3929</v>
      </c>
      <c r="E2889" t="s">
        <v>3395</v>
      </c>
      <c r="F2889" t="s">
        <v>3396</v>
      </c>
      <c r="G2889" t="s">
        <v>600</v>
      </c>
      <c r="H2889" t="s">
        <v>9141</v>
      </c>
      <c r="I2889" t="s">
        <v>9142</v>
      </c>
      <c r="J2889" t="s">
        <v>1348</v>
      </c>
      <c r="K2889" t="s">
        <v>55</v>
      </c>
      <c r="L2889" t="s">
        <v>3854</v>
      </c>
      <c r="M2889" t="s">
        <v>57</v>
      </c>
      <c r="N2889" t="str">
        <f>"043802"</f>
        <v>043802</v>
      </c>
      <c r="O2889" t="s">
        <v>3171</v>
      </c>
      <c r="P2889" t="s">
        <v>68</v>
      </c>
      <c r="Q2889">
        <v>100</v>
      </c>
      <c r="R2889">
        <v>75.3</v>
      </c>
      <c r="S2889" t="s">
        <v>60</v>
      </c>
    </row>
    <row r="2890" spans="1:19" x14ac:dyDescent="0.35">
      <c r="A2890">
        <v>40568</v>
      </c>
      <c r="B2890" t="str">
        <f>"040568"</f>
        <v>040568</v>
      </c>
      <c r="C2890" t="s">
        <v>9143</v>
      </c>
      <c r="D2890" t="s">
        <v>3400</v>
      </c>
      <c r="E2890" t="s">
        <v>3395</v>
      </c>
      <c r="F2890" t="s">
        <v>3396</v>
      </c>
      <c r="G2890" t="s">
        <v>642</v>
      </c>
      <c r="H2890" t="s">
        <v>9144</v>
      </c>
      <c r="I2890" t="s">
        <v>9145</v>
      </c>
      <c r="J2890" t="s">
        <v>1469</v>
      </c>
      <c r="K2890" t="s">
        <v>55</v>
      </c>
      <c r="L2890" t="s">
        <v>1470</v>
      </c>
      <c r="M2890" t="s">
        <v>57</v>
      </c>
      <c r="N2890" t="str">
        <f>"045153"</f>
        <v>045153</v>
      </c>
      <c r="O2890" t="s">
        <v>2754</v>
      </c>
      <c r="P2890" t="s">
        <v>68</v>
      </c>
      <c r="Q2890">
        <v>99.6</v>
      </c>
      <c r="R2890">
        <v>26.799999999999997</v>
      </c>
      <c r="S2890" t="s">
        <v>180</v>
      </c>
    </row>
    <row r="2891" spans="1:19" x14ac:dyDescent="0.35">
      <c r="A2891">
        <v>40576</v>
      </c>
      <c r="B2891" t="str">
        <f>"040576"</f>
        <v>040576</v>
      </c>
      <c r="C2891" t="s">
        <v>9146</v>
      </c>
      <c r="D2891" t="s">
        <v>3400</v>
      </c>
      <c r="E2891" t="s">
        <v>3395</v>
      </c>
      <c r="F2891" t="s">
        <v>3396</v>
      </c>
      <c r="G2891" t="s">
        <v>1193</v>
      </c>
      <c r="H2891" t="s">
        <v>9147</v>
      </c>
      <c r="I2891" t="s">
        <v>9148</v>
      </c>
      <c r="J2891" t="s">
        <v>1196</v>
      </c>
      <c r="K2891" t="s">
        <v>55</v>
      </c>
      <c r="L2891" t="s">
        <v>9149</v>
      </c>
      <c r="M2891" t="s">
        <v>57</v>
      </c>
      <c r="N2891" t="str">
        <f>"044222"</f>
        <v>044222</v>
      </c>
      <c r="O2891" t="s">
        <v>1827</v>
      </c>
      <c r="P2891" t="s">
        <v>68</v>
      </c>
      <c r="Q2891">
        <v>100</v>
      </c>
      <c r="R2891">
        <v>60.2</v>
      </c>
      <c r="S2891" t="s">
        <v>156</v>
      </c>
    </row>
    <row r="2892" spans="1:19" x14ac:dyDescent="0.35">
      <c r="A2892">
        <v>40584</v>
      </c>
      <c r="B2892" t="str">
        <f>"040584"</f>
        <v>040584</v>
      </c>
      <c r="C2892" t="s">
        <v>9150</v>
      </c>
      <c r="D2892" t="s">
        <v>3400</v>
      </c>
      <c r="E2892" t="s">
        <v>3395</v>
      </c>
      <c r="F2892" t="s">
        <v>3396</v>
      </c>
      <c r="G2892" t="s">
        <v>1296</v>
      </c>
      <c r="H2892" t="s">
        <v>9151</v>
      </c>
      <c r="I2892" t="s">
        <v>9152</v>
      </c>
      <c r="J2892" t="s">
        <v>1299</v>
      </c>
      <c r="K2892" t="s">
        <v>55</v>
      </c>
      <c r="L2892" t="s">
        <v>1300</v>
      </c>
      <c r="M2892" t="s">
        <v>57</v>
      </c>
      <c r="N2892" t="str">
        <f>"044891"</f>
        <v>044891</v>
      </c>
      <c r="O2892" t="s">
        <v>3295</v>
      </c>
      <c r="P2892" t="s">
        <v>68</v>
      </c>
      <c r="Q2892">
        <v>50.2</v>
      </c>
      <c r="R2892">
        <v>11.099999999999994</v>
      </c>
      <c r="S2892" t="s">
        <v>156</v>
      </c>
    </row>
    <row r="2893" spans="1:19" x14ac:dyDescent="0.35">
      <c r="A2893">
        <v>40600</v>
      </c>
      <c r="B2893" t="str">
        <f>"040600"</f>
        <v>040600</v>
      </c>
      <c r="C2893" t="s">
        <v>9153</v>
      </c>
      <c r="D2893" t="s">
        <v>3394</v>
      </c>
      <c r="E2893" t="s">
        <v>3395</v>
      </c>
      <c r="F2893" t="s">
        <v>3396</v>
      </c>
      <c r="G2893" t="s">
        <v>543</v>
      </c>
      <c r="H2893" t="s">
        <v>9154</v>
      </c>
      <c r="I2893" t="s">
        <v>9155</v>
      </c>
      <c r="J2893" t="s">
        <v>3155</v>
      </c>
      <c r="K2893" t="s">
        <v>55</v>
      </c>
      <c r="L2893" t="s">
        <v>3156</v>
      </c>
      <c r="M2893" t="s">
        <v>57</v>
      </c>
      <c r="N2893" t="str">
        <f>"048678"</f>
        <v>048678</v>
      </c>
      <c r="O2893" t="s">
        <v>3152</v>
      </c>
      <c r="P2893" t="s">
        <v>68</v>
      </c>
      <c r="Q2893">
        <v>27.1</v>
      </c>
      <c r="R2893">
        <v>6.5999999999999943</v>
      </c>
      <c r="S2893" t="s">
        <v>180</v>
      </c>
    </row>
    <row r="2894" spans="1:19" x14ac:dyDescent="0.35">
      <c r="A2894">
        <v>40618</v>
      </c>
      <c r="B2894" t="str">
        <f>"040618"</f>
        <v>040618</v>
      </c>
      <c r="C2894" t="s">
        <v>9156</v>
      </c>
      <c r="D2894" t="s">
        <v>3394</v>
      </c>
      <c r="E2894" t="s">
        <v>3395</v>
      </c>
      <c r="F2894" t="s">
        <v>3396</v>
      </c>
      <c r="G2894" t="s">
        <v>233</v>
      </c>
      <c r="H2894" t="s">
        <v>3969</v>
      </c>
      <c r="I2894" t="s">
        <v>3970</v>
      </c>
      <c r="J2894" t="s">
        <v>982</v>
      </c>
      <c r="K2894" t="s">
        <v>55</v>
      </c>
      <c r="L2894" t="s">
        <v>983</v>
      </c>
      <c r="M2894" t="s">
        <v>57</v>
      </c>
      <c r="N2894" t="str">
        <f>"045237"</f>
        <v>045237</v>
      </c>
      <c r="O2894" t="s">
        <v>979</v>
      </c>
      <c r="P2894" t="s">
        <v>68</v>
      </c>
      <c r="Q2894">
        <v>68.7</v>
      </c>
      <c r="R2894">
        <v>14.5</v>
      </c>
      <c r="S2894" t="s">
        <v>130</v>
      </c>
    </row>
    <row r="2895" spans="1:19" x14ac:dyDescent="0.35">
      <c r="A2895">
        <v>40626</v>
      </c>
      <c r="B2895" t="str">
        <f>"040626"</f>
        <v>040626</v>
      </c>
      <c r="C2895" t="s">
        <v>9157</v>
      </c>
      <c r="D2895" t="s">
        <v>3394</v>
      </c>
      <c r="E2895" t="s">
        <v>3395</v>
      </c>
      <c r="F2895" t="s">
        <v>3396</v>
      </c>
      <c r="G2895" t="s">
        <v>63</v>
      </c>
      <c r="H2895" t="s">
        <v>9158</v>
      </c>
      <c r="I2895" t="s">
        <v>9159</v>
      </c>
      <c r="J2895" t="s">
        <v>1353</v>
      </c>
      <c r="K2895" t="s">
        <v>55</v>
      </c>
      <c r="L2895" t="s">
        <v>1354</v>
      </c>
      <c r="M2895" t="s">
        <v>57</v>
      </c>
      <c r="N2895" t="str">
        <f>"043547"</f>
        <v>043547</v>
      </c>
      <c r="O2895" t="s">
        <v>1350</v>
      </c>
      <c r="P2895" t="s">
        <v>68</v>
      </c>
      <c r="Q2895">
        <v>5.8</v>
      </c>
      <c r="R2895">
        <v>11.700000000000003</v>
      </c>
      <c r="S2895" t="s">
        <v>69</v>
      </c>
    </row>
    <row r="2896" spans="1:19" x14ac:dyDescent="0.35">
      <c r="A2896">
        <v>40634</v>
      </c>
      <c r="B2896" t="str">
        <f>"040634"</f>
        <v>040634</v>
      </c>
      <c r="C2896" t="s">
        <v>9160</v>
      </c>
      <c r="D2896" t="s">
        <v>3394</v>
      </c>
      <c r="E2896" t="s">
        <v>3395</v>
      </c>
      <c r="F2896" t="s">
        <v>3396</v>
      </c>
      <c r="G2896" t="s">
        <v>288</v>
      </c>
      <c r="H2896" t="s">
        <v>9161</v>
      </c>
      <c r="I2896" t="s">
        <v>9162</v>
      </c>
      <c r="J2896" t="s">
        <v>769</v>
      </c>
      <c r="K2896" t="s">
        <v>55</v>
      </c>
      <c r="L2896" t="s">
        <v>770</v>
      </c>
      <c r="M2896" t="s">
        <v>57</v>
      </c>
      <c r="N2896" t="str">
        <f>"043588"</f>
        <v>043588</v>
      </c>
      <c r="O2896" t="s">
        <v>2054</v>
      </c>
      <c r="P2896" t="s">
        <v>68</v>
      </c>
      <c r="Q2896">
        <v>47.4</v>
      </c>
      <c r="R2896">
        <v>23</v>
      </c>
      <c r="S2896" t="s">
        <v>180</v>
      </c>
    </row>
    <row r="2897" spans="1:19" x14ac:dyDescent="0.35">
      <c r="A2897">
        <v>40659</v>
      </c>
      <c r="B2897" t="str">
        <f>"040659"</f>
        <v>040659</v>
      </c>
      <c r="C2897" t="s">
        <v>7627</v>
      </c>
      <c r="D2897" t="s">
        <v>3394</v>
      </c>
      <c r="E2897" t="s">
        <v>3395</v>
      </c>
      <c r="F2897" t="s">
        <v>3396</v>
      </c>
      <c r="G2897" t="s">
        <v>663</v>
      </c>
      <c r="H2897" t="s">
        <v>9163</v>
      </c>
      <c r="I2897" t="s">
        <v>9164</v>
      </c>
      <c r="J2897" t="s">
        <v>2030</v>
      </c>
      <c r="K2897" t="s">
        <v>55</v>
      </c>
      <c r="L2897" t="s">
        <v>2031</v>
      </c>
      <c r="M2897" t="s">
        <v>57</v>
      </c>
      <c r="N2897" t="str">
        <f>"049437"</f>
        <v>049437</v>
      </c>
      <c r="O2897" t="s">
        <v>2027</v>
      </c>
      <c r="P2897" t="s">
        <v>68</v>
      </c>
      <c r="Q2897">
        <v>18.2</v>
      </c>
      <c r="R2897">
        <v>11.099999999999994</v>
      </c>
      <c r="S2897" t="s">
        <v>77</v>
      </c>
    </row>
    <row r="2898" spans="1:19" x14ac:dyDescent="0.35">
      <c r="A2898">
        <v>40667</v>
      </c>
      <c r="B2898" t="str">
        <f>"040667"</f>
        <v>040667</v>
      </c>
      <c r="C2898" t="s">
        <v>9165</v>
      </c>
      <c r="D2898" t="s">
        <v>3398</v>
      </c>
      <c r="E2898" t="s">
        <v>3395</v>
      </c>
      <c r="F2898" t="s">
        <v>3396</v>
      </c>
      <c r="G2898" t="s">
        <v>194</v>
      </c>
      <c r="H2898" t="s">
        <v>3018</v>
      </c>
      <c r="I2898" t="s">
        <v>3019</v>
      </c>
      <c r="J2898" t="s">
        <v>3020</v>
      </c>
      <c r="K2898" t="s">
        <v>55</v>
      </c>
      <c r="L2898" t="s">
        <v>3021</v>
      </c>
      <c r="M2898" t="s">
        <v>57</v>
      </c>
      <c r="N2898" t="str">
        <f>"049155"</f>
        <v>049155</v>
      </c>
      <c r="O2898" t="s">
        <v>3017</v>
      </c>
      <c r="P2898" t="s">
        <v>68</v>
      </c>
      <c r="Q2898">
        <v>100</v>
      </c>
      <c r="R2898">
        <v>1.7000000000000028</v>
      </c>
      <c r="S2898" t="s">
        <v>130</v>
      </c>
    </row>
    <row r="2899" spans="1:19" x14ac:dyDescent="0.35">
      <c r="A2899">
        <v>40675</v>
      </c>
      <c r="B2899" t="str">
        <f>"040675"</f>
        <v>040675</v>
      </c>
      <c r="C2899" t="s">
        <v>9166</v>
      </c>
      <c r="D2899" t="s">
        <v>3398</v>
      </c>
      <c r="E2899" t="s">
        <v>3395</v>
      </c>
      <c r="F2899" t="s">
        <v>3396</v>
      </c>
      <c r="G2899" t="s">
        <v>600</v>
      </c>
      <c r="H2899" t="s">
        <v>9167</v>
      </c>
      <c r="I2899" t="s">
        <v>9168</v>
      </c>
      <c r="J2899" t="s">
        <v>2690</v>
      </c>
      <c r="K2899" t="s">
        <v>55</v>
      </c>
      <c r="L2899" t="s">
        <v>2691</v>
      </c>
      <c r="M2899" t="s">
        <v>57</v>
      </c>
      <c r="N2899" t="str">
        <f>"045047"</f>
        <v>045047</v>
      </c>
      <c r="O2899" t="s">
        <v>2687</v>
      </c>
      <c r="P2899" t="s">
        <v>68</v>
      </c>
      <c r="Q2899">
        <v>41.6</v>
      </c>
      <c r="R2899">
        <v>53.1</v>
      </c>
      <c r="S2899" t="s">
        <v>60</v>
      </c>
    </row>
    <row r="2900" spans="1:19" x14ac:dyDescent="0.35">
      <c r="A2900">
        <v>40683</v>
      </c>
      <c r="B2900" t="str">
        <f>"040683"</f>
        <v>040683</v>
      </c>
      <c r="C2900" t="s">
        <v>9169</v>
      </c>
      <c r="D2900" t="s">
        <v>3398</v>
      </c>
      <c r="E2900" t="s">
        <v>3395</v>
      </c>
      <c r="F2900" t="s">
        <v>3396</v>
      </c>
      <c r="G2900" t="s">
        <v>1567</v>
      </c>
      <c r="H2900" t="s">
        <v>2437</v>
      </c>
      <c r="I2900" t="s">
        <v>2438</v>
      </c>
      <c r="J2900" t="s">
        <v>2439</v>
      </c>
      <c r="K2900" t="s">
        <v>55</v>
      </c>
      <c r="L2900" t="s">
        <v>2440</v>
      </c>
      <c r="M2900" t="s">
        <v>57</v>
      </c>
      <c r="N2900" t="str">
        <f>"049106"</f>
        <v>049106</v>
      </c>
      <c r="O2900" t="s">
        <v>2436</v>
      </c>
      <c r="P2900" t="s">
        <v>68</v>
      </c>
      <c r="Q2900">
        <v>33.700000000000003</v>
      </c>
      <c r="R2900">
        <v>5.7000000000000028</v>
      </c>
      <c r="S2900" t="s">
        <v>60</v>
      </c>
    </row>
    <row r="2901" spans="1:19" x14ac:dyDescent="0.35">
      <c r="A2901">
        <v>40717</v>
      </c>
      <c r="B2901" t="str">
        <f>"040717"</f>
        <v>040717</v>
      </c>
      <c r="C2901" t="s">
        <v>9170</v>
      </c>
      <c r="D2901" t="s">
        <v>3400</v>
      </c>
      <c r="E2901" t="s">
        <v>3395</v>
      </c>
      <c r="F2901" t="s">
        <v>3396</v>
      </c>
      <c r="G2901" t="s">
        <v>536</v>
      </c>
      <c r="H2901" t="s">
        <v>1110</v>
      </c>
      <c r="I2901" t="s">
        <v>1111</v>
      </c>
      <c r="J2901" t="s">
        <v>539</v>
      </c>
      <c r="K2901" t="s">
        <v>55</v>
      </c>
      <c r="L2901" t="s">
        <v>540</v>
      </c>
      <c r="M2901" t="s">
        <v>57</v>
      </c>
      <c r="N2901" t="str">
        <f>"043919"</f>
        <v>043919</v>
      </c>
      <c r="O2901" t="s">
        <v>1578</v>
      </c>
      <c r="P2901" t="s">
        <v>68</v>
      </c>
      <c r="Q2901">
        <v>97.3</v>
      </c>
      <c r="R2901">
        <v>19.299999999999997</v>
      </c>
      <c r="S2901" t="s">
        <v>77</v>
      </c>
    </row>
    <row r="2902" spans="1:19" x14ac:dyDescent="0.35">
      <c r="A2902">
        <v>40725</v>
      </c>
      <c r="B2902" t="str">
        <f>"040725"</f>
        <v>040725</v>
      </c>
      <c r="C2902" t="s">
        <v>9171</v>
      </c>
      <c r="D2902" t="s">
        <v>3394</v>
      </c>
      <c r="E2902" t="s">
        <v>3395</v>
      </c>
      <c r="F2902" t="s">
        <v>3396</v>
      </c>
      <c r="G2902" t="s">
        <v>600</v>
      </c>
      <c r="H2902" t="s">
        <v>9172</v>
      </c>
      <c r="I2902" t="s">
        <v>9173</v>
      </c>
      <c r="J2902" t="s">
        <v>1348</v>
      </c>
      <c r="K2902" t="s">
        <v>55</v>
      </c>
      <c r="L2902" t="s">
        <v>3854</v>
      </c>
      <c r="M2902" t="s">
        <v>57</v>
      </c>
      <c r="N2902" t="str">
        <f>"043802"</f>
        <v>043802</v>
      </c>
      <c r="O2902" t="s">
        <v>3171</v>
      </c>
      <c r="P2902" t="s">
        <v>68</v>
      </c>
      <c r="Q2902">
        <v>100</v>
      </c>
      <c r="R2902">
        <v>45.7</v>
      </c>
      <c r="S2902" t="s">
        <v>60</v>
      </c>
    </row>
    <row r="2903" spans="1:19" x14ac:dyDescent="0.35">
      <c r="A2903">
        <v>40733</v>
      </c>
      <c r="B2903" t="str">
        <f>"040733"</f>
        <v>040733</v>
      </c>
      <c r="C2903" t="s">
        <v>9174</v>
      </c>
      <c r="D2903" t="s">
        <v>3400</v>
      </c>
      <c r="E2903" t="s">
        <v>3395</v>
      </c>
      <c r="F2903" t="s">
        <v>3396</v>
      </c>
      <c r="G2903" t="s">
        <v>536</v>
      </c>
      <c r="H2903" t="s">
        <v>4842</v>
      </c>
      <c r="I2903" t="s">
        <v>4843</v>
      </c>
      <c r="J2903" t="s">
        <v>539</v>
      </c>
      <c r="K2903" t="s">
        <v>55</v>
      </c>
      <c r="L2903" t="s">
        <v>540</v>
      </c>
      <c r="M2903" t="s">
        <v>57</v>
      </c>
      <c r="N2903" t="str">
        <f>"043919"</f>
        <v>043919</v>
      </c>
      <c r="O2903" t="s">
        <v>1578</v>
      </c>
      <c r="P2903" t="s">
        <v>68</v>
      </c>
      <c r="Q2903">
        <v>95.5</v>
      </c>
      <c r="R2903">
        <v>16.799999999999997</v>
      </c>
      <c r="S2903" t="s">
        <v>77</v>
      </c>
    </row>
    <row r="2904" spans="1:19" x14ac:dyDescent="0.35">
      <c r="A2904">
        <v>40741</v>
      </c>
      <c r="B2904" t="str">
        <f>"040741"</f>
        <v>040741</v>
      </c>
      <c r="C2904" t="s">
        <v>9175</v>
      </c>
      <c r="D2904" t="s">
        <v>3394</v>
      </c>
      <c r="E2904" t="s">
        <v>3395</v>
      </c>
      <c r="F2904" t="s">
        <v>3396</v>
      </c>
      <c r="G2904" t="s">
        <v>777</v>
      </c>
      <c r="H2904" t="s">
        <v>9176</v>
      </c>
      <c r="I2904" t="s">
        <v>9177</v>
      </c>
      <c r="J2904" t="s">
        <v>1905</v>
      </c>
      <c r="K2904" t="s">
        <v>55</v>
      </c>
      <c r="L2904" t="s">
        <v>1906</v>
      </c>
      <c r="M2904" t="s">
        <v>57</v>
      </c>
      <c r="N2904" t="str">
        <f>"046243"</f>
        <v>046243</v>
      </c>
      <c r="O2904" t="s">
        <v>1902</v>
      </c>
      <c r="P2904" t="s">
        <v>68</v>
      </c>
      <c r="Q2904">
        <v>39.700000000000003</v>
      </c>
      <c r="R2904">
        <v>23.900000000000006</v>
      </c>
      <c r="S2904" t="s">
        <v>180</v>
      </c>
    </row>
    <row r="2905" spans="1:19" x14ac:dyDescent="0.35">
      <c r="A2905">
        <v>40758</v>
      </c>
      <c r="B2905" t="str">
        <f>"040758"</f>
        <v>040758</v>
      </c>
      <c r="C2905" t="s">
        <v>9178</v>
      </c>
      <c r="D2905" t="s">
        <v>3398</v>
      </c>
      <c r="E2905" t="s">
        <v>3395</v>
      </c>
      <c r="F2905" t="s">
        <v>3396</v>
      </c>
      <c r="G2905" t="s">
        <v>63</v>
      </c>
      <c r="H2905" t="s">
        <v>9179</v>
      </c>
      <c r="I2905" t="s">
        <v>9180</v>
      </c>
      <c r="J2905" t="s">
        <v>3051</v>
      </c>
      <c r="K2905" t="s">
        <v>55</v>
      </c>
      <c r="L2905" t="s">
        <v>3052</v>
      </c>
      <c r="M2905" t="s">
        <v>57</v>
      </c>
      <c r="N2905" t="str">
        <f>"045062"</f>
        <v>045062</v>
      </c>
      <c r="O2905" t="s">
        <v>3048</v>
      </c>
      <c r="P2905" t="s">
        <v>68</v>
      </c>
      <c r="Q2905">
        <v>15.5</v>
      </c>
      <c r="R2905">
        <v>21.299999999999997</v>
      </c>
      <c r="S2905" t="s">
        <v>69</v>
      </c>
    </row>
    <row r="2906" spans="1:19" x14ac:dyDescent="0.35">
      <c r="A2906">
        <v>40774</v>
      </c>
      <c r="B2906" t="str">
        <f>"040774"</f>
        <v>040774</v>
      </c>
      <c r="C2906" t="s">
        <v>9181</v>
      </c>
      <c r="D2906" t="s">
        <v>3394</v>
      </c>
      <c r="E2906" t="s">
        <v>3395</v>
      </c>
      <c r="F2906" t="s">
        <v>3396</v>
      </c>
      <c r="G2906" t="s">
        <v>175</v>
      </c>
      <c r="H2906" t="s">
        <v>2822</v>
      </c>
      <c r="I2906" t="s">
        <v>2823</v>
      </c>
      <c r="J2906" t="s">
        <v>2824</v>
      </c>
      <c r="K2906" t="s">
        <v>55</v>
      </c>
      <c r="L2906" t="s">
        <v>2825</v>
      </c>
      <c r="M2906" t="s">
        <v>57</v>
      </c>
      <c r="N2906" t="str">
        <f>"046680"</f>
        <v>046680</v>
      </c>
      <c r="O2906" t="s">
        <v>2821</v>
      </c>
      <c r="P2906" t="s">
        <v>68</v>
      </c>
      <c r="Q2906">
        <v>38.9</v>
      </c>
      <c r="R2906">
        <v>4.4000000000000057</v>
      </c>
      <c r="S2906" t="s">
        <v>180</v>
      </c>
    </row>
    <row r="2907" spans="1:19" x14ac:dyDescent="0.35">
      <c r="A2907">
        <v>40782</v>
      </c>
      <c r="B2907" t="str">
        <f>"040782"</f>
        <v>040782</v>
      </c>
      <c r="C2907" t="s">
        <v>9182</v>
      </c>
      <c r="D2907" t="s">
        <v>3400</v>
      </c>
      <c r="E2907" t="s">
        <v>3395</v>
      </c>
      <c r="F2907" t="s">
        <v>3396</v>
      </c>
      <c r="G2907" t="s">
        <v>600</v>
      </c>
      <c r="H2907" t="s">
        <v>9183</v>
      </c>
      <c r="I2907" t="s">
        <v>9184</v>
      </c>
      <c r="J2907" t="s">
        <v>1348</v>
      </c>
      <c r="K2907" t="s">
        <v>55</v>
      </c>
      <c r="L2907" t="s">
        <v>3854</v>
      </c>
      <c r="M2907" t="s">
        <v>57</v>
      </c>
      <c r="N2907" t="str">
        <f>"043802"</f>
        <v>043802</v>
      </c>
      <c r="O2907" t="s">
        <v>3171</v>
      </c>
      <c r="P2907" t="s">
        <v>68</v>
      </c>
      <c r="Q2907">
        <v>100</v>
      </c>
      <c r="R2907">
        <v>65</v>
      </c>
      <c r="S2907" t="s">
        <v>60</v>
      </c>
    </row>
    <row r="2908" spans="1:19" x14ac:dyDescent="0.35">
      <c r="A2908">
        <v>40808</v>
      </c>
      <c r="B2908" t="str">
        <f>"040808"</f>
        <v>040808</v>
      </c>
      <c r="C2908" t="s">
        <v>9185</v>
      </c>
      <c r="D2908" t="s">
        <v>3394</v>
      </c>
      <c r="E2908" t="s">
        <v>3395</v>
      </c>
      <c r="F2908" t="s">
        <v>3396</v>
      </c>
      <c r="G2908" t="s">
        <v>143</v>
      </c>
      <c r="H2908" t="s">
        <v>9186</v>
      </c>
      <c r="I2908" t="s">
        <v>9187</v>
      </c>
      <c r="J2908" t="s">
        <v>1152</v>
      </c>
      <c r="K2908" t="s">
        <v>55</v>
      </c>
      <c r="L2908" t="s">
        <v>1153</v>
      </c>
      <c r="M2908" t="s">
        <v>57</v>
      </c>
      <c r="N2908" t="str">
        <f>"048124"</f>
        <v>048124</v>
      </c>
      <c r="O2908" t="s">
        <v>1149</v>
      </c>
      <c r="P2908" t="s">
        <v>68</v>
      </c>
      <c r="Q2908">
        <v>12.8</v>
      </c>
      <c r="R2908">
        <v>24.900000000000006</v>
      </c>
      <c r="S2908" t="s">
        <v>69</v>
      </c>
    </row>
    <row r="2909" spans="1:19" x14ac:dyDescent="0.35">
      <c r="A2909">
        <v>40857</v>
      </c>
      <c r="B2909" t="str">
        <f>"040857"</f>
        <v>040857</v>
      </c>
      <c r="C2909" t="s">
        <v>4596</v>
      </c>
      <c r="D2909" t="s">
        <v>3394</v>
      </c>
      <c r="E2909" t="s">
        <v>3395</v>
      </c>
      <c r="F2909" t="s">
        <v>3396</v>
      </c>
      <c r="G2909" t="s">
        <v>511</v>
      </c>
      <c r="H2909" t="s">
        <v>9188</v>
      </c>
      <c r="I2909" t="s">
        <v>9189</v>
      </c>
      <c r="J2909" t="s">
        <v>9190</v>
      </c>
      <c r="K2909" t="s">
        <v>55</v>
      </c>
      <c r="L2909" t="s">
        <v>9191</v>
      </c>
      <c r="M2909" t="s">
        <v>57</v>
      </c>
      <c r="N2909" t="str">
        <f>"047225"</f>
        <v>047225</v>
      </c>
      <c r="O2909" t="s">
        <v>2041</v>
      </c>
      <c r="P2909" t="s">
        <v>68</v>
      </c>
      <c r="Q2909">
        <v>9</v>
      </c>
      <c r="R2909">
        <v>9.2000000000000028</v>
      </c>
      <c r="S2909" t="s">
        <v>69</v>
      </c>
    </row>
    <row r="2910" spans="1:19" x14ac:dyDescent="0.35">
      <c r="A2910">
        <v>40865</v>
      </c>
      <c r="B2910" t="str">
        <f>"040865"</f>
        <v>040865</v>
      </c>
      <c r="C2910" t="s">
        <v>9192</v>
      </c>
      <c r="D2910" t="s">
        <v>3394</v>
      </c>
      <c r="E2910" t="s">
        <v>3395</v>
      </c>
      <c r="F2910" t="s">
        <v>3396</v>
      </c>
      <c r="G2910" t="s">
        <v>212</v>
      </c>
      <c r="H2910" t="s">
        <v>9193</v>
      </c>
      <c r="I2910" t="s">
        <v>9194</v>
      </c>
      <c r="J2910" t="s">
        <v>215</v>
      </c>
      <c r="K2910" t="s">
        <v>55</v>
      </c>
      <c r="L2910" t="s">
        <v>3974</v>
      </c>
      <c r="M2910" t="s">
        <v>57</v>
      </c>
      <c r="N2910" t="str">
        <f>"043752"</f>
        <v>043752</v>
      </c>
      <c r="O2910" t="s">
        <v>440</v>
      </c>
      <c r="P2910" t="s">
        <v>68</v>
      </c>
      <c r="Q2910">
        <v>100</v>
      </c>
      <c r="R2910">
        <v>91.4</v>
      </c>
      <c r="S2910" t="s">
        <v>217</v>
      </c>
    </row>
    <row r="2911" spans="1:19" x14ac:dyDescent="0.35">
      <c r="A2911">
        <v>40881</v>
      </c>
      <c r="B2911" t="str">
        <f>"040881"</f>
        <v>040881</v>
      </c>
      <c r="C2911" t="s">
        <v>4596</v>
      </c>
      <c r="D2911" t="s">
        <v>3394</v>
      </c>
      <c r="E2911" t="s">
        <v>3395</v>
      </c>
      <c r="F2911" t="s">
        <v>3396</v>
      </c>
      <c r="G2911" t="s">
        <v>143</v>
      </c>
      <c r="H2911" t="s">
        <v>1967</v>
      </c>
      <c r="I2911" t="s">
        <v>1968</v>
      </c>
      <c r="J2911" t="s">
        <v>1969</v>
      </c>
      <c r="K2911" t="s">
        <v>55</v>
      </c>
      <c r="L2911" t="s">
        <v>1970</v>
      </c>
      <c r="M2911" t="s">
        <v>57</v>
      </c>
      <c r="N2911" t="str">
        <f>"045658"</f>
        <v>045658</v>
      </c>
      <c r="O2911" t="s">
        <v>1966</v>
      </c>
      <c r="P2911" t="s">
        <v>68</v>
      </c>
      <c r="Q2911">
        <v>38.9</v>
      </c>
      <c r="R2911">
        <v>11.799999999999997</v>
      </c>
      <c r="S2911" t="s">
        <v>69</v>
      </c>
    </row>
    <row r="2912" spans="1:19" x14ac:dyDescent="0.35">
      <c r="A2912">
        <v>40915</v>
      </c>
      <c r="B2912" t="str">
        <f>"040915"</f>
        <v>040915</v>
      </c>
      <c r="C2912" t="s">
        <v>9195</v>
      </c>
      <c r="D2912" t="s">
        <v>3400</v>
      </c>
      <c r="E2912" t="s">
        <v>3395</v>
      </c>
      <c r="F2912" t="s">
        <v>3396</v>
      </c>
      <c r="G2912" t="s">
        <v>821</v>
      </c>
      <c r="H2912" t="s">
        <v>2047</v>
      </c>
      <c r="I2912" t="s">
        <v>2048</v>
      </c>
      <c r="J2912" t="s">
        <v>2049</v>
      </c>
      <c r="K2912" t="s">
        <v>55</v>
      </c>
      <c r="L2912" t="s">
        <v>2050</v>
      </c>
      <c r="M2912" t="s">
        <v>57</v>
      </c>
      <c r="N2912" t="str">
        <f>"047514"</f>
        <v>047514</v>
      </c>
      <c r="O2912" t="s">
        <v>2046</v>
      </c>
      <c r="P2912" t="s">
        <v>68</v>
      </c>
      <c r="Q2912">
        <v>33</v>
      </c>
      <c r="R2912">
        <v>5.7999999999999972</v>
      </c>
      <c r="S2912" t="s">
        <v>156</v>
      </c>
    </row>
    <row r="2913" spans="1:19" x14ac:dyDescent="0.35">
      <c r="A2913">
        <v>40923</v>
      </c>
      <c r="B2913" t="str">
        <f>"040923"</f>
        <v>040923</v>
      </c>
      <c r="C2913" t="s">
        <v>9196</v>
      </c>
      <c r="D2913" t="s">
        <v>3394</v>
      </c>
      <c r="E2913" t="s">
        <v>3395</v>
      </c>
      <c r="F2913" t="s">
        <v>3396</v>
      </c>
      <c r="G2913" t="s">
        <v>219</v>
      </c>
      <c r="H2913" t="s">
        <v>9197</v>
      </c>
      <c r="I2913" t="s">
        <v>9198</v>
      </c>
      <c r="J2913" t="s">
        <v>1848</v>
      </c>
      <c r="K2913" t="s">
        <v>55</v>
      </c>
      <c r="L2913" t="s">
        <v>1849</v>
      </c>
      <c r="M2913" t="s">
        <v>57</v>
      </c>
      <c r="N2913" t="str">
        <f>"049668"</f>
        <v>049668</v>
      </c>
      <c r="O2913" t="s">
        <v>1845</v>
      </c>
      <c r="P2913" t="s">
        <v>68</v>
      </c>
      <c r="Q2913">
        <v>39.799999999999997</v>
      </c>
      <c r="R2913">
        <v>6.7000000000000028</v>
      </c>
      <c r="S2913" t="s">
        <v>130</v>
      </c>
    </row>
    <row r="2914" spans="1:19" x14ac:dyDescent="0.35">
      <c r="A2914">
        <v>40931</v>
      </c>
      <c r="B2914" t="str">
        <f>"040931"</f>
        <v>040931</v>
      </c>
      <c r="C2914" t="s">
        <v>9199</v>
      </c>
      <c r="D2914" t="s">
        <v>3398</v>
      </c>
      <c r="E2914" t="s">
        <v>3395</v>
      </c>
      <c r="F2914" t="s">
        <v>3396</v>
      </c>
      <c r="G2914" t="s">
        <v>219</v>
      </c>
      <c r="H2914" t="s">
        <v>9197</v>
      </c>
      <c r="I2914" t="s">
        <v>9198</v>
      </c>
      <c r="J2914" t="s">
        <v>1848</v>
      </c>
      <c r="K2914" t="s">
        <v>55</v>
      </c>
      <c r="L2914" t="s">
        <v>1849</v>
      </c>
      <c r="M2914" t="s">
        <v>57</v>
      </c>
      <c r="N2914" t="str">
        <f>"049668"</f>
        <v>049668</v>
      </c>
      <c r="O2914" t="s">
        <v>1845</v>
      </c>
      <c r="P2914" t="s">
        <v>68</v>
      </c>
      <c r="Q2914">
        <v>26.5</v>
      </c>
      <c r="R2914">
        <v>6.9000000000000057</v>
      </c>
      <c r="S2914" t="s">
        <v>130</v>
      </c>
    </row>
    <row r="2915" spans="1:19" x14ac:dyDescent="0.35">
      <c r="A2915">
        <v>40956</v>
      </c>
      <c r="B2915" t="str">
        <f>"040956"</f>
        <v>040956</v>
      </c>
      <c r="C2915" t="s">
        <v>9200</v>
      </c>
      <c r="D2915" t="s">
        <v>3394</v>
      </c>
      <c r="E2915" t="s">
        <v>3395</v>
      </c>
      <c r="F2915" t="s">
        <v>3396</v>
      </c>
      <c r="G2915" t="s">
        <v>331</v>
      </c>
      <c r="H2915" t="s">
        <v>4494</v>
      </c>
      <c r="I2915" t="s">
        <v>4495</v>
      </c>
      <c r="J2915" t="s">
        <v>334</v>
      </c>
      <c r="K2915" t="s">
        <v>55</v>
      </c>
      <c r="L2915" t="s">
        <v>335</v>
      </c>
      <c r="M2915" t="s">
        <v>57</v>
      </c>
      <c r="N2915" t="str">
        <f>"046516"</f>
        <v>046516</v>
      </c>
      <c r="O2915" t="s">
        <v>566</v>
      </c>
      <c r="P2915" t="s">
        <v>68</v>
      </c>
      <c r="Q2915">
        <v>27.7</v>
      </c>
      <c r="R2915">
        <v>2.4000000000000057</v>
      </c>
      <c r="S2915" t="s">
        <v>156</v>
      </c>
    </row>
    <row r="2916" spans="1:19" x14ac:dyDescent="0.35">
      <c r="A2916">
        <v>40964</v>
      </c>
      <c r="B2916" t="str">
        <f>"040964"</f>
        <v>040964</v>
      </c>
      <c r="C2916" t="s">
        <v>9201</v>
      </c>
      <c r="D2916" t="s">
        <v>3398</v>
      </c>
      <c r="E2916" t="s">
        <v>3395</v>
      </c>
      <c r="F2916" t="s">
        <v>3396</v>
      </c>
      <c r="G2916" t="s">
        <v>600</v>
      </c>
      <c r="H2916" t="s">
        <v>9202</v>
      </c>
      <c r="I2916" t="s">
        <v>9203</v>
      </c>
      <c r="J2916" t="s">
        <v>1348</v>
      </c>
      <c r="K2916" t="s">
        <v>55</v>
      </c>
      <c r="L2916" t="s">
        <v>4473</v>
      </c>
      <c r="M2916" t="s">
        <v>57</v>
      </c>
      <c r="N2916" t="str">
        <f>"043802"</f>
        <v>043802</v>
      </c>
      <c r="O2916" t="s">
        <v>3171</v>
      </c>
      <c r="P2916" t="s">
        <v>68</v>
      </c>
      <c r="Q2916">
        <v>100</v>
      </c>
      <c r="R2916">
        <v>58.2</v>
      </c>
      <c r="S2916" t="s">
        <v>60</v>
      </c>
    </row>
    <row r="2917" spans="1:19" x14ac:dyDescent="0.35">
      <c r="A2917">
        <v>40972</v>
      </c>
      <c r="B2917" t="str">
        <f>"040972"</f>
        <v>040972</v>
      </c>
      <c r="C2917" t="s">
        <v>9204</v>
      </c>
      <c r="D2917" t="s">
        <v>3394</v>
      </c>
      <c r="E2917" t="s">
        <v>3395</v>
      </c>
      <c r="F2917" t="s">
        <v>3396</v>
      </c>
      <c r="G2917" t="s">
        <v>117</v>
      </c>
      <c r="H2917" t="s">
        <v>9205</v>
      </c>
      <c r="I2917" t="s">
        <v>9206</v>
      </c>
      <c r="J2917" t="s">
        <v>1409</v>
      </c>
      <c r="K2917" t="s">
        <v>55</v>
      </c>
      <c r="L2917" t="s">
        <v>3640</v>
      </c>
      <c r="M2917" t="s">
        <v>57</v>
      </c>
      <c r="N2917" t="str">
        <f>"049924"</f>
        <v>049924</v>
      </c>
      <c r="O2917" t="s">
        <v>1548</v>
      </c>
      <c r="P2917" t="s">
        <v>68</v>
      </c>
      <c r="Q2917">
        <v>42.5</v>
      </c>
      <c r="R2917">
        <v>15.5</v>
      </c>
      <c r="S2917" t="s">
        <v>77</v>
      </c>
    </row>
    <row r="2918" spans="1:19" x14ac:dyDescent="0.35">
      <c r="A2918">
        <v>41004</v>
      </c>
      <c r="B2918" t="str">
        <f>"041004"</f>
        <v>041004</v>
      </c>
      <c r="C2918" t="s">
        <v>9207</v>
      </c>
      <c r="D2918" t="s">
        <v>3398</v>
      </c>
      <c r="E2918" t="s">
        <v>3395</v>
      </c>
      <c r="F2918" t="s">
        <v>3396</v>
      </c>
      <c r="G2918" t="s">
        <v>719</v>
      </c>
      <c r="H2918" t="s">
        <v>9208</v>
      </c>
      <c r="I2918" t="s">
        <v>9209</v>
      </c>
      <c r="J2918" t="s">
        <v>1483</v>
      </c>
      <c r="K2918" t="s">
        <v>55</v>
      </c>
      <c r="L2918" t="s">
        <v>1484</v>
      </c>
      <c r="M2918" t="s">
        <v>57</v>
      </c>
      <c r="N2918" t="str">
        <f>"047613"</f>
        <v>047613</v>
      </c>
      <c r="O2918" t="s">
        <v>1480</v>
      </c>
      <c r="P2918" t="s">
        <v>68</v>
      </c>
      <c r="Q2918">
        <v>48.6</v>
      </c>
      <c r="R2918">
        <v>4</v>
      </c>
      <c r="S2918" t="s">
        <v>130</v>
      </c>
    </row>
    <row r="2919" spans="1:19" x14ac:dyDescent="0.35">
      <c r="A2919">
        <v>41012</v>
      </c>
      <c r="B2919" t="str">
        <f>"041012"</f>
        <v>041012</v>
      </c>
      <c r="C2919" t="s">
        <v>9210</v>
      </c>
      <c r="D2919" t="s">
        <v>3400</v>
      </c>
      <c r="E2919" t="s">
        <v>3395</v>
      </c>
      <c r="F2919" t="s">
        <v>3396</v>
      </c>
      <c r="G2919" t="s">
        <v>212</v>
      </c>
      <c r="H2919" t="s">
        <v>9211</v>
      </c>
      <c r="I2919" t="s">
        <v>9212</v>
      </c>
      <c r="J2919" t="s">
        <v>215</v>
      </c>
      <c r="K2919" t="s">
        <v>55</v>
      </c>
      <c r="L2919" t="s">
        <v>614</v>
      </c>
      <c r="M2919" t="s">
        <v>57</v>
      </c>
      <c r="N2919" t="str">
        <f>"047365"</f>
        <v>047365</v>
      </c>
      <c r="O2919" t="s">
        <v>611</v>
      </c>
      <c r="P2919" t="s">
        <v>68</v>
      </c>
      <c r="Q2919">
        <v>100</v>
      </c>
      <c r="R2919">
        <v>55.5</v>
      </c>
      <c r="S2919" t="s">
        <v>217</v>
      </c>
    </row>
    <row r="2920" spans="1:19" x14ac:dyDescent="0.35">
      <c r="A2920">
        <v>41020</v>
      </c>
      <c r="B2920" t="str">
        <f>"041020"</f>
        <v>041020</v>
      </c>
      <c r="C2920" t="s">
        <v>9213</v>
      </c>
      <c r="D2920" t="s">
        <v>3398</v>
      </c>
      <c r="E2920" t="s">
        <v>3395</v>
      </c>
      <c r="F2920" t="s">
        <v>3396</v>
      </c>
      <c r="G2920" t="s">
        <v>600</v>
      </c>
      <c r="H2920" t="s">
        <v>9214</v>
      </c>
      <c r="I2920" t="s">
        <v>9215</v>
      </c>
      <c r="J2920" t="s">
        <v>1889</v>
      </c>
      <c r="K2920" t="s">
        <v>55</v>
      </c>
      <c r="L2920" t="s">
        <v>1890</v>
      </c>
      <c r="M2920" t="s">
        <v>57</v>
      </c>
      <c r="N2920" t="str">
        <f>"045070"</f>
        <v>045070</v>
      </c>
      <c r="O2920" t="s">
        <v>1886</v>
      </c>
      <c r="P2920" t="s">
        <v>68</v>
      </c>
      <c r="Q2920">
        <v>100</v>
      </c>
      <c r="R2920">
        <v>80.400000000000006</v>
      </c>
      <c r="S2920" t="s">
        <v>60</v>
      </c>
    </row>
    <row r="2921" spans="1:19" x14ac:dyDescent="0.35">
      <c r="A2921">
        <v>41038</v>
      </c>
      <c r="B2921" t="str">
        <f>"041038"</f>
        <v>041038</v>
      </c>
      <c r="C2921" t="s">
        <v>9216</v>
      </c>
      <c r="D2921" t="s">
        <v>3394</v>
      </c>
      <c r="E2921" t="s">
        <v>3395</v>
      </c>
      <c r="F2921" t="s">
        <v>3396</v>
      </c>
      <c r="G2921" t="s">
        <v>200</v>
      </c>
      <c r="H2921" t="s">
        <v>9217</v>
      </c>
      <c r="I2921" t="s">
        <v>9218</v>
      </c>
      <c r="J2921" t="s">
        <v>2680</v>
      </c>
      <c r="K2921" t="s">
        <v>55</v>
      </c>
      <c r="L2921" t="s">
        <v>2681</v>
      </c>
      <c r="M2921" t="s">
        <v>57</v>
      </c>
      <c r="N2921" t="str">
        <f>"048207"</f>
        <v>048207</v>
      </c>
      <c r="O2921" t="s">
        <v>2677</v>
      </c>
      <c r="P2921" t="s">
        <v>68</v>
      </c>
      <c r="Q2921">
        <v>18.5</v>
      </c>
      <c r="R2921">
        <v>5.4000000000000057</v>
      </c>
      <c r="S2921" t="s">
        <v>156</v>
      </c>
    </row>
    <row r="2922" spans="1:19" x14ac:dyDescent="0.35">
      <c r="A2922">
        <v>41046</v>
      </c>
      <c r="B2922" t="str">
        <f>"041046"</f>
        <v>041046</v>
      </c>
      <c r="C2922" t="s">
        <v>9219</v>
      </c>
      <c r="D2922" t="s">
        <v>3398</v>
      </c>
      <c r="E2922" t="s">
        <v>3395</v>
      </c>
      <c r="F2922" t="s">
        <v>3396</v>
      </c>
      <c r="G2922" t="s">
        <v>200</v>
      </c>
      <c r="H2922" t="s">
        <v>9220</v>
      </c>
      <c r="I2922" t="s">
        <v>9221</v>
      </c>
      <c r="J2922" t="s">
        <v>304</v>
      </c>
      <c r="K2922" t="s">
        <v>55</v>
      </c>
      <c r="L2922" t="s">
        <v>4721</v>
      </c>
      <c r="M2922" t="s">
        <v>57</v>
      </c>
      <c r="N2922" t="str">
        <f>"048231"</f>
        <v>048231</v>
      </c>
      <c r="O2922" t="s">
        <v>1553</v>
      </c>
      <c r="P2922" t="s">
        <v>68</v>
      </c>
      <c r="Q2922">
        <v>46.3</v>
      </c>
      <c r="R2922">
        <v>37.6</v>
      </c>
      <c r="S2922" t="s">
        <v>156</v>
      </c>
    </row>
    <row r="2923" spans="1:19" x14ac:dyDescent="0.35">
      <c r="A2923">
        <v>41053</v>
      </c>
      <c r="B2923" t="str">
        <f>"041053"</f>
        <v>041053</v>
      </c>
      <c r="C2923" t="s">
        <v>9222</v>
      </c>
      <c r="D2923" t="s">
        <v>3394</v>
      </c>
      <c r="E2923" t="s">
        <v>3395</v>
      </c>
      <c r="F2923" t="s">
        <v>3396</v>
      </c>
      <c r="G2923" t="s">
        <v>63</v>
      </c>
      <c r="H2923" t="s">
        <v>9223</v>
      </c>
      <c r="I2923" t="s">
        <v>9224</v>
      </c>
      <c r="J2923" t="s">
        <v>1834</v>
      </c>
      <c r="K2923" t="s">
        <v>55</v>
      </c>
      <c r="L2923" t="s">
        <v>1835</v>
      </c>
      <c r="M2923" t="s">
        <v>57</v>
      </c>
      <c r="N2923" t="str">
        <f>"044842"</f>
        <v>044842</v>
      </c>
      <c r="O2923" t="s">
        <v>1831</v>
      </c>
      <c r="P2923" t="s">
        <v>68</v>
      </c>
      <c r="Q2923">
        <v>22</v>
      </c>
      <c r="R2923">
        <v>37.799999999999997</v>
      </c>
      <c r="S2923" t="s">
        <v>69</v>
      </c>
    </row>
    <row r="2924" spans="1:19" x14ac:dyDescent="0.35">
      <c r="A2924">
        <v>41137</v>
      </c>
      <c r="B2924" t="str">
        <f>"041137"</f>
        <v>041137</v>
      </c>
      <c r="C2924" t="s">
        <v>9225</v>
      </c>
      <c r="D2924" t="s">
        <v>3394</v>
      </c>
      <c r="E2924" t="s">
        <v>3395</v>
      </c>
      <c r="F2924" t="s">
        <v>3396</v>
      </c>
      <c r="G2924" t="s">
        <v>200</v>
      </c>
      <c r="H2924" t="s">
        <v>9226</v>
      </c>
      <c r="I2924" t="s">
        <v>9227</v>
      </c>
      <c r="J2924" t="s">
        <v>304</v>
      </c>
      <c r="K2924" t="s">
        <v>55</v>
      </c>
      <c r="L2924" t="s">
        <v>6329</v>
      </c>
      <c r="M2924" t="s">
        <v>57</v>
      </c>
      <c r="N2924" t="str">
        <f>"044909"</f>
        <v>044909</v>
      </c>
      <c r="O2924" t="s">
        <v>3318</v>
      </c>
      <c r="P2924" t="s">
        <v>68</v>
      </c>
      <c r="Q2924">
        <v>99.8</v>
      </c>
      <c r="R2924">
        <v>72</v>
      </c>
      <c r="S2924" t="s">
        <v>156</v>
      </c>
    </row>
    <row r="2925" spans="1:19" x14ac:dyDescent="0.35">
      <c r="A2925">
        <v>41145</v>
      </c>
      <c r="B2925" t="str">
        <f>"041145"</f>
        <v>041145</v>
      </c>
      <c r="C2925" t="s">
        <v>9228</v>
      </c>
      <c r="D2925" t="s">
        <v>3394</v>
      </c>
      <c r="E2925" t="s">
        <v>3395</v>
      </c>
      <c r="F2925" t="s">
        <v>3396</v>
      </c>
      <c r="G2925" t="s">
        <v>572</v>
      </c>
      <c r="H2925" t="s">
        <v>9229</v>
      </c>
      <c r="I2925" t="s">
        <v>9230</v>
      </c>
      <c r="J2925" t="s">
        <v>2954</v>
      </c>
      <c r="K2925" t="s">
        <v>55</v>
      </c>
      <c r="L2925" t="s">
        <v>2955</v>
      </c>
      <c r="M2925" t="s">
        <v>57</v>
      </c>
      <c r="N2925" t="str">
        <f>"044784"</f>
        <v>044784</v>
      </c>
      <c r="O2925" t="s">
        <v>2951</v>
      </c>
      <c r="P2925" t="s">
        <v>68</v>
      </c>
      <c r="Q2925" t="s">
        <v>68</v>
      </c>
      <c r="R2925" t="s">
        <v>68</v>
      </c>
      <c r="S2925" t="s">
        <v>180</v>
      </c>
    </row>
    <row r="2926" spans="1:19" x14ac:dyDescent="0.35">
      <c r="A2926">
        <v>41160</v>
      </c>
      <c r="B2926" t="str">
        <f>"041160"</f>
        <v>041160</v>
      </c>
      <c r="C2926" t="s">
        <v>9225</v>
      </c>
      <c r="D2926" t="s">
        <v>3394</v>
      </c>
      <c r="E2926" t="s">
        <v>3395</v>
      </c>
      <c r="F2926" t="s">
        <v>3396</v>
      </c>
      <c r="G2926" t="s">
        <v>600</v>
      </c>
      <c r="H2926" t="s">
        <v>9231</v>
      </c>
      <c r="I2926" t="s">
        <v>9232</v>
      </c>
      <c r="J2926" t="s">
        <v>2690</v>
      </c>
      <c r="K2926" t="s">
        <v>55</v>
      </c>
      <c r="L2926" t="s">
        <v>2691</v>
      </c>
      <c r="M2926" t="s">
        <v>57</v>
      </c>
      <c r="N2926" t="str">
        <f>"045047"</f>
        <v>045047</v>
      </c>
      <c r="O2926" t="s">
        <v>2687</v>
      </c>
      <c r="P2926" t="s">
        <v>68</v>
      </c>
      <c r="Q2926">
        <v>29.3</v>
      </c>
      <c r="R2926">
        <v>34.5</v>
      </c>
      <c r="S2926" t="s">
        <v>60</v>
      </c>
    </row>
    <row r="2927" spans="1:19" x14ac:dyDescent="0.35">
      <c r="A2927">
        <v>41178</v>
      </c>
      <c r="B2927" t="str">
        <f>"041178"</f>
        <v>041178</v>
      </c>
      <c r="C2927" t="s">
        <v>9225</v>
      </c>
      <c r="D2927" t="s">
        <v>3394</v>
      </c>
      <c r="E2927" t="s">
        <v>3395</v>
      </c>
      <c r="F2927" t="s">
        <v>3396</v>
      </c>
      <c r="G2927" t="s">
        <v>117</v>
      </c>
      <c r="H2927" t="s">
        <v>9233</v>
      </c>
      <c r="I2927" t="s">
        <v>9234</v>
      </c>
      <c r="J2927" t="s">
        <v>977</v>
      </c>
      <c r="K2927" t="s">
        <v>55</v>
      </c>
      <c r="L2927" t="s">
        <v>978</v>
      </c>
      <c r="M2927" t="s">
        <v>57</v>
      </c>
      <c r="N2927" t="str">
        <f>"044354"</f>
        <v>044354</v>
      </c>
      <c r="O2927" t="s">
        <v>974</v>
      </c>
      <c r="P2927" t="s">
        <v>68</v>
      </c>
      <c r="Q2927">
        <v>100</v>
      </c>
      <c r="R2927">
        <v>27.400000000000006</v>
      </c>
      <c r="S2927" t="s">
        <v>77</v>
      </c>
    </row>
    <row r="2928" spans="1:19" x14ac:dyDescent="0.35">
      <c r="A2928">
        <v>41186</v>
      </c>
      <c r="B2928" t="str">
        <f>"041186"</f>
        <v>041186</v>
      </c>
      <c r="C2928" t="s">
        <v>9235</v>
      </c>
      <c r="D2928" t="s">
        <v>3394</v>
      </c>
      <c r="E2928" t="s">
        <v>3395</v>
      </c>
      <c r="F2928" t="s">
        <v>3396</v>
      </c>
      <c r="G2928" t="s">
        <v>1335</v>
      </c>
      <c r="H2928" t="s">
        <v>4144</v>
      </c>
      <c r="I2928" t="s">
        <v>4145</v>
      </c>
      <c r="J2928" t="s">
        <v>1640</v>
      </c>
      <c r="K2928" t="s">
        <v>55</v>
      </c>
      <c r="L2928" t="s">
        <v>1641</v>
      </c>
      <c r="M2928" t="s">
        <v>57</v>
      </c>
      <c r="N2928" t="str">
        <f>"044149"</f>
        <v>044149</v>
      </c>
      <c r="O2928" t="s">
        <v>1637</v>
      </c>
      <c r="P2928" t="s">
        <v>68</v>
      </c>
      <c r="Q2928">
        <v>98.9</v>
      </c>
      <c r="R2928">
        <v>14.5</v>
      </c>
      <c r="S2928" t="s">
        <v>130</v>
      </c>
    </row>
    <row r="2929" spans="1:19" x14ac:dyDescent="0.35">
      <c r="A2929">
        <v>41194</v>
      </c>
      <c r="B2929" t="str">
        <f>"041194"</f>
        <v>041194</v>
      </c>
      <c r="C2929" t="s">
        <v>9236</v>
      </c>
      <c r="D2929" t="s">
        <v>3394</v>
      </c>
      <c r="E2929" t="s">
        <v>3395</v>
      </c>
      <c r="F2929" t="s">
        <v>3396</v>
      </c>
      <c r="G2929" t="s">
        <v>600</v>
      </c>
      <c r="H2929" t="s">
        <v>9237</v>
      </c>
      <c r="I2929" t="s">
        <v>9238</v>
      </c>
      <c r="J2929" t="s">
        <v>1017</v>
      </c>
      <c r="K2929" t="s">
        <v>55</v>
      </c>
      <c r="L2929" t="s">
        <v>1018</v>
      </c>
      <c r="M2929" t="s">
        <v>57</v>
      </c>
      <c r="N2929" t="str">
        <f>"044933"</f>
        <v>044933</v>
      </c>
      <c r="O2929" t="s">
        <v>1014</v>
      </c>
      <c r="P2929" t="s">
        <v>68</v>
      </c>
      <c r="Q2929">
        <v>5.0999999999999996</v>
      </c>
      <c r="R2929">
        <v>17.799999999999997</v>
      </c>
      <c r="S2929" t="s">
        <v>60</v>
      </c>
    </row>
    <row r="2930" spans="1:19" x14ac:dyDescent="0.35">
      <c r="A2930">
        <v>41202</v>
      </c>
      <c r="B2930" t="str">
        <f>"041202"</f>
        <v>041202</v>
      </c>
      <c r="C2930" t="s">
        <v>9239</v>
      </c>
      <c r="D2930" t="s">
        <v>3398</v>
      </c>
      <c r="E2930" t="s">
        <v>3395</v>
      </c>
      <c r="F2930" t="s">
        <v>3396</v>
      </c>
      <c r="G2930" t="s">
        <v>481</v>
      </c>
      <c r="H2930" t="s">
        <v>6426</v>
      </c>
      <c r="I2930" t="s">
        <v>6427</v>
      </c>
      <c r="J2930" t="s">
        <v>3091</v>
      </c>
      <c r="K2930" t="s">
        <v>55</v>
      </c>
      <c r="L2930" t="s">
        <v>3092</v>
      </c>
      <c r="M2930" t="s">
        <v>57</v>
      </c>
      <c r="N2930" t="str">
        <f>"045088"</f>
        <v>045088</v>
      </c>
      <c r="O2930" t="s">
        <v>3088</v>
      </c>
      <c r="P2930" t="s">
        <v>68</v>
      </c>
      <c r="Q2930">
        <v>34.5</v>
      </c>
      <c r="R2930">
        <v>25.299999999999997</v>
      </c>
      <c r="S2930" t="s">
        <v>69</v>
      </c>
    </row>
    <row r="2931" spans="1:19" x14ac:dyDescent="0.35">
      <c r="A2931">
        <v>41236</v>
      </c>
      <c r="B2931" t="str">
        <f>"041236"</f>
        <v>041236</v>
      </c>
      <c r="C2931" t="s">
        <v>9240</v>
      </c>
      <c r="D2931" t="s">
        <v>3394</v>
      </c>
      <c r="E2931" t="s">
        <v>3395</v>
      </c>
      <c r="F2931" t="s">
        <v>3396</v>
      </c>
      <c r="G2931" t="s">
        <v>63</v>
      </c>
      <c r="H2931" t="s">
        <v>9241</v>
      </c>
      <c r="I2931" t="s">
        <v>9242</v>
      </c>
      <c r="J2931" t="s">
        <v>285</v>
      </c>
      <c r="K2931" t="s">
        <v>55</v>
      </c>
      <c r="L2931" t="s">
        <v>5375</v>
      </c>
      <c r="M2931" t="s">
        <v>57</v>
      </c>
      <c r="N2931" t="str">
        <f>"043786"</f>
        <v>043786</v>
      </c>
      <c r="O2931" t="s">
        <v>1340</v>
      </c>
      <c r="P2931" t="s">
        <v>68</v>
      </c>
      <c r="Q2931">
        <v>100</v>
      </c>
      <c r="R2931">
        <v>73.8</v>
      </c>
      <c r="S2931" t="s">
        <v>69</v>
      </c>
    </row>
    <row r="2932" spans="1:19" x14ac:dyDescent="0.35">
      <c r="A2932">
        <v>41251</v>
      </c>
      <c r="B2932" t="str">
        <f>"041251"</f>
        <v>041251</v>
      </c>
      <c r="C2932" t="s">
        <v>9243</v>
      </c>
      <c r="D2932" t="s">
        <v>3394</v>
      </c>
      <c r="E2932" t="s">
        <v>3395</v>
      </c>
      <c r="F2932" t="s">
        <v>3396</v>
      </c>
      <c r="G2932" t="s">
        <v>264</v>
      </c>
      <c r="H2932" t="s">
        <v>9244</v>
      </c>
      <c r="I2932" t="s">
        <v>9245</v>
      </c>
      <c r="J2932" t="s">
        <v>3386</v>
      </c>
      <c r="K2932" t="s">
        <v>55</v>
      </c>
      <c r="L2932" t="s">
        <v>3387</v>
      </c>
      <c r="M2932" t="s">
        <v>57</v>
      </c>
      <c r="N2932" t="str">
        <f>"050070"</f>
        <v>050070</v>
      </c>
      <c r="O2932" t="s">
        <v>3383</v>
      </c>
      <c r="P2932" t="s">
        <v>68</v>
      </c>
      <c r="Q2932">
        <v>19.899999999999999</v>
      </c>
      <c r="R2932">
        <v>49</v>
      </c>
      <c r="S2932" t="s">
        <v>77</v>
      </c>
    </row>
    <row r="2933" spans="1:19" x14ac:dyDescent="0.35">
      <c r="A2933">
        <v>41269</v>
      </c>
      <c r="B2933" t="str">
        <f>"041269"</f>
        <v>041269</v>
      </c>
      <c r="C2933" t="s">
        <v>9246</v>
      </c>
      <c r="D2933" t="s">
        <v>3394</v>
      </c>
      <c r="E2933" t="s">
        <v>3395</v>
      </c>
      <c r="F2933" t="s">
        <v>3396</v>
      </c>
      <c r="G2933" t="s">
        <v>325</v>
      </c>
      <c r="H2933" t="s">
        <v>9247</v>
      </c>
      <c r="I2933" t="s">
        <v>9248</v>
      </c>
      <c r="J2933" t="s">
        <v>328</v>
      </c>
      <c r="K2933" t="s">
        <v>55</v>
      </c>
      <c r="L2933" t="s">
        <v>329</v>
      </c>
      <c r="M2933" t="s">
        <v>57</v>
      </c>
      <c r="N2933" t="str">
        <f>"044644"</f>
        <v>044644</v>
      </c>
      <c r="O2933" t="s">
        <v>324</v>
      </c>
      <c r="P2933" t="s">
        <v>68</v>
      </c>
      <c r="Q2933">
        <v>59</v>
      </c>
      <c r="R2933">
        <v>18.700000000000003</v>
      </c>
      <c r="S2933" t="s">
        <v>180</v>
      </c>
    </row>
    <row r="2934" spans="1:19" x14ac:dyDescent="0.35">
      <c r="A2934">
        <v>41277</v>
      </c>
      <c r="B2934" t="str">
        <f>"041277"</f>
        <v>041277</v>
      </c>
      <c r="C2934" t="s">
        <v>9249</v>
      </c>
      <c r="D2934" t="s">
        <v>3394</v>
      </c>
      <c r="E2934" t="s">
        <v>3395</v>
      </c>
      <c r="F2934" t="s">
        <v>3396</v>
      </c>
      <c r="G2934" t="s">
        <v>244</v>
      </c>
      <c r="H2934" t="s">
        <v>9250</v>
      </c>
      <c r="I2934" t="s">
        <v>9251</v>
      </c>
      <c r="J2934" t="s">
        <v>1179</v>
      </c>
      <c r="K2934" t="s">
        <v>55</v>
      </c>
      <c r="L2934" t="s">
        <v>1180</v>
      </c>
      <c r="M2934" t="s">
        <v>57</v>
      </c>
      <c r="N2934" t="str">
        <f>"044404"</f>
        <v>044404</v>
      </c>
      <c r="O2934" t="s">
        <v>1176</v>
      </c>
      <c r="P2934" t="s">
        <v>68</v>
      </c>
      <c r="Q2934">
        <v>100</v>
      </c>
      <c r="R2934">
        <v>42.9</v>
      </c>
      <c r="S2934" t="s">
        <v>217</v>
      </c>
    </row>
    <row r="2935" spans="1:19" x14ac:dyDescent="0.35">
      <c r="A2935">
        <v>41319</v>
      </c>
      <c r="B2935" t="str">
        <f>"041319"</f>
        <v>041319</v>
      </c>
      <c r="C2935" t="s">
        <v>9252</v>
      </c>
      <c r="D2935" t="s">
        <v>3398</v>
      </c>
      <c r="E2935" t="s">
        <v>3395</v>
      </c>
      <c r="F2935" t="s">
        <v>3396</v>
      </c>
      <c r="G2935" t="s">
        <v>79</v>
      </c>
      <c r="H2935" t="s">
        <v>4266</v>
      </c>
      <c r="I2935" t="s">
        <v>4267</v>
      </c>
      <c r="J2935" t="s">
        <v>82</v>
      </c>
      <c r="K2935" t="s">
        <v>55</v>
      </c>
      <c r="L2935" t="s">
        <v>83</v>
      </c>
      <c r="M2935" t="s">
        <v>57</v>
      </c>
      <c r="N2935" t="str">
        <f>"045096"</f>
        <v>045096</v>
      </c>
      <c r="O2935" t="s">
        <v>78</v>
      </c>
      <c r="P2935" t="s">
        <v>68</v>
      </c>
      <c r="Q2935">
        <v>45.8</v>
      </c>
      <c r="R2935">
        <v>35.400000000000006</v>
      </c>
      <c r="S2935" t="s">
        <v>69</v>
      </c>
    </row>
    <row r="2936" spans="1:19" x14ac:dyDescent="0.35">
      <c r="A2936">
        <v>41327</v>
      </c>
      <c r="B2936" t="str">
        <f>"041327"</f>
        <v>041327</v>
      </c>
      <c r="C2936" t="s">
        <v>9253</v>
      </c>
      <c r="D2936" t="s">
        <v>3394</v>
      </c>
      <c r="E2936" t="s">
        <v>3395</v>
      </c>
      <c r="F2936" t="s">
        <v>3396</v>
      </c>
      <c r="G2936" t="s">
        <v>172</v>
      </c>
      <c r="H2936" t="s">
        <v>9254</v>
      </c>
      <c r="I2936" t="s">
        <v>9255</v>
      </c>
      <c r="J2936" t="s">
        <v>600</v>
      </c>
      <c r="K2936" t="s">
        <v>55</v>
      </c>
      <c r="L2936" t="s">
        <v>939</v>
      </c>
      <c r="M2936" t="s">
        <v>57</v>
      </c>
      <c r="N2936" t="str">
        <f>"044008"</f>
        <v>044008</v>
      </c>
      <c r="O2936" t="s">
        <v>1579</v>
      </c>
      <c r="P2936" t="s">
        <v>68</v>
      </c>
      <c r="Q2936">
        <v>56.7</v>
      </c>
      <c r="R2936">
        <v>15</v>
      </c>
      <c r="S2936" t="s">
        <v>217</v>
      </c>
    </row>
    <row r="2937" spans="1:19" x14ac:dyDescent="0.35">
      <c r="A2937">
        <v>41335</v>
      </c>
      <c r="B2937" t="str">
        <f>"041335"</f>
        <v>041335</v>
      </c>
      <c r="C2937" t="s">
        <v>9256</v>
      </c>
      <c r="D2937" t="s">
        <v>3394</v>
      </c>
      <c r="E2937" t="s">
        <v>3395</v>
      </c>
      <c r="F2937" t="s">
        <v>3396</v>
      </c>
      <c r="G2937" t="s">
        <v>63</v>
      </c>
      <c r="H2937" t="s">
        <v>9257</v>
      </c>
      <c r="I2937" t="s">
        <v>9258</v>
      </c>
      <c r="J2937" t="s">
        <v>2834</v>
      </c>
      <c r="K2937" t="s">
        <v>55</v>
      </c>
      <c r="L2937" t="s">
        <v>508</v>
      </c>
      <c r="M2937" t="s">
        <v>57</v>
      </c>
      <c r="N2937" t="str">
        <f>"044040"</f>
        <v>044040</v>
      </c>
      <c r="O2937" t="s">
        <v>2831</v>
      </c>
      <c r="P2937" t="s">
        <v>68</v>
      </c>
      <c r="Q2937">
        <v>100</v>
      </c>
      <c r="R2937">
        <v>92.3</v>
      </c>
      <c r="S2937" t="s">
        <v>69</v>
      </c>
    </row>
    <row r="2938" spans="1:19" x14ac:dyDescent="0.35">
      <c r="A2938">
        <v>41368</v>
      </c>
      <c r="B2938" t="str">
        <f>"041368"</f>
        <v>041368</v>
      </c>
      <c r="C2938" t="s">
        <v>9259</v>
      </c>
      <c r="D2938" t="s">
        <v>3398</v>
      </c>
      <c r="E2938" t="s">
        <v>3395</v>
      </c>
      <c r="F2938" t="s">
        <v>3396</v>
      </c>
      <c r="G2938" t="s">
        <v>212</v>
      </c>
      <c r="H2938" t="s">
        <v>9260</v>
      </c>
      <c r="I2938" t="s">
        <v>9261</v>
      </c>
      <c r="J2938" t="s">
        <v>1187</v>
      </c>
      <c r="K2938" t="s">
        <v>55</v>
      </c>
      <c r="L2938" t="s">
        <v>2134</v>
      </c>
      <c r="M2938" t="s">
        <v>57</v>
      </c>
      <c r="N2938" t="str">
        <f>"047381"</f>
        <v>047381</v>
      </c>
      <c r="O2938" t="s">
        <v>2131</v>
      </c>
      <c r="P2938" t="s">
        <v>68</v>
      </c>
      <c r="Q2938">
        <v>31.5</v>
      </c>
      <c r="R2938">
        <v>9.4000000000000057</v>
      </c>
      <c r="S2938" t="s">
        <v>217</v>
      </c>
    </row>
    <row r="2939" spans="1:19" x14ac:dyDescent="0.35">
      <c r="A2939">
        <v>41376</v>
      </c>
      <c r="B2939" t="str">
        <f>"041376"</f>
        <v>041376</v>
      </c>
      <c r="C2939" t="s">
        <v>9262</v>
      </c>
      <c r="D2939" t="s">
        <v>3398</v>
      </c>
      <c r="E2939" t="s">
        <v>3395</v>
      </c>
      <c r="F2939" t="s">
        <v>3396</v>
      </c>
      <c r="G2939" t="s">
        <v>172</v>
      </c>
      <c r="H2939" t="s">
        <v>9263</v>
      </c>
      <c r="I2939" t="s">
        <v>9264</v>
      </c>
      <c r="J2939" t="s">
        <v>2604</v>
      </c>
      <c r="K2939" t="s">
        <v>55</v>
      </c>
      <c r="L2939" t="s">
        <v>2605</v>
      </c>
      <c r="M2939" t="s">
        <v>57</v>
      </c>
      <c r="N2939" t="str">
        <f>"050450"</f>
        <v>050450</v>
      </c>
      <c r="O2939" t="s">
        <v>2601</v>
      </c>
      <c r="P2939" t="s">
        <v>68</v>
      </c>
      <c r="Q2939">
        <v>8.9</v>
      </c>
      <c r="R2939">
        <v>44.4</v>
      </c>
      <c r="S2939" t="s">
        <v>217</v>
      </c>
    </row>
    <row r="2940" spans="1:19" x14ac:dyDescent="0.35">
      <c r="A2940">
        <v>41384</v>
      </c>
      <c r="B2940" t="str">
        <f>"041384"</f>
        <v>041384</v>
      </c>
      <c r="C2940" t="s">
        <v>9265</v>
      </c>
      <c r="D2940" t="s">
        <v>3394</v>
      </c>
      <c r="E2940" t="s">
        <v>3395</v>
      </c>
      <c r="F2940" t="s">
        <v>3396</v>
      </c>
      <c r="G2940" t="s">
        <v>117</v>
      </c>
      <c r="H2940" t="s">
        <v>9266</v>
      </c>
      <c r="I2940" t="s">
        <v>9267</v>
      </c>
      <c r="J2940" t="s">
        <v>1409</v>
      </c>
      <c r="K2940" t="s">
        <v>55</v>
      </c>
      <c r="L2940" t="s">
        <v>6280</v>
      </c>
      <c r="M2940" t="s">
        <v>57</v>
      </c>
      <c r="N2940" t="str">
        <f>"049932"</f>
        <v>049932</v>
      </c>
      <c r="O2940" t="s">
        <v>1406</v>
      </c>
      <c r="P2940" t="s">
        <v>68</v>
      </c>
      <c r="Q2940">
        <v>57.1</v>
      </c>
      <c r="R2940">
        <v>35.5</v>
      </c>
      <c r="S2940" t="s">
        <v>77</v>
      </c>
    </row>
    <row r="2941" spans="1:19" x14ac:dyDescent="0.35">
      <c r="A2941">
        <v>41418</v>
      </c>
      <c r="B2941" t="str">
        <f>"041418"</f>
        <v>041418</v>
      </c>
      <c r="C2941" t="s">
        <v>9268</v>
      </c>
      <c r="D2941" t="s">
        <v>3394</v>
      </c>
      <c r="E2941" t="s">
        <v>3395</v>
      </c>
      <c r="F2941" t="s">
        <v>3396</v>
      </c>
      <c r="G2941" t="s">
        <v>212</v>
      </c>
      <c r="H2941" t="s">
        <v>2323</v>
      </c>
      <c r="I2941" t="s">
        <v>2324</v>
      </c>
      <c r="J2941" t="s">
        <v>2325</v>
      </c>
      <c r="K2941" t="s">
        <v>55</v>
      </c>
      <c r="L2941" t="s">
        <v>2326</v>
      </c>
      <c r="M2941" t="s">
        <v>57</v>
      </c>
      <c r="N2941" t="str">
        <f>"044578"</f>
        <v>044578</v>
      </c>
      <c r="O2941" t="s">
        <v>2322</v>
      </c>
      <c r="P2941" t="s">
        <v>68</v>
      </c>
      <c r="Q2941">
        <v>98.7</v>
      </c>
      <c r="R2941">
        <v>26.900000000000006</v>
      </c>
      <c r="S2941" t="s">
        <v>217</v>
      </c>
    </row>
    <row r="2942" spans="1:19" x14ac:dyDescent="0.35">
      <c r="A2942">
        <v>41434</v>
      </c>
      <c r="B2942" t="str">
        <f>"041434"</f>
        <v>041434</v>
      </c>
      <c r="C2942" t="s">
        <v>9269</v>
      </c>
      <c r="D2942" t="s">
        <v>3394</v>
      </c>
      <c r="E2942" t="s">
        <v>3395</v>
      </c>
      <c r="F2942" t="s">
        <v>3396</v>
      </c>
      <c r="G2942" t="s">
        <v>1041</v>
      </c>
      <c r="H2942" t="s">
        <v>9270</v>
      </c>
      <c r="I2942" t="s">
        <v>9271</v>
      </c>
      <c r="J2942" t="s">
        <v>3220</v>
      </c>
      <c r="K2942" t="s">
        <v>55</v>
      </c>
      <c r="L2942" t="s">
        <v>3221</v>
      </c>
      <c r="M2942" t="s">
        <v>57</v>
      </c>
      <c r="N2942" t="str">
        <f>"046367"</f>
        <v>046367</v>
      </c>
      <c r="O2942" t="s">
        <v>3217</v>
      </c>
      <c r="P2942" t="s">
        <v>68</v>
      </c>
      <c r="Q2942">
        <v>39.4</v>
      </c>
      <c r="R2942">
        <v>7.7000000000000028</v>
      </c>
      <c r="S2942" t="s">
        <v>217</v>
      </c>
    </row>
    <row r="2943" spans="1:19" x14ac:dyDescent="0.35">
      <c r="A2943">
        <v>41442</v>
      </c>
      <c r="B2943" t="str">
        <f>"041442"</f>
        <v>041442</v>
      </c>
      <c r="C2943" t="s">
        <v>9272</v>
      </c>
      <c r="D2943" t="s">
        <v>3398</v>
      </c>
      <c r="E2943" t="s">
        <v>3395</v>
      </c>
      <c r="F2943" t="s">
        <v>3396</v>
      </c>
      <c r="G2943" t="s">
        <v>1041</v>
      </c>
      <c r="H2943" t="s">
        <v>9273</v>
      </c>
      <c r="I2943" t="s">
        <v>9274</v>
      </c>
      <c r="J2943" t="s">
        <v>3220</v>
      </c>
      <c r="K2943" t="s">
        <v>55</v>
      </c>
      <c r="L2943" t="s">
        <v>3221</v>
      </c>
      <c r="M2943" t="s">
        <v>57</v>
      </c>
      <c r="N2943" t="str">
        <f>"046367"</f>
        <v>046367</v>
      </c>
      <c r="O2943" t="s">
        <v>3217</v>
      </c>
      <c r="P2943" t="s">
        <v>68</v>
      </c>
      <c r="Q2943">
        <v>33.799999999999997</v>
      </c>
      <c r="R2943">
        <v>6</v>
      </c>
      <c r="S2943" t="s">
        <v>217</v>
      </c>
    </row>
    <row r="2944" spans="1:19" x14ac:dyDescent="0.35">
      <c r="A2944">
        <v>41467</v>
      </c>
      <c r="B2944" t="str">
        <f>"041467"</f>
        <v>041467</v>
      </c>
      <c r="C2944" t="s">
        <v>9275</v>
      </c>
      <c r="D2944" t="s">
        <v>3400</v>
      </c>
      <c r="E2944" t="s">
        <v>3395</v>
      </c>
      <c r="F2944" t="s">
        <v>3396</v>
      </c>
      <c r="G2944" t="s">
        <v>383</v>
      </c>
      <c r="H2944" t="s">
        <v>9276</v>
      </c>
      <c r="I2944" t="s">
        <v>9277</v>
      </c>
      <c r="J2944" t="s">
        <v>1215</v>
      </c>
      <c r="K2944" t="s">
        <v>55</v>
      </c>
      <c r="L2944" t="s">
        <v>1738</v>
      </c>
      <c r="M2944" t="s">
        <v>57</v>
      </c>
      <c r="N2944" t="str">
        <f>"045161"</f>
        <v>045161</v>
      </c>
      <c r="O2944" t="s">
        <v>1212</v>
      </c>
      <c r="P2944" t="s">
        <v>68</v>
      </c>
      <c r="Q2944">
        <v>99.7</v>
      </c>
      <c r="R2944">
        <v>91.8</v>
      </c>
      <c r="S2944" t="s">
        <v>77</v>
      </c>
    </row>
    <row r="2945" spans="1:19" x14ac:dyDescent="0.35">
      <c r="A2945">
        <v>41509</v>
      </c>
      <c r="B2945" t="str">
        <f>"041509"</f>
        <v>041509</v>
      </c>
      <c r="C2945" t="s">
        <v>9278</v>
      </c>
      <c r="D2945" t="s">
        <v>3400</v>
      </c>
      <c r="E2945" t="s">
        <v>3395</v>
      </c>
      <c r="F2945" t="s">
        <v>3396</v>
      </c>
      <c r="G2945" t="s">
        <v>481</v>
      </c>
      <c r="H2945" t="s">
        <v>9279</v>
      </c>
      <c r="I2945" t="s">
        <v>9280</v>
      </c>
      <c r="J2945" t="s">
        <v>4970</v>
      </c>
      <c r="K2945" t="s">
        <v>55</v>
      </c>
      <c r="L2945" t="s">
        <v>1822</v>
      </c>
      <c r="M2945" t="s">
        <v>57</v>
      </c>
      <c r="N2945" t="str">
        <f>"045104"</f>
        <v>045104</v>
      </c>
      <c r="O2945" t="s">
        <v>771</v>
      </c>
      <c r="P2945" t="s">
        <v>68</v>
      </c>
      <c r="Q2945">
        <v>40.6</v>
      </c>
      <c r="R2945">
        <v>39.9</v>
      </c>
      <c r="S2945" t="s">
        <v>69</v>
      </c>
    </row>
    <row r="2946" spans="1:19" x14ac:dyDescent="0.35">
      <c r="A2946">
        <v>41525</v>
      </c>
      <c r="B2946" t="str">
        <f>"041525"</f>
        <v>041525</v>
      </c>
      <c r="C2946" t="s">
        <v>9281</v>
      </c>
      <c r="D2946" t="s">
        <v>3400</v>
      </c>
      <c r="E2946" t="s">
        <v>3395</v>
      </c>
      <c r="F2946" t="s">
        <v>3396</v>
      </c>
      <c r="G2946" t="s">
        <v>481</v>
      </c>
      <c r="H2946" t="s">
        <v>8104</v>
      </c>
      <c r="I2946" t="s">
        <v>8105</v>
      </c>
      <c r="J2946" t="s">
        <v>8106</v>
      </c>
      <c r="K2946" t="s">
        <v>55</v>
      </c>
      <c r="L2946" t="s">
        <v>775</v>
      </c>
      <c r="M2946" t="s">
        <v>57</v>
      </c>
      <c r="N2946" t="str">
        <f>"045104"</f>
        <v>045104</v>
      </c>
      <c r="O2946" t="s">
        <v>771</v>
      </c>
      <c r="P2946" t="s">
        <v>68</v>
      </c>
      <c r="Q2946">
        <v>45.2</v>
      </c>
      <c r="R2946">
        <v>27.700000000000003</v>
      </c>
      <c r="S2946" t="s">
        <v>69</v>
      </c>
    </row>
    <row r="2947" spans="1:19" x14ac:dyDescent="0.35">
      <c r="A2947">
        <v>41533</v>
      </c>
      <c r="B2947" t="str">
        <f>"041533"</f>
        <v>041533</v>
      </c>
      <c r="C2947" t="s">
        <v>9282</v>
      </c>
      <c r="D2947" t="s">
        <v>3394</v>
      </c>
      <c r="E2947" t="s">
        <v>3395</v>
      </c>
      <c r="F2947" t="s">
        <v>3396</v>
      </c>
      <c r="G2947" t="s">
        <v>1041</v>
      </c>
      <c r="H2947" t="s">
        <v>9283</v>
      </c>
      <c r="I2947" t="s">
        <v>9284</v>
      </c>
      <c r="J2947" t="s">
        <v>2025</v>
      </c>
      <c r="K2947" t="s">
        <v>55</v>
      </c>
      <c r="L2947" t="s">
        <v>2026</v>
      </c>
      <c r="M2947" t="s">
        <v>57</v>
      </c>
      <c r="N2947" t="str">
        <f>"046359"</f>
        <v>046359</v>
      </c>
      <c r="O2947" t="s">
        <v>1040</v>
      </c>
      <c r="P2947" t="s">
        <v>68</v>
      </c>
      <c r="Q2947">
        <v>29.4</v>
      </c>
      <c r="R2947">
        <v>16.400000000000006</v>
      </c>
      <c r="S2947" t="s">
        <v>217</v>
      </c>
    </row>
    <row r="2948" spans="1:19" x14ac:dyDescent="0.35">
      <c r="A2948">
        <v>41541</v>
      </c>
      <c r="B2948" t="str">
        <f>"041541"</f>
        <v>041541</v>
      </c>
      <c r="C2948" t="s">
        <v>9285</v>
      </c>
      <c r="D2948" t="s">
        <v>3394</v>
      </c>
      <c r="E2948" t="s">
        <v>3395</v>
      </c>
      <c r="F2948" t="s">
        <v>3396</v>
      </c>
      <c r="G2948" t="s">
        <v>63</v>
      </c>
      <c r="H2948" t="s">
        <v>9286</v>
      </c>
      <c r="I2948" t="s">
        <v>9287</v>
      </c>
      <c r="J2948" t="s">
        <v>285</v>
      </c>
      <c r="K2948" t="s">
        <v>55</v>
      </c>
      <c r="L2948" t="s">
        <v>5493</v>
      </c>
      <c r="M2948" t="s">
        <v>57</v>
      </c>
      <c r="N2948" t="str">
        <f>"043786"</f>
        <v>043786</v>
      </c>
      <c r="O2948" t="s">
        <v>1340</v>
      </c>
      <c r="P2948" t="s">
        <v>68</v>
      </c>
      <c r="Q2948">
        <v>100</v>
      </c>
      <c r="R2948">
        <v>96</v>
      </c>
      <c r="S2948" t="s">
        <v>69</v>
      </c>
    </row>
    <row r="2949" spans="1:19" x14ac:dyDescent="0.35">
      <c r="A2949">
        <v>41558</v>
      </c>
      <c r="B2949" t="str">
        <f>"041558"</f>
        <v>041558</v>
      </c>
      <c r="C2949" t="s">
        <v>9288</v>
      </c>
      <c r="D2949" t="s">
        <v>3398</v>
      </c>
      <c r="E2949" t="s">
        <v>3395</v>
      </c>
      <c r="F2949" t="s">
        <v>3396</v>
      </c>
      <c r="G2949" t="s">
        <v>250</v>
      </c>
      <c r="H2949" t="s">
        <v>9289</v>
      </c>
      <c r="I2949" t="s">
        <v>9290</v>
      </c>
      <c r="J2949" t="s">
        <v>2203</v>
      </c>
      <c r="K2949" t="s">
        <v>55</v>
      </c>
      <c r="L2949" t="s">
        <v>2204</v>
      </c>
      <c r="M2949" t="s">
        <v>57</v>
      </c>
      <c r="N2949" t="str">
        <f>"045112"</f>
        <v>045112</v>
      </c>
      <c r="O2949" t="s">
        <v>2200</v>
      </c>
      <c r="P2949" t="s">
        <v>68</v>
      </c>
      <c r="Q2949">
        <v>42.1</v>
      </c>
      <c r="R2949">
        <v>19.5</v>
      </c>
      <c r="S2949" t="s">
        <v>60</v>
      </c>
    </row>
    <row r="2950" spans="1:19" x14ac:dyDescent="0.35">
      <c r="A2950">
        <v>41582</v>
      </c>
      <c r="B2950" t="str">
        <f>"041582"</f>
        <v>041582</v>
      </c>
      <c r="C2950" t="s">
        <v>9291</v>
      </c>
      <c r="D2950" t="s">
        <v>3394</v>
      </c>
      <c r="E2950" t="s">
        <v>3395</v>
      </c>
      <c r="F2950" t="s">
        <v>3396</v>
      </c>
      <c r="G2950" t="s">
        <v>674</v>
      </c>
      <c r="H2950" t="s">
        <v>9292</v>
      </c>
      <c r="I2950" t="s">
        <v>9293</v>
      </c>
      <c r="J2950" t="s">
        <v>927</v>
      </c>
      <c r="K2950" t="s">
        <v>55</v>
      </c>
      <c r="L2950" t="s">
        <v>928</v>
      </c>
      <c r="M2950" t="s">
        <v>57</v>
      </c>
      <c r="N2950" t="str">
        <f>"045179"</f>
        <v>045179</v>
      </c>
      <c r="O2950" t="s">
        <v>2380</v>
      </c>
      <c r="P2950" t="s">
        <v>68</v>
      </c>
      <c r="Q2950">
        <v>99.7</v>
      </c>
      <c r="R2950">
        <v>37.4</v>
      </c>
      <c r="S2950" t="s">
        <v>130</v>
      </c>
    </row>
    <row r="2951" spans="1:19" x14ac:dyDescent="0.35">
      <c r="A2951">
        <v>41608</v>
      </c>
      <c r="B2951" t="str">
        <f>"041608"</f>
        <v>041608</v>
      </c>
      <c r="C2951" t="s">
        <v>9294</v>
      </c>
      <c r="D2951" t="s">
        <v>3394</v>
      </c>
      <c r="E2951" t="s">
        <v>3395</v>
      </c>
      <c r="F2951" t="s">
        <v>3396</v>
      </c>
      <c r="G2951" t="s">
        <v>212</v>
      </c>
      <c r="H2951" t="s">
        <v>9295</v>
      </c>
      <c r="I2951" t="s">
        <v>9296</v>
      </c>
      <c r="J2951" t="s">
        <v>215</v>
      </c>
      <c r="K2951" t="s">
        <v>55</v>
      </c>
      <c r="L2951" t="s">
        <v>7316</v>
      </c>
      <c r="M2951" t="s">
        <v>57</v>
      </c>
      <c r="N2951" t="str">
        <f>"047340"</f>
        <v>047340</v>
      </c>
      <c r="O2951" t="s">
        <v>2511</v>
      </c>
      <c r="P2951" t="s">
        <v>68</v>
      </c>
      <c r="Q2951">
        <v>3.1</v>
      </c>
      <c r="R2951">
        <v>11.400000000000006</v>
      </c>
      <c r="S2951" t="s">
        <v>217</v>
      </c>
    </row>
    <row r="2952" spans="1:19" x14ac:dyDescent="0.35">
      <c r="A2952">
        <v>41624</v>
      </c>
      <c r="B2952" t="str">
        <f>"041624"</f>
        <v>041624</v>
      </c>
      <c r="C2952" t="s">
        <v>9297</v>
      </c>
      <c r="D2952" t="s">
        <v>3394</v>
      </c>
      <c r="E2952" t="s">
        <v>3395</v>
      </c>
      <c r="F2952" t="s">
        <v>3396</v>
      </c>
      <c r="G2952" t="s">
        <v>600</v>
      </c>
      <c r="H2952" t="s">
        <v>9298</v>
      </c>
      <c r="I2952" t="s">
        <v>9299</v>
      </c>
      <c r="J2952" t="s">
        <v>1500</v>
      </c>
      <c r="K2952" t="s">
        <v>55</v>
      </c>
      <c r="L2952" t="s">
        <v>1501</v>
      </c>
      <c r="M2952" t="s">
        <v>57</v>
      </c>
      <c r="N2952" t="str">
        <f>"045138"</f>
        <v>045138</v>
      </c>
      <c r="O2952" t="s">
        <v>1497</v>
      </c>
      <c r="P2952" t="s">
        <v>68</v>
      </c>
      <c r="Q2952">
        <v>25.2</v>
      </c>
      <c r="R2952">
        <v>34.400000000000006</v>
      </c>
      <c r="S2952" t="s">
        <v>60</v>
      </c>
    </row>
    <row r="2953" spans="1:19" x14ac:dyDescent="0.35">
      <c r="A2953">
        <v>41640</v>
      </c>
      <c r="B2953" t="str">
        <f>"041640"</f>
        <v>041640</v>
      </c>
      <c r="C2953" t="s">
        <v>9300</v>
      </c>
      <c r="D2953" t="s">
        <v>3400</v>
      </c>
      <c r="E2953" t="s">
        <v>3395</v>
      </c>
      <c r="F2953" t="s">
        <v>3396</v>
      </c>
      <c r="G2953" t="s">
        <v>244</v>
      </c>
      <c r="H2953" t="s">
        <v>9301</v>
      </c>
      <c r="I2953" t="s">
        <v>9302</v>
      </c>
      <c r="J2953" t="s">
        <v>212</v>
      </c>
      <c r="K2953" t="s">
        <v>55</v>
      </c>
      <c r="L2953" t="s">
        <v>2312</v>
      </c>
      <c r="M2953" t="s">
        <v>57</v>
      </c>
      <c r="N2953" t="str">
        <f>"044107"</f>
        <v>044107</v>
      </c>
      <c r="O2953" t="s">
        <v>971</v>
      </c>
      <c r="P2953" t="s">
        <v>68</v>
      </c>
      <c r="Q2953">
        <v>100</v>
      </c>
      <c r="R2953">
        <v>38.200000000000003</v>
      </c>
      <c r="S2953" t="s">
        <v>217</v>
      </c>
    </row>
    <row r="2954" spans="1:19" x14ac:dyDescent="0.35">
      <c r="A2954">
        <v>41657</v>
      </c>
      <c r="B2954" t="str">
        <f>"041657"</f>
        <v>041657</v>
      </c>
      <c r="C2954" t="s">
        <v>9300</v>
      </c>
      <c r="D2954" t="s">
        <v>3400</v>
      </c>
      <c r="E2954" t="s">
        <v>3395</v>
      </c>
      <c r="F2954" t="s">
        <v>3396</v>
      </c>
      <c r="G2954" t="s">
        <v>110</v>
      </c>
      <c r="H2954" t="s">
        <v>9303</v>
      </c>
      <c r="I2954" t="s">
        <v>9304</v>
      </c>
      <c r="J2954" t="s">
        <v>671</v>
      </c>
      <c r="K2954" t="s">
        <v>55</v>
      </c>
      <c r="L2954" t="s">
        <v>672</v>
      </c>
      <c r="M2954" t="s">
        <v>57</v>
      </c>
      <c r="N2954" t="str">
        <f>"044453"</f>
        <v>044453</v>
      </c>
      <c r="O2954" t="s">
        <v>668</v>
      </c>
      <c r="P2954" t="s">
        <v>68</v>
      </c>
      <c r="Q2954">
        <v>70.3</v>
      </c>
      <c r="R2954">
        <v>16.400000000000006</v>
      </c>
      <c r="S2954" t="s">
        <v>60</v>
      </c>
    </row>
    <row r="2955" spans="1:19" x14ac:dyDescent="0.35">
      <c r="A2955">
        <v>41699</v>
      </c>
      <c r="B2955" t="str">
        <f>"041699"</f>
        <v>041699</v>
      </c>
      <c r="C2955" t="s">
        <v>9305</v>
      </c>
      <c r="D2955" t="s">
        <v>3394</v>
      </c>
      <c r="E2955" t="s">
        <v>3395</v>
      </c>
      <c r="F2955" t="s">
        <v>3396</v>
      </c>
      <c r="G2955" t="s">
        <v>264</v>
      </c>
      <c r="H2955" t="s">
        <v>9306</v>
      </c>
      <c r="I2955" t="s">
        <v>9307</v>
      </c>
      <c r="J2955" t="s">
        <v>267</v>
      </c>
      <c r="K2955" t="s">
        <v>55</v>
      </c>
      <c r="L2955" t="s">
        <v>268</v>
      </c>
      <c r="M2955" t="s">
        <v>57</v>
      </c>
      <c r="N2955" t="str">
        <f>"043489"</f>
        <v>043489</v>
      </c>
      <c r="O2955" t="s">
        <v>3176</v>
      </c>
      <c r="P2955" t="s">
        <v>68</v>
      </c>
      <c r="Q2955">
        <v>100</v>
      </c>
      <c r="R2955">
        <v>34.900000000000006</v>
      </c>
      <c r="S2955" t="s">
        <v>77</v>
      </c>
    </row>
    <row r="2956" spans="1:19" x14ac:dyDescent="0.35">
      <c r="A2956">
        <v>41715</v>
      </c>
      <c r="B2956" t="str">
        <f>"041715"</f>
        <v>041715</v>
      </c>
      <c r="C2956" t="s">
        <v>9308</v>
      </c>
      <c r="D2956" t="s">
        <v>3394</v>
      </c>
      <c r="E2956" t="s">
        <v>3395</v>
      </c>
      <c r="F2956" t="s">
        <v>3396</v>
      </c>
      <c r="G2956" t="s">
        <v>600</v>
      </c>
      <c r="H2956" t="s">
        <v>9309</v>
      </c>
      <c r="I2956" t="s">
        <v>9310</v>
      </c>
      <c r="J2956" t="s">
        <v>1017</v>
      </c>
      <c r="K2956" t="s">
        <v>55</v>
      </c>
      <c r="L2956" t="s">
        <v>5611</v>
      </c>
      <c r="M2956" t="s">
        <v>57</v>
      </c>
      <c r="N2956" t="str">
        <f>"044933"</f>
        <v>044933</v>
      </c>
      <c r="O2956" t="s">
        <v>1014</v>
      </c>
      <c r="P2956" t="s">
        <v>68</v>
      </c>
      <c r="Q2956">
        <v>2.7</v>
      </c>
      <c r="R2956">
        <v>14.900000000000006</v>
      </c>
      <c r="S2956" t="s">
        <v>60</v>
      </c>
    </row>
    <row r="2957" spans="1:19" x14ac:dyDescent="0.35">
      <c r="A2957">
        <v>41723</v>
      </c>
      <c r="B2957" t="str">
        <f>"041723"</f>
        <v>041723</v>
      </c>
      <c r="C2957" t="s">
        <v>9311</v>
      </c>
      <c r="D2957" t="s">
        <v>3398</v>
      </c>
      <c r="E2957" t="s">
        <v>3395</v>
      </c>
      <c r="F2957" t="s">
        <v>3396</v>
      </c>
      <c r="G2957" t="s">
        <v>295</v>
      </c>
      <c r="H2957" t="s">
        <v>3005</v>
      </c>
      <c r="I2957" t="s">
        <v>3006</v>
      </c>
      <c r="J2957" t="s">
        <v>3007</v>
      </c>
      <c r="K2957" t="s">
        <v>55</v>
      </c>
      <c r="L2957" t="s">
        <v>3008</v>
      </c>
      <c r="M2957" t="s">
        <v>57</v>
      </c>
      <c r="N2957" t="str">
        <f>"045666"</f>
        <v>045666</v>
      </c>
      <c r="O2957" t="s">
        <v>3004</v>
      </c>
      <c r="P2957" t="s">
        <v>68</v>
      </c>
      <c r="Q2957">
        <v>100</v>
      </c>
      <c r="R2957">
        <v>29.200000000000003</v>
      </c>
      <c r="S2957" t="s">
        <v>77</v>
      </c>
    </row>
    <row r="2958" spans="1:19" x14ac:dyDescent="0.35">
      <c r="A2958">
        <v>41749</v>
      </c>
      <c r="B2958" t="str">
        <f>"041749"</f>
        <v>041749</v>
      </c>
      <c r="C2958" t="s">
        <v>9312</v>
      </c>
      <c r="D2958" t="s">
        <v>3394</v>
      </c>
      <c r="E2958" t="s">
        <v>3395</v>
      </c>
      <c r="F2958" t="s">
        <v>3396</v>
      </c>
      <c r="G2958" t="s">
        <v>600</v>
      </c>
      <c r="H2958" t="s">
        <v>9313</v>
      </c>
      <c r="I2958" t="s">
        <v>9314</v>
      </c>
      <c r="J2958" t="s">
        <v>1348</v>
      </c>
      <c r="K2958" t="s">
        <v>55</v>
      </c>
      <c r="L2958" t="s">
        <v>4840</v>
      </c>
      <c r="M2958" t="s">
        <v>57</v>
      </c>
      <c r="N2958" t="str">
        <f>"043802"</f>
        <v>043802</v>
      </c>
      <c r="O2958" t="s">
        <v>3171</v>
      </c>
      <c r="P2958" t="s">
        <v>68</v>
      </c>
      <c r="Q2958">
        <v>100</v>
      </c>
      <c r="R2958">
        <v>95.9</v>
      </c>
      <c r="S2958" t="s">
        <v>60</v>
      </c>
    </row>
    <row r="2959" spans="1:19" x14ac:dyDescent="0.35">
      <c r="A2959">
        <v>41756</v>
      </c>
      <c r="B2959" t="str">
        <f>"041756"</f>
        <v>041756</v>
      </c>
      <c r="C2959" t="s">
        <v>7423</v>
      </c>
      <c r="D2959" t="s">
        <v>3394</v>
      </c>
      <c r="E2959" t="s">
        <v>3395</v>
      </c>
      <c r="F2959" t="s">
        <v>3396</v>
      </c>
      <c r="G2959" t="s">
        <v>143</v>
      </c>
      <c r="H2959" t="s">
        <v>7428</v>
      </c>
      <c r="I2959" t="s">
        <v>7429</v>
      </c>
      <c r="J2959" t="s">
        <v>528</v>
      </c>
      <c r="K2959" t="s">
        <v>55</v>
      </c>
      <c r="L2959" t="s">
        <v>529</v>
      </c>
      <c r="M2959" t="s">
        <v>57</v>
      </c>
      <c r="N2959" t="str">
        <f>"043943"</f>
        <v>043943</v>
      </c>
      <c r="O2959" t="s">
        <v>525</v>
      </c>
      <c r="P2959" t="s">
        <v>68</v>
      </c>
      <c r="Q2959">
        <v>60.9</v>
      </c>
      <c r="R2959">
        <v>41.4</v>
      </c>
      <c r="S2959" t="s">
        <v>69</v>
      </c>
    </row>
    <row r="2960" spans="1:19" x14ac:dyDescent="0.35">
      <c r="A2960">
        <v>41814</v>
      </c>
      <c r="B2960" t="str">
        <f>"041814"</f>
        <v>041814</v>
      </c>
      <c r="C2960" t="s">
        <v>9315</v>
      </c>
      <c r="D2960" t="s">
        <v>3394</v>
      </c>
      <c r="E2960" t="s">
        <v>3395</v>
      </c>
      <c r="F2960" t="s">
        <v>3396</v>
      </c>
      <c r="G2960" t="s">
        <v>712</v>
      </c>
      <c r="H2960" t="s">
        <v>9316</v>
      </c>
      <c r="I2960" t="s">
        <v>9317</v>
      </c>
      <c r="J2960" t="s">
        <v>9318</v>
      </c>
      <c r="K2960" t="s">
        <v>55</v>
      </c>
      <c r="L2960" t="s">
        <v>9319</v>
      </c>
      <c r="M2960" t="s">
        <v>57</v>
      </c>
      <c r="N2960" t="str">
        <f>"047688"</f>
        <v>047688</v>
      </c>
      <c r="O2960" t="s">
        <v>2208</v>
      </c>
      <c r="P2960" t="s">
        <v>68</v>
      </c>
      <c r="Q2960">
        <v>26.4</v>
      </c>
      <c r="R2960">
        <v>6.7000000000000028</v>
      </c>
      <c r="S2960" t="s">
        <v>77</v>
      </c>
    </row>
    <row r="2961" spans="1:19" x14ac:dyDescent="0.35">
      <c r="A2961">
        <v>41822</v>
      </c>
      <c r="B2961" t="str">
        <f>"041822"</f>
        <v>041822</v>
      </c>
      <c r="C2961" t="s">
        <v>9320</v>
      </c>
      <c r="D2961" t="s">
        <v>3394</v>
      </c>
      <c r="E2961" t="s">
        <v>3395</v>
      </c>
      <c r="F2961" t="s">
        <v>3396</v>
      </c>
      <c r="G2961" t="s">
        <v>600</v>
      </c>
      <c r="H2961" t="s">
        <v>9321</v>
      </c>
      <c r="I2961" t="s">
        <v>9322</v>
      </c>
      <c r="J2961" t="s">
        <v>1348</v>
      </c>
      <c r="K2961" t="s">
        <v>55</v>
      </c>
      <c r="L2961" t="s">
        <v>5611</v>
      </c>
      <c r="M2961" t="s">
        <v>57</v>
      </c>
      <c r="N2961" t="str">
        <f>"043802"</f>
        <v>043802</v>
      </c>
      <c r="O2961" t="s">
        <v>3171</v>
      </c>
      <c r="P2961" t="s">
        <v>68</v>
      </c>
      <c r="Q2961">
        <v>100</v>
      </c>
      <c r="R2961">
        <v>52.1</v>
      </c>
      <c r="S2961" t="s">
        <v>60</v>
      </c>
    </row>
    <row r="2962" spans="1:19" x14ac:dyDescent="0.35">
      <c r="A2962">
        <v>41830</v>
      </c>
      <c r="B2962" t="str">
        <f>"041830"</f>
        <v>041830</v>
      </c>
      <c r="C2962" t="s">
        <v>9323</v>
      </c>
      <c r="D2962" t="s">
        <v>3394</v>
      </c>
      <c r="E2962" t="s">
        <v>3395</v>
      </c>
      <c r="F2962" t="s">
        <v>3396</v>
      </c>
      <c r="G2962" t="s">
        <v>135</v>
      </c>
      <c r="H2962" t="s">
        <v>9324</v>
      </c>
      <c r="I2962" t="s">
        <v>9325</v>
      </c>
      <c r="J2962" t="s">
        <v>651</v>
      </c>
      <c r="K2962" t="s">
        <v>55</v>
      </c>
      <c r="L2962" t="s">
        <v>652</v>
      </c>
      <c r="M2962" t="s">
        <v>57</v>
      </c>
      <c r="N2962" t="str">
        <f>"047803"</f>
        <v>047803</v>
      </c>
      <c r="O2962" t="s">
        <v>648</v>
      </c>
      <c r="P2962" t="s">
        <v>68</v>
      </c>
      <c r="Q2962">
        <v>62.8</v>
      </c>
      <c r="R2962">
        <v>12.5</v>
      </c>
      <c r="S2962" t="s">
        <v>130</v>
      </c>
    </row>
    <row r="2963" spans="1:19" x14ac:dyDescent="0.35">
      <c r="A2963">
        <v>41848</v>
      </c>
      <c r="B2963" t="str">
        <f>"041848"</f>
        <v>041848</v>
      </c>
      <c r="C2963" t="s">
        <v>9326</v>
      </c>
      <c r="D2963" t="s">
        <v>3398</v>
      </c>
      <c r="E2963" t="s">
        <v>3395</v>
      </c>
      <c r="F2963" t="s">
        <v>3396</v>
      </c>
      <c r="G2963" t="s">
        <v>135</v>
      </c>
      <c r="H2963" t="s">
        <v>9327</v>
      </c>
      <c r="I2963" t="s">
        <v>9328</v>
      </c>
      <c r="J2963" t="s">
        <v>651</v>
      </c>
      <c r="K2963" t="s">
        <v>55</v>
      </c>
      <c r="L2963" t="s">
        <v>652</v>
      </c>
      <c r="M2963" t="s">
        <v>57</v>
      </c>
      <c r="N2963" t="str">
        <f>"047803"</f>
        <v>047803</v>
      </c>
      <c r="O2963" t="s">
        <v>648</v>
      </c>
      <c r="P2963" t="s">
        <v>68</v>
      </c>
      <c r="Q2963">
        <v>50.8</v>
      </c>
      <c r="R2963">
        <v>10.400000000000006</v>
      </c>
      <c r="S2963" t="s">
        <v>130</v>
      </c>
    </row>
    <row r="2964" spans="1:19" x14ac:dyDescent="0.35">
      <c r="A2964">
        <v>41855</v>
      </c>
      <c r="B2964" t="str">
        <f>"041855"</f>
        <v>041855</v>
      </c>
      <c r="C2964" t="s">
        <v>9329</v>
      </c>
      <c r="D2964" t="s">
        <v>3394</v>
      </c>
      <c r="E2964" t="s">
        <v>3395</v>
      </c>
      <c r="F2964" t="s">
        <v>3396</v>
      </c>
      <c r="G2964" t="s">
        <v>212</v>
      </c>
      <c r="H2964" t="s">
        <v>9330</v>
      </c>
      <c r="I2964" t="s">
        <v>9331</v>
      </c>
      <c r="J2964" t="s">
        <v>215</v>
      </c>
      <c r="K2964" t="s">
        <v>55</v>
      </c>
      <c r="L2964" t="s">
        <v>9332</v>
      </c>
      <c r="M2964" t="s">
        <v>57</v>
      </c>
      <c r="N2964" t="str">
        <f>"043752"</f>
        <v>043752</v>
      </c>
      <c r="O2964" t="s">
        <v>440</v>
      </c>
      <c r="P2964" t="s">
        <v>68</v>
      </c>
      <c r="Q2964">
        <v>100</v>
      </c>
      <c r="R2964">
        <v>97.1</v>
      </c>
      <c r="S2964" t="s">
        <v>217</v>
      </c>
    </row>
    <row r="2965" spans="1:19" x14ac:dyDescent="0.35">
      <c r="A2965">
        <v>41863</v>
      </c>
      <c r="B2965" t="str">
        <f>"041863"</f>
        <v>041863</v>
      </c>
      <c r="C2965" t="s">
        <v>9333</v>
      </c>
      <c r="D2965" t="s">
        <v>3394</v>
      </c>
      <c r="E2965" t="s">
        <v>3395</v>
      </c>
      <c r="F2965" t="s">
        <v>3396</v>
      </c>
      <c r="G2965" t="s">
        <v>212</v>
      </c>
      <c r="H2965" t="s">
        <v>9334</v>
      </c>
      <c r="I2965" t="s">
        <v>9335</v>
      </c>
      <c r="J2965" t="s">
        <v>215</v>
      </c>
      <c r="K2965" t="s">
        <v>55</v>
      </c>
      <c r="L2965" t="s">
        <v>2795</v>
      </c>
      <c r="M2965" t="s">
        <v>57</v>
      </c>
      <c r="N2965" t="str">
        <f>"043752"</f>
        <v>043752</v>
      </c>
      <c r="O2965" t="s">
        <v>440</v>
      </c>
      <c r="P2965" t="s">
        <v>68</v>
      </c>
      <c r="Q2965">
        <v>100</v>
      </c>
      <c r="R2965">
        <v>60.4</v>
      </c>
      <c r="S2965" t="s">
        <v>217</v>
      </c>
    </row>
    <row r="2966" spans="1:19" x14ac:dyDescent="0.35">
      <c r="A2966">
        <v>41889</v>
      </c>
      <c r="B2966" t="str">
        <f>"041889"</f>
        <v>041889</v>
      </c>
      <c r="C2966" t="s">
        <v>9336</v>
      </c>
      <c r="D2966" t="s">
        <v>3394</v>
      </c>
      <c r="E2966" t="s">
        <v>3395</v>
      </c>
      <c r="F2966" t="s">
        <v>3396</v>
      </c>
      <c r="G2966" t="s">
        <v>712</v>
      </c>
      <c r="H2966" t="s">
        <v>9337</v>
      </c>
      <c r="I2966" t="s">
        <v>9338</v>
      </c>
      <c r="J2966" t="s">
        <v>715</v>
      </c>
      <c r="K2966" t="s">
        <v>55</v>
      </c>
      <c r="L2966" t="s">
        <v>716</v>
      </c>
      <c r="M2966" t="s">
        <v>57</v>
      </c>
      <c r="N2966" t="str">
        <f>"047688"</f>
        <v>047688</v>
      </c>
      <c r="O2966" t="s">
        <v>2208</v>
      </c>
      <c r="P2966" t="s">
        <v>68</v>
      </c>
      <c r="Q2966">
        <v>15.7</v>
      </c>
      <c r="R2966">
        <v>1.4000000000000057</v>
      </c>
      <c r="S2966" t="s">
        <v>77</v>
      </c>
    </row>
    <row r="2967" spans="1:19" x14ac:dyDescent="0.35">
      <c r="A2967">
        <v>41897</v>
      </c>
      <c r="B2967" t="str">
        <f>"041897"</f>
        <v>041897</v>
      </c>
      <c r="C2967" t="s">
        <v>9339</v>
      </c>
      <c r="D2967" t="s">
        <v>3394</v>
      </c>
      <c r="E2967" t="s">
        <v>3395</v>
      </c>
      <c r="F2967" t="s">
        <v>3396</v>
      </c>
      <c r="G2967" t="s">
        <v>1041</v>
      </c>
      <c r="H2967" t="s">
        <v>9340</v>
      </c>
      <c r="I2967" t="s">
        <v>9341</v>
      </c>
      <c r="J2967" t="s">
        <v>215</v>
      </c>
      <c r="K2967" t="s">
        <v>55</v>
      </c>
      <c r="L2967" t="s">
        <v>1044</v>
      </c>
      <c r="M2967" t="s">
        <v>57</v>
      </c>
      <c r="N2967" t="str">
        <f>"046359"</f>
        <v>046359</v>
      </c>
      <c r="O2967" t="s">
        <v>1040</v>
      </c>
      <c r="P2967" t="s">
        <v>68</v>
      </c>
      <c r="Q2967">
        <v>46.8</v>
      </c>
      <c r="R2967">
        <v>21.5</v>
      </c>
      <c r="S2967" t="s">
        <v>217</v>
      </c>
    </row>
    <row r="2968" spans="1:19" x14ac:dyDescent="0.35">
      <c r="A2968">
        <v>41921</v>
      </c>
      <c r="B2968" t="str">
        <f>"041921"</f>
        <v>041921</v>
      </c>
      <c r="C2968" t="s">
        <v>9342</v>
      </c>
      <c r="D2968" t="s">
        <v>3400</v>
      </c>
      <c r="E2968" t="s">
        <v>3395</v>
      </c>
      <c r="F2968" t="s">
        <v>3396</v>
      </c>
      <c r="G2968" t="s">
        <v>543</v>
      </c>
      <c r="H2968" t="s">
        <v>9343</v>
      </c>
      <c r="I2968" t="s">
        <v>9344</v>
      </c>
      <c r="J2968" t="s">
        <v>687</v>
      </c>
      <c r="K2968" t="s">
        <v>55</v>
      </c>
      <c r="L2968" t="s">
        <v>4189</v>
      </c>
      <c r="M2968" t="s">
        <v>57</v>
      </c>
      <c r="N2968" t="str">
        <f>"043844"</f>
        <v>043844</v>
      </c>
      <c r="O2968" t="s">
        <v>985</v>
      </c>
      <c r="P2968" t="s">
        <v>68</v>
      </c>
      <c r="Q2968">
        <v>97.3</v>
      </c>
      <c r="R2968">
        <v>91</v>
      </c>
      <c r="S2968" t="s">
        <v>180</v>
      </c>
    </row>
    <row r="2969" spans="1:19" x14ac:dyDescent="0.35">
      <c r="A2969">
        <v>41939</v>
      </c>
      <c r="B2969" t="str">
        <f>"041939"</f>
        <v>041939</v>
      </c>
      <c r="C2969" t="s">
        <v>9345</v>
      </c>
      <c r="D2969" t="s">
        <v>3394</v>
      </c>
      <c r="E2969" t="s">
        <v>3395</v>
      </c>
      <c r="F2969" t="s">
        <v>3396</v>
      </c>
      <c r="G2969" t="s">
        <v>63</v>
      </c>
      <c r="H2969" t="s">
        <v>9346</v>
      </c>
      <c r="I2969" t="s">
        <v>9347</v>
      </c>
      <c r="J2969" t="s">
        <v>101</v>
      </c>
      <c r="K2969" t="s">
        <v>55</v>
      </c>
      <c r="L2969" t="s">
        <v>102</v>
      </c>
      <c r="M2969" t="s">
        <v>57</v>
      </c>
      <c r="N2969" t="str">
        <f>"044750"</f>
        <v>044750</v>
      </c>
      <c r="O2969" t="s">
        <v>98</v>
      </c>
      <c r="P2969" t="s">
        <v>68</v>
      </c>
      <c r="Q2969">
        <v>43.1</v>
      </c>
      <c r="R2969">
        <v>65.7</v>
      </c>
      <c r="S2969" t="s">
        <v>69</v>
      </c>
    </row>
    <row r="2970" spans="1:19" x14ac:dyDescent="0.35">
      <c r="A2970">
        <v>41947</v>
      </c>
      <c r="B2970" t="str">
        <f>"041947"</f>
        <v>041947</v>
      </c>
      <c r="C2970" t="s">
        <v>9348</v>
      </c>
      <c r="D2970" t="s">
        <v>3394</v>
      </c>
      <c r="E2970" t="s">
        <v>3395</v>
      </c>
      <c r="F2970" t="s">
        <v>3396</v>
      </c>
      <c r="G2970" t="s">
        <v>600</v>
      </c>
      <c r="H2970" t="s">
        <v>9349</v>
      </c>
      <c r="I2970" t="s">
        <v>9350</v>
      </c>
      <c r="J2970" t="s">
        <v>1348</v>
      </c>
      <c r="K2970" t="s">
        <v>55</v>
      </c>
      <c r="L2970" t="s">
        <v>3568</v>
      </c>
      <c r="M2970" t="s">
        <v>57</v>
      </c>
      <c r="N2970" t="str">
        <f>"043802"</f>
        <v>043802</v>
      </c>
      <c r="O2970" t="s">
        <v>3171</v>
      </c>
      <c r="P2970" t="s">
        <v>68</v>
      </c>
      <c r="Q2970">
        <v>100</v>
      </c>
      <c r="R2970">
        <v>100</v>
      </c>
      <c r="S2970" t="s">
        <v>60</v>
      </c>
    </row>
    <row r="2971" spans="1:19" x14ac:dyDescent="0.35">
      <c r="A2971">
        <v>41962</v>
      </c>
      <c r="B2971" t="str">
        <f>"041962"</f>
        <v>041962</v>
      </c>
      <c r="C2971" t="s">
        <v>9351</v>
      </c>
      <c r="D2971" t="s">
        <v>3394</v>
      </c>
      <c r="E2971" t="s">
        <v>3395</v>
      </c>
      <c r="F2971" t="s">
        <v>3396</v>
      </c>
      <c r="G2971" t="s">
        <v>663</v>
      </c>
      <c r="H2971" t="s">
        <v>9352</v>
      </c>
      <c r="I2971" t="s">
        <v>9353</v>
      </c>
      <c r="J2971" t="s">
        <v>666</v>
      </c>
      <c r="K2971" t="s">
        <v>55</v>
      </c>
      <c r="L2971" t="s">
        <v>667</v>
      </c>
      <c r="M2971" t="s">
        <v>57</v>
      </c>
      <c r="N2971" t="str">
        <f>"044297"</f>
        <v>044297</v>
      </c>
      <c r="O2971" t="s">
        <v>662</v>
      </c>
      <c r="P2971" t="s">
        <v>68</v>
      </c>
      <c r="Q2971">
        <v>100</v>
      </c>
      <c r="R2971">
        <v>55.4</v>
      </c>
      <c r="S2971" t="s">
        <v>77</v>
      </c>
    </row>
    <row r="2972" spans="1:19" x14ac:dyDescent="0.35">
      <c r="A2972">
        <v>41988</v>
      </c>
      <c r="B2972" t="str">
        <f>"041988"</f>
        <v>041988</v>
      </c>
      <c r="C2972" t="s">
        <v>9351</v>
      </c>
      <c r="D2972" t="s">
        <v>3394</v>
      </c>
      <c r="E2972" t="s">
        <v>3395</v>
      </c>
      <c r="F2972" t="s">
        <v>3396</v>
      </c>
      <c r="G2972" t="s">
        <v>264</v>
      </c>
      <c r="H2972" t="s">
        <v>9354</v>
      </c>
      <c r="I2972" t="s">
        <v>9355</v>
      </c>
      <c r="J2972" t="s">
        <v>1210</v>
      </c>
      <c r="K2972" t="s">
        <v>55</v>
      </c>
      <c r="L2972" t="s">
        <v>1211</v>
      </c>
      <c r="M2972" t="s">
        <v>57</v>
      </c>
      <c r="N2972" t="str">
        <f>"044834"</f>
        <v>044834</v>
      </c>
      <c r="O2972" t="s">
        <v>1207</v>
      </c>
      <c r="P2972" t="s">
        <v>68</v>
      </c>
      <c r="Q2972">
        <v>24.8</v>
      </c>
      <c r="R2972">
        <v>17.799999999999997</v>
      </c>
      <c r="S2972" t="s">
        <v>77</v>
      </c>
    </row>
    <row r="2973" spans="1:19" x14ac:dyDescent="0.35">
      <c r="A2973">
        <v>41996</v>
      </c>
      <c r="B2973" t="str">
        <f>"041996"</f>
        <v>041996</v>
      </c>
      <c r="C2973" t="s">
        <v>9356</v>
      </c>
      <c r="D2973" t="s">
        <v>3394</v>
      </c>
      <c r="E2973" t="s">
        <v>3395</v>
      </c>
      <c r="F2973" t="s">
        <v>3396</v>
      </c>
      <c r="G2973" t="s">
        <v>117</v>
      </c>
      <c r="H2973" t="s">
        <v>9357</v>
      </c>
      <c r="I2973" t="s">
        <v>9358</v>
      </c>
      <c r="J2973" t="s">
        <v>1409</v>
      </c>
      <c r="K2973" t="s">
        <v>55</v>
      </c>
      <c r="L2973" t="s">
        <v>9359</v>
      </c>
      <c r="M2973" t="s">
        <v>57</v>
      </c>
      <c r="N2973" t="str">
        <f>"043711"</f>
        <v>043711</v>
      </c>
      <c r="O2973" t="s">
        <v>3000</v>
      </c>
      <c r="P2973" t="s">
        <v>68</v>
      </c>
      <c r="Q2973" t="s">
        <v>68</v>
      </c>
      <c r="R2973" t="s">
        <v>68</v>
      </c>
      <c r="S2973" t="s">
        <v>77</v>
      </c>
    </row>
    <row r="2974" spans="1:19" x14ac:dyDescent="0.35">
      <c r="A2974">
        <v>42028</v>
      </c>
      <c r="B2974" t="str">
        <f>"042028"</f>
        <v>042028</v>
      </c>
      <c r="C2974" t="s">
        <v>9360</v>
      </c>
      <c r="D2974" t="s">
        <v>3394</v>
      </c>
      <c r="E2974" t="s">
        <v>3395</v>
      </c>
      <c r="F2974" t="s">
        <v>3396</v>
      </c>
      <c r="G2974" t="s">
        <v>212</v>
      </c>
      <c r="H2974" t="s">
        <v>9361</v>
      </c>
      <c r="I2974" t="s">
        <v>9362</v>
      </c>
      <c r="J2974" t="s">
        <v>215</v>
      </c>
      <c r="K2974" t="s">
        <v>55</v>
      </c>
      <c r="L2974" t="s">
        <v>954</v>
      </c>
      <c r="M2974" t="s">
        <v>57</v>
      </c>
      <c r="N2974" t="str">
        <f>"044677"</f>
        <v>044677</v>
      </c>
      <c r="O2974" t="s">
        <v>2499</v>
      </c>
      <c r="P2974" t="s">
        <v>68</v>
      </c>
      <c r="Q2974">
        <v>97.8</v>
      </c>
      <c r="R2974">
        <v>93.9</v>
      </c>
      <c r="S2974" t="s">
        <v>217</v>
      </c>
    </row>
    <row r="2975" spans="1:19" x14ac:dyDescent="0.35">
      <c r="A2975">
        <v>42036</v>
      </c>
      <c r="B2975" t="str">
        <f>"042036"</f>
        <v>042036</v>
      </c>
      <c r="C2975" t="s">
        <v>9363</v>
      </c>
      <c r="D2975" t="s">
        <v>3394</v>
      </c>
      <c r="E2975" t="s">
        <v>3395</v>
      </c>
      <c r="F2975" t="s">
        <v>3396</v>
      </c>
      <c r="G2975" t="s">
        <v>400</v>
      </c>
      <c r="H2975" t="s">
        <v>9364</v>
      </c>
      <c r="I2975" t="s">
        <v>9365</v>
      </c>
      <c r="J2975" t="s">
        <v>9366</v>
      </c>
      <c r="K2975" t="s">
        <v>55</v>
      </c>
      <c r="L2975" t="s">
        <v>9367</v>
      </c>
      <c r="M2975" t="s">
        <v>57</v>
      </c>
      <c r="N2975" t="str">
        <f>"049577"</f>
        <v>049577</v>
      </c>
      <c r="O2975" t="s">
        <v>960</v>
      </c>
      <c r="P2975" t="s">
        <v>68</v>
      </c>
      <c r="Q2975">
        <v>25</v>
      </c>
      <c r="R2975">
        <v>15.099999999999994</v>
      </c>
      <c r="S2975" t="s">
        <v>156</v>
      </c>
    </row>
    <row r="2976" spans="1:19" x14ac:dyDescent="0.35">
      <c r="A2976">
        <v>42044</v>
      </c>
      <c r="B2976" t="str">
        <f>"042044"</f>
        <v>042044</v>
      </c>
      <c r="C2976" t="s">
        <v>9368</v>
      </c>
      <c r="D2976" t="s">
        <v>3398</v>
      </c>
      <c r="E2976" t="s">
        <v>3395</v>
      </c>
      <c r="F2976" t="s">
        <v>3396</v>
      </c>
      <c r="G2976" t="s">
        <v>257</v>
      </c>
      <c r="H2976" t="s">
        <v>9369</v>
      </c>
      <c r="I2976" t="s">
        <v>9370</v>
      </c>
      <c r="J2976" t="s">
        <v>963</v>
      </c>
      <c r="K2976" t="s">
        <v>55</v>
      </c>
      <c r="L2976" t="s">
        <v>964</v>
      </c>
      <c r="M2976" t="s">
        <v>57</v>
      </c>
      <c r="N2976" t="str">
        <f>"049577"</f>
        <v>049577</v>
      </c>
      <c r="O2976" t="s">
        <v>960</v>
      </c>
      <c r="P2976" t="s">
        <v>68</v>
      </c>
      <c r="Q2976">
        <v>17.100000000000001</v>
      </c>
      <c r="R2976">
        <v>12.700000000000003</v>
      </c>
      <c r="S2976" t="s">
        <v>156</v>
      </c>
    </row>
    <row r="2977" spans="1:19" x14ac:dyDescent="0.35">
      <c r="A2977">
        <v>42051</v>
      </c>
      <c r="B2977" t="str">
        <f>"042051"</f>
        <v>042051</v>
      </c>
      <c r="C2977" t="s">
        <v>9371</v>
      </c>
      <c r="D2977" t="s">
        <v>3398</v>
      </c>
      <c r="E2977" t="s">
        <v>3395</v>
      </c>
      <c r="F2977" t="s">
        <v>3396</v>
      </c>
      <c r="G2977" t="s">
        <v>264</v>
      </c>
      <c r="H2977" t="s">
        <v>9372</v>
      </c>
      <c r="I2977" t="s">
        <v>9373</v>
      </c>
      <c r="J2977" t="s">
        <v>3381</v>
      </c>
      <c r="K2977" t="s">
        <v>55</v>
      </c>
      <c r="L2977" t="s">
        <v>3382</v>
      </c>
      <c r="M2977" t="s">
        <v>57</v>
      </c>
      <c r="N2977" t="str">
        <f>"049973"</f>
        <v>049973</v>
      </c>
      <c r="O2977" t="s">
        <v>3378</v>
      </c>
      <c r="P2977" t="s">
        <v>68</v>
      </c>
      <c r="Q2977">
        <v>31.2</v>
      </c>
      <c r="R2977">
        <v>32.799999999999997</v>
      </c>
      <c r="S2977" t="s">
        <v>77</v>
      </c>
    </row>
    <row r="2978" spans="1:19" x14ac:dyDescent="0.35">
      <c r="A2978">
        <v>42077</v>
      </c>
      <c r="B2978" t="str">
        <f>"042077"</f>
        <v>042077</v>
      </c>
      <c r="C2978" t="s">
        <v>9374</v>
      </c>
      <c r="D2978" t="s">
        <v>3394</v>
      </c>
      <c r="E2978" t="s">
        <v>3395</v>
      </c>
      <c r="F2978" t="s">
        <v>3396</v>
      </c>
      <c r="G2978" t="s">
        <v>1239</v>
      </c>
      <c r="H2978" t="s">
        <v>9375</v>
      </c>
      <c r="I2978" t="s">
        <v>9376</v>
      </c>
      <c r="J2978" t="s">
        <v>1242</v>
      </c>
      <c r="K2978" t="s">
        <v>55</v>
      </c>
      <c r="L2978" t="s">
        <v>1243</v>
      </c>
      <c r="M2978" t="s">
        <v>57</v>
      </c>
      <c r="N2978" t="str">
        <f>"048652"</f>
        <v>048652</v>
      </c>
      <c r="O2978" t="s">
        <v>2757</v>
      </c>
      <c r="P2978" t="s">
        <v>68</v>
      </c>
      <c r="Q2978">
        <v>53.6</v>
      </c>
      <c r="R2978">
        <v>3.2999999999999972</v>
      </c>
      <c r="S2978" t="s">
        <v>130</v>
      </c>
    </row>
    <row r="2979" spans="1:19" x14ac:dyDescent="0.35">
      <c r="A2979">
        <v>42085</v>
      </c>
      <c r="B2979" t="str">
        <f>"042085"</f>
        <v>042085</v>
      </c>
      <c r="C2979" t="s">
        <v>9377</v>
      </c>
      <c r="D2979" t="s">
        <v>3398</v>
      </c>
      <c r="E2979" t="s">
        <v>3395</v>
      </c>
      <c r="F2979" t="s">
        <v>3396</v>
      </c>
      <c r="G2979" t="s">
        <v>1239</v>
      </c>
      <c r="H2979" t="s">
        <v>9378</v>
      </c>
      <c r="I2979" t="s">
        <v>9379</v>
      </c>
      <c r="J2979" t="s">
        <v>1242</v>
      </c>
      <c r="K2979" t="s">
        <v>55</v>
      </c>
      <c r="L2979" t="s">
        <v>1243</v>
      </c>
      <c r="M2979" t="s">
        <v>57</v>
      </c>
      <c r="N2979" t="str">
        <f>"048652"</f>
        <v>048652</v>
      </c>
      <c r="O2979" t="s">
        <v>2757</v>
      </c>
      <c r="P2979" t="s">
        <v>68</v>
      </c>
      <c r="Q2979">
        <v>39.700000000000003</v>
      </c>
      <c r="R2979">
        <v>2.5999999999999943</v>
      </c>
      <c r="S2979" t="s">
        <v>130</v>
      </c>
    </row>
    <row r="2980" spans="1:19" x14ac:dyDescent="0.35">
      <c r="A2980">
        <v>42143</v>
      </c>
      <c r="B2980" t="str">
        <f>"042143"</f>
        <v>042143</v>
      </c>
      <c r="C2980" t="s">
        <v>9380</v>
      </c>
      <c r="D2980" t="s">
        <v>3394</v>
      </c>
      <c r="E2980" t="s">
        <v>3395</v>
      </c>
      <c r="F2980" t="s">
        <v>3396</v>
      </c>
      <c r="G2980" t="s">
        <v>52</v>
      </c>
      <c r="H2980" t="s">
        <v>9381</v>
      </c>
      <c r="I2980" t="s">
        <v>9382</v>
      </c>
      <c r="J2980" t="s">
        <v>52</v>
      </c>
      <c r="K2980" t="s">
        <v>55</v>
      </c>
      <c r="L2980" t="s">
        <v>56</v>
      </c>
      <c r="M2980" t="s">
        <v>57</v>
      </c>
      <c r="N2980" t="str">
        <f>"043877"</f>
        <v>043877</v>
      </c>
      <c r="O2980" t="s">
        <v>48</v>
      </c>
      <c r="P2980" t="s">
        <v>68</v>
      </c>
      <c r="Q2980">
        <v>43.3</v>
      </c>
      <c r="R2980">
        <v>30.299999999999997</v>
      </c>
      <c r="S2980" t="s">
        <v>60</v>
      </c>
    </row>
    <row r="2981" spans="1:19" x14ac:dyDescent="0.35">
      <c r="A2981">
        <v>42150</v>
      </c>
      <c r="B2981" t="str">
        <f>"042150"</f>
        <v>042150</v>
      </c>
      <c r="C2981" t="s">
        <v>9383</v>
      </c>
      <c r="D2981" t="s">
        <v>3398</v>
      </c>
      <c r="E2981" t="s">
        <v>3395</v>
      </c>
      <c r="F2981" t="s">
        <v>3396</v>
      </c>
      <c r="G2981" t="s">
        <v>200</v>
      </c>
      <c r="H2981" t="s">
        <v>9384</v>
      </c>
      <c r="I2981" t="s">
        <v>9385</v>
      </c>
      <c r="J2981" t="s">
        <v>304</v>
      </c>
      <c r="K2981" t="s">
        <v>55</v>
      </c>
      <c r="L2981" t="s">
        <v>4360</v>
      </c>
      <c r="M2981" t="s">
        <v>57</v>
      </c>
      <c r="N2981" t="str">
        <f>"044909"</f>
        <v>044909</v>
      </c>
      <c r="O2981" t="s">
        <v>3318</v>
      </c>
      <c r="P2981" t="s">
        <v>68</v>
      </c>
      <c r="Q2981">
        <v>98.5</v>
      </c>
      <c r="R2981">
        <v>82.9</v>
      </c>
      <c r="S2981" t="s">
        <v>156</v>
      </c>
    </row>
    <row r="2982" spans="1:19" x14ac:dyDescent="0.35">
      <c r="A2982">
        <v>42184</v>
      </c>
      <c r="B2982" t="str">
        <f>"042184"</f>
        <v>042184</v>
      </c>
      <c r="C2982" t="s">
        <v>9386</v>
      </c>
      <c r="D2982" t="s">
        <v>3400</v>
      </c>
      <c r="E2982" t="s">
        <v>3395</v>
      </c>
      <c r="F2982" t="s">
        <v>3396</v>
      </c>
      <c r="G2982" t="s">
        <v>600</v>
      </c>
      <c r="H2982" t="s">
        <v>9387</v>
      </c>
      <c r="I2982" t="s">
        <v>9388</v>
      </c>
      <c r="J2982" t="s">
        <v>1348</v>
      </c>
      <c r="K2982" t="s">
        <v>55</v>
      </c>
      <c r="L2982" t="s">
        <v>3462</v>
      </c>
      <c r="M2982" t="s">
        <v>57</v>
      </c>
      <c r="N2982" t="str">
        <f>"043802"</f>
        <v>043802</v>
      </c>
      <c r="O2982" t="s">
        <v>3171</v>
      </c>
      <c r="P2982" t="s">
        <v>68</v>
      </c>
      <c r="Q2982">
        <v>100</v>
      </c>
      <c r="R2982">
        <v>87.6</v>
      </c>
      <c r="S2982" t="s">
        <v>60</v>
      </c>
    </row>
    <row r="2983" spans="1:19" x14ac:dyDescent="0.35">
      <c r="A2983">
        <v>42218</v>
      </c>
      <c r="B2983" t="str">
        <f>"042218"</f>
        <v>042218</v>
      </c>
      <c r="C2983" t="s">
        <v>9389</v>
      </c>
      <c r="D2983" t="s">
        <v>3398</v>
      </c>
      <c r="E2983" t="s">
        <v>3395</v>
      </c>
      <c r="F2983" t="s">
        <v>3396</v>
      </c>
      <c r="G2983" t="s">
        <v>187</v>
      </c>
      <c r="H2983" t="s">
        <v>9390</v>
      </c>
      <c r="I2983" t="s">
        <v>9391</v>
      </c>
      <c r="J2983" t="s">
        <v>309</v>
      </c>
      <c r="K2983" t="s">
        <v>55</v>
      </c>
      <c r="L2983" t="s">
        <v>310</v>
      </c>
      <c r="M2983" t="s">
        <v>57</v>
      </c>
      <c r="N2983" t="str">
        <f>"045120"</f>
        <v>045120</v>
      </c>
      <c r="O2983" t="s">
        <v>306</v>
      </c>
      <c r="P2983" t="s">
        <v>68</v>
      </c>
      <c r="Q2983">
        <v>32.799999999999997</v>
      </c>
      <c r="R2983">
        <v>16.700000000000003</v>
      </c>
      <c r="S2983" t="s">
        <v>77</v>
      </c>
    </row>
    <row r="2984" spans="1:19" x14ac:dyDescent="0.35">
      <c r="A2984">
        <v>42234</v>
      </c>
      <c r="B2984" t="str">
        <f>"042234"</f>
        <v>042234</v>
      </c>
      <c r="C2984" t="s">
        <v>9392</v>
      </c>
      <c r="D2984" t="s">
        <v>3394</v>
      </c>
      <c r="E2984" t="s">
        <v>3395</v>
      </c>
      <c r="F2984" t="s">
        <v>3396</v>
      </c>
      <c r="G2984" t="s">
        <v>187</v>
      </c>
      <c r="H2984" t="s">
        <v>9393</v>
      </c>
      <c r="I2984" t="s">
        <v>9394</v>
      </c>
      <c r="J2984" t="s">
        <v>309</v>
      </c>
      <c r="K2984" t="s">
        <v>55</v>
      </c>
      <c r="L2984" t="s">
        <v>310</v>
      </c>
      <c r="M2984" t="s">
        <v>57</v>
      </c>
      <c r="N2984" t="str">
        <f>"050591"</f>
        <v>050591</v>
      </c>
      <c r="O2984" t="s">
        <v>522</v>
      </c>
      <c r="P2984" t="s">
        <v>68</v>
      </c>
      <c r="Q2984">
        <v>34.1</v>
      </c>
      <c r="R2984">
        <v>11.299999999999997</v>
      </c>
      <c r="S2984" t="s">
        <v>77</v>
      </c>
    </row>
    <row r="2985" spans="1:19" x14ac:dyDescent="0.35">
      <c r="A2985">
        <v>42259</v>
      </c>
      <c r="B2985" t="str">
        <f>"042259"</f>
        <v>042259</v>
      </c>
      <c r="C2985" t="s">
        <v>9395</v>
      </c>
      <c r="D2985" t="s">
        <v>3394</v>
      </c>
      <c r="E2985" t="s">
        <v>3395</v>
      </c>
      <c r="F2985" t="s">
        <v>3396</v>
      </c>
      <c r="G2985" t="s">
        <v>117</v>
      </c>
      <c r="H2985" t="s">
        <v>9396</v>
      </c>
      <c r="I2985" t="s">
        <v>9397</v>
      </c>
      <c r="J2985" t="s">
        <v>1409</v>
      </c>
      <c r="K2985" t="s">
        <v>55</v>
      </c>
      <c r="L2985" t="s">
        <v>1410</v>
      </c>
      <c r="M2985" t="s">
        <v>57</v>
      </c>
      <c r="N2985" t="str">
        <f>"043711"</f>
        <v>043711</v>
      </c>
      <c r="O2985" t="s">
        <v>3000</v>
      </c>
      <c r="P2985" t="s">
        <v>68</v>
      </c>
      <c r="Q2985">
        <v>100</v>
      </c>
      <c r="R2985">
        <v>60.2</v>
      </c>
      <c r="S2985" t="s">
        <v>77</v>
      </c>
    </row>
    <row r="2986" spans="1:19" x14ac:dyDescent="0.35">
      <c r="A2986">
        <v>42275</v>
      </c>
      <c r="B2986" t="str">
        <f>"042275"</f>
        <v>042275</v>
      </c>
      <c r="C2986" t="s">
        <v>9398</v>
      </c>
      <c r="D2986" t="s">
        <v>3394</v>
      </c>
      <c r="E2986" t="s">
        <v>3395</v>
      </c>
      <c r="F2986" t="s">
        <v>3396</v>
      </c>
      <c r="G2986" t="s">
        <v>600</v>
      </c>
      <c r="H2986" t="s">
        <v>9399</v>
      </c>
      <c r="I2986" t="s">
        <v>9400</v>
      </c>
      <c r="J2986" t="s">
        <v>1500</v>
      </c>
      <c r="K2986" t="s">
        <v>55</v>
      </c>
      <c r="L2986" t="s">
        <v>1501</v>
      </c>
      <c r="M2986" t="s">
        <v>57</v>
      </c>
      <c r="N2986" t="str">
        <f>"045138"</f>
        <v>045138</v>
      </c>
      <c r="O2986" t="s">
        <v>1497</v>
      </c>
      <c r="P2986" t="s">
        <v>68</v>
      </c>
      <c r="Q2986">
        <v>24.6</v>
      </c>
      <c r="R2986">
        <v>39.700000000000003</v>
      </c>
      <c r="S2986" t="s">
        <v>60</v>
      </c>
    </row>
    <row r="2987" spans="1:19" x14ac:dyDescent="0.35">
      <c r="A2987">
        <v>42283</v>
      </c>
      <c r="B2987" t="str">
        <f>"042283"</f>
        <v>042283</v>
      </c>
      <c r="C2987" t="s">
        <v>9401</v>
      </c>
      <c r="D2987" t="s">
        <v>3398</v>
      </c>
      <c r="E2987" t="s">
        <v>3395</v>
      </c>
      <c r="F2987" t="s">
        <v>3396</v>
      </c>
      <c r="G2987" t="s">
        <v>600</v>
      </c>
      <c r="H2987" t="s">
        <v>9402</v>
      </c>
      <c r="I2987" t="s">
        <v>9403</v>
      </c>
      <c r="J2987" t="s">
        <v>1500</v>
      </c>
      <c r="K2987" t="s">
        <v>55</v>
      </c>
      <c r="L2987" t="s">
        <v>1501</v>
      </c>
      <c r="M2987" t="s">
        <v>57</v>
      </c>
      <c r="N2987" t="str">
        <f>"045138"</f>
        <v>045138</v>
      </c>
      <c r="O2987" t="s">
        <v>1497</v>
      </c>
      <c r="P2987" t="s">
        <v>68</v>
      </c>
      <c r="Q2987">
        <v>25.1</v>
      </c>
      <c r="R2987">
        <v>37.1</v>
      </c>
      <c r="S2987" t="s">
        <v>60</v>
      </c>
    </row>
    <row r="2988" spans="1:19" x14ac:dyDescent="0.35">
      <c r="A2988">
        <v>42291</v>
      </c>
      <c r="B2988" t="str">
        <f>"042291"</f>
        <v>042291</v>
      </c>
      <c r="C2988" t="s">
        <v>9404</v>
      </c>
      <c r="D2988" t="s">
        <v>3400</v>
      </c>
      <c r="E2988" t="s">
        <v>3395</v>
      </c>
      <c r="F2988" t="s">
        <v>3396</v>
      </c>
      <c r="G2988" t="s">
        <v>600</v>
      </c>
      <c r="H2988" t="s">
        <v>9405</v>
      </c>
      <c r="I2988" t="s">
        <v>9406</v>
      </c>
      <c r="J2988" t="s">
        <v>1500</v>
      </c>
      <c r="K2988" t="s">
        <v>55</v>
      </c>
      <c r="L2988" t="s">
        <v>1501</v>
      </c>
      <c r="M2988" t="s">
        <v>57</v>
      </c>
      <c r="N2988" t="str">
        <f>"045138"</f>
        <v>045138</v>
      </c>
      <c r="O2988" t="s">
        <v>1497</v>
      </c>
      <c r="P2988" t="s">
        <v>68</v>
      </c>
      <c r="Q2988">
        <v>29.5</v>
      </c>
      <c r="R2988">
        <v>40.6</v>
      </c>
      <c r="S2988" t="s">
        <v>60</v>
      </c>
    </row>
    <row r="2989" spans="1:19" x14ac:dyDescent="0.35">
      <c r="A2989">
        <v>42333</v>
      </c>
      <c r="B2989" t="str">
        <f>"042333"</f>
        <v>042333</v>
      </c>
      <c r="C2989" t="s">
        <v>9407</v>
      </c>
      <c r="D2989" t="s">
        <v>3398</v>
      </c>
      <c r="E2989" t="s">
        <v>3395</v>
      </c>
      <c r="F2989" t="s">
        <v>3396</v>
      </c>
      <c r="G2989" t="s">
        <v>383</v>
      </c>
      <c r="H2989" t="s">
        <v>1665</v>
      </c>
      <c r="I2989" t="s">
        <v>1666</v>
      </c>
      <c r="J2989" t="s">
        <v>1667</v>
      </c>
      <c r="K2989" t="s">
        <v>55</v>
      </c>
      <c r="L2989" t="s">
        <v>1668</v>
      </c>
      <c r="M2989" t="s">
        <v>57</v>
      </c>
      <c r="N2989" t="str">
        <f>"048397"</f>
        <v>048397</v>
      </c>
      <c r="O2989" t="s">
        <v>467</v>
      </c>
      <c r="P2989" t="s">
        <v>68</v>
      </c>
      <c r="Q2989">
        <v>26.5</v>
      </c>
      <c r="R2989">
        <v>6.0999999999999943</v>
      </c>
      <c r="S2989" t="s">
        <v>77</v>
      </c>
    </row>
    <row r="2990" spans="1:19" x14ac:dyDescent="0.35">
      <c r="A2990">
        <v>42341</v>
      </c>
      <c r="B2990" t="str">
        <f>"042341"</f>
        <v>042341</v>
      </c>
      <c r="C2990" t="s">
        <v>9407</v>
      </c>
      <c r="D2990" t="s">
        <v>3398</v>
      </c>
      <c r="E2990" t="s">
        <v>3395</v>
      </c>
      <c r="F2990" t="s">
        <v>3396</v>
      </c>
      <c r="G2990" t="s">
        <v>79</v>
      </c>
      <c r="H2990" t="s">
        <v>8697</v>
      </c>
      <c r="I2990" t="s">
        <v>8698</v>
      </c>
      <c r="J2990" t="s">
        <v>470</v>
      </c>
      <c r="K2990" t="s">
        <v>55</v>
      </c>
      <c r="L2990" t="s">
        <v>471</v>
      </c>
      <c r="M2990" t="s">
        <v>57</v>
      </c>
      <c r="N2990" t="str">
        <f>"047746"</f>
        <v>047746</v>
      </c>
      <c r="O2990" t="s">
        <v>467</v>
      </c>
      <c r="P2990" t="s">
        <v>68</v>
      </c>
      <c r="Q2990">
        <v>46.9</v>
      </c>
      <c r="R2990">
        <v>4.2000000000000028</v>
      </c>
      <c r="S2990" t="s">
        <v>69</v>
      </c>
    </row>
    <row r="2991" spans="1:19" x14ac:dyDescent="0.35">
      <c r="A2991">
        <v>42366</v>
      </c>
      <c r="B2991" t="str">
        <f>"042366"</f>
        <v>042366</v>
      </c>
      <c r="C2991" t="s">
        <v>9408</v>
      </c>
      <c r="D2991" t="s">
        <v>3398</v>
      </c>
      <c r="E2991" t="s">
        <v>3395</v>
      </c>
      <c r="F2991" t="s">
        <v>3396</v>
      </c>
      <c r="G2991" t="s">
        <v>331</v>
      </c>
      <c r="H2991" t="s">
        <v>632</v>
      </c>
      <c r="I2991" t="s">
        <v>633</v>
      </c>
      <c r="J2991" t="s">
        <v>634</v>
      </c>
      <c r="K2991" t="s">
        <v>55</v>
      </c>
      <c r="L2991" t="s">
        <v>635</v>
      </c>
      <c r="M2991" t="s">
        <v>57</v>
      </c>
      <c r="N2991" t="str">
        <f>"046524"</f>
        <v>046524</v>
      </c>
      <c r="O2991" t="s">
        <v>631</v>
      </c>
      <c r="P2991" t="s">
        <v>68</v>
      </c>
      <c r="Q2991">
        <v>31.6</v>
      </c>
      <c r="R2991">
        <v>3.4000000000000057</v>
      </c>
      <c r="S2991" t="s">
        <v>156</v>
      </c>
    </row>
    <row r="2992" spans="1:19" x14ac:dyDescent="0.35">
      <c r="A2992">
        <v>42382</v>
      </c>
      <c r="B2992" t="str">
        <f>"042382"</f>
        <v>042382</v>
      </c>
      <c r="C2992" t="s">
        <v>9409</v>
      </c>
      <c r="D2992" t="s">
        <v>3398</v>
      </c>
      <c r="E2992" t="s">
        <v>3395</v>
      </c>
      <c r="F2992" t="s">
        <v>3396</v>
      </c>
      <c r="G2992" t="s">
        <v>212</v>
      </c>
      <c r="H2992" t="s">
        <v>9410</v>
      </c>
      <c r="I2992" t="s">
        <v>9411</v>
      </c>
      <c r="J2992" t="s">
        <v>1697</v>
      </c>
      <c r="K2992" t="s">
        <v>55</v>
      </c>
      <c r="L2992" t="s">
        <v>954</v>
      </c>
      <c r="M2992" t="s">
        <v>57</v>
      </c>
      <c r="N2992" t="str">
        <f>"045146"</f>
        <v>045146</v>
      </c>
      <c r="O2992" t="s">
        <v>1694</v>
      </c>
      <c r="P2992" t="s">
        <v>68</v>
      </c>
      <c r="Q2992">
        <v>9.4</v>
      </c>
      <c r="R2992">
        <v>28.200000000000003</v>
      </c>
      <c r="S2992" t="s">
        <v>217</v>
      </c>
    </row>
    <row r="2993" spans="1:19" x14ac:dyDescent="0.35">
      <c r="A2993">
        <v>42408</v>
      </c>
      <c r="B2993" t="str">
        <f>"042408"</f>
        <v>042408</v>
      </c>
      <c r="C2993" t="s">
        <v>9412</v>
      </c>
      <c r="D2993" t="s">
        <v>3398</v>
      </c>
      <c r="E2993" t="s">
        <v>3395</v>
      </c>
      <c r="F2993" t="s">
        <v>3396</v>
      </c>
      <c r="G2993" t="s">
        <v>642</v>
      </c>
      <c r="H2993" t="s">
        <v>9413</v>
      </c>
      <c r="I2993" t="s">
        <v>9414</v>
      </c>
      <c r="J2993" t="s">
        <v>1469</v>
      </c>
      <c r="K2993" t="s">
        <v>55</v>
      </c>
      <c r="L2993" t="s">
        <v>1470</v>
      </c>
      <c r="M2993" t="s">
        <v>57</v>
      </c>
      <c r="N2993" t="str">
        <f>"045153"</f>
        <v>045153</v>
      </c>
      <c r="O2993" t="s">
        <v>2754</v>
      </c>
      <c r="P2993" t="s">
        <v>68</v>
      </c>
      <c r="Q2993">
        <v>51</v>
      </c>
      <c r="R2993">
        <v>28.799999999999997</v>
      </c>
      <c r="S2993" t="s">
        <v>180</v>
      </c>
    </row>
    <row r="2994" spans="1:19" x14ac:dyDescent="0.35">
      <c r="A2994">
        <v>42416</v>
      </c>
      <c r="B2994" t="str">
        <f>"042416"</f>
        <v>042416</v>
      </c>
      <c r="C2994" t="s">
        <v>9415</v>
      </c>
      <c r="D2994" t="s">
        <v>3398</v>
      </c>
      <c r="E2994" t="s">
        <v>3395</v>
      </c>
      <c r="F2994" t="s">
        <v>3396</v>
      </c>
      <c r="G2994" t="s">
        <v>642</v>
      </c>
      <c r="H2994" t="s">
        <v>9416</v>
      </c>
      <c r="I2994" t="s">
        <v>9417</v>
      </c>
      <c r="J2994" t="s">
        <v>1506</v>
      </c>
      <c r="K2994" t="s">
        <v>55</v>
      </c>
      <c r="L2994" t="s">
        <v>1507</v>
      </c>
      <c r="M2994" t="s">
        <v>57</v>
      </c>
      <c r="N2994" t="str">
        <f>"045674"</f>
        <v>045674</v>
      </c>
      <c r="O2994" t="s">
        <v>1503</v>
      </c>
      <c r="P2994" t="s">
        <v>68</v>
      </c>
      <c r="Q2994">
        <v>25.4</v>
      </c>
      <c r="R2994">
        <v>34.700000000000003</v>
      </c>
      <c r="S2994" t="s">
        <v>180</v>
      </c>
    </row>
    <row r="2995" spans="1:19" x14ac:dyDescent="0.35">
      <c r="A2995">
        <v>42424</v>
      </c>
      <c r="B2995" t="str">
        <f>"042424"</f>
        <v>042424</v>
      </c>
      <c r="C2995" t="s">
        <v>9418</v>
      </c>
      <c r="D2995" t="s">
        <v>3394</v>
      </c>
      <c r="E2995" t="s">
        <v>3395</v>
      </c>
      <c r="F2995" t="s">
        <v>3396</v>
      </c>
      <c r="G2995" t="s">
        <v>79</v>
      </c>
      <c r="H2995" t="s">
        <v>9419</v>
      </c>
      <c r="I2995" t="s">
        <v>9420</v>
      </c>
      <c r="J2995" t="s">
        <v>2851</v>
      </c>
      <c r="K2995" t="s">
        <v>55</v>
      </c>
      <c r="L2995" t="s">
        <v>2852</v>
      </c>
      <c r="M2995" t="s">
        <v>57</v>
      </c>
      <c r="N2995" t="str">
        <f>"043596"</f>
        <v>043596</v>
      </c>
      <c r="O2995" t="s">
        <v>2848</v>
      </c>
      <c r="P2995" t="s">
        <v>68</v>
      </c>
      <c r="Q2995">
        <v>44.9</v>
      </c>
      <c r="R2995">
        <v>15.200000000000003</v>
      </c>
      <c r="S2995" t="s">
        <v>69</v>
      </c>
    </row>
    <row r="2996" spans="1:19" x14ac:dyDescent="0.35">
      <c r="A2996">
        <v>42440</v>
      </c>
      <c r="B2996" t="str">
        <f>"042440"</f>
        <v>042440</v>
      </c>
      <c r="C2996" t="s">
        <v>9421</v>
      </c>
      <c r="D2996" t="s">
        <v>3394</v>
      </c>
      <c r="E2996" t="s">
        <v>3395</v>
      </c>
      <c r="F2996" t="s">
        <v>3396</v>
      </c>
      <c r="G2996" t="s">
        <v>493</v>
      </c>
      <c r="H2996" t="s">
        <v>9422</v>
      </c>
      <c r="I2996" t="s">
        <v>9423</v>
      </c>
      <c r="J2996" t="s">
        <v>496</v>
      </c>
      <c r="K2996" t="s">
        <v>55</v>
      </c>
      <c r="L2996" t="s">
        <v>497</v>
      </c>
      <c r="M2996" t="s">
        <v>57</v>
      </c>
      <c r="N2996" t="str">
        <f>"044446"</f>
        <v>044446</v>
      </c>
      <c r="O2996" t="s">
        <v>1204</v>
      </c>
      <c r="P2996" t="s">
        <v>68</v>
      </c>
      <c r="Q2996">
        <v>100</v>
      </c>
      <c r="R2996">
        <v>7.7999999999999972</v>
      </c>
      <c r="S2996" t="s">
        <v>130</v>
      </c>
    </row>
    <row r="2997" spans="1:19" x14ac:dyDescent="0.35">
      <c r="A2997">
        <v>42457</v>
      </c>
      <c r="B2997" t="str">
        <f>"042457"</f>
        <v>042457</v>
      </c>
      <c r="C2997" t="s">
        <v>9424</v>
      </c>
      <c r="D2997" t="s">
        <v>3394</v>
      </c>
      <c r="E2997" t="s">
        <v>3395</v>
      </c>
      <c r="F2997" t="s">
        <v>3396</v>
      </c>
      <c r="G2997" t="s">
        <v>406</v>
      </c>
      <c r="H2997" t="s">
        <v>9425</v>
      </c>
      <c r="I2997" t="s">
        <v>9426</v>
      </c>
      <c r="J2997" t="s">
        <v>406</v>
      </c>
      <c r="K2997" t="s">
        <v>55</v>
      </c>
      <c r="L2997" t="s">
        <v>409</v>
      </c>
      <c r="M2997" t="s">
        <v>57</v>
      </c>
      <c r="N2997" t="str">
        <f>"048470"</f>
        <v>048470</v>
      </c>
      <c r="O2997" t="s">
        <v>742</v>
      </c>
      <c r="P2997" t="s">
        <v>68</v>
      </c>
      <c r="Q2997">
        <v>21.6</v>
      </c>
      <c r="R2997">
        <v>11.700000000000003</v>
      </c>
      <c r="S2997" t="s">
        <v>77</v>
      </c>
    </row>
    <row r="2998" spans="1:19" x14ac:dyDescent="0.35">
      <c r="A2998">
        <v>42465</v>
      </c>
      <c r="B2998" t="str">
        <f>"042465"</f>
        <v>042465</v>
      </c>
      <c r="C2998" t="s">
        <v>9427</v>
      </c>
      <c r="D2998" t="s">
        <v>3394</v>
      </c>
      <c r="E2998" t="s">
        <v>3395</v>
      </c>
      <c r="F2998" t="s">
        <v>3396</v>
      </c>
      <c r="G2998" t="s">
        <v>71</v>
      </c>
      <c r="H2998" t="s">
        <v>9428</v>
      </c>
      <c r="I2998" t="s">
        <v>9429</v>
      </c>
      <c r="J2998" t="s">
        <v>447</v>
      </c>
      <c r="K2998" t="s">
        <v>55</v>
      </c>
      <c r="L2998" t="s">
        <v>448</v>
      </c>
      <c r="M2998" t="s">
        <v>57</v>
      </c>
      <c r="N2998" t="str">
        <f>"044487"</f>
        <v>044487</v>
      </c>
      <c r="O2998" t="s">
        <v>444</v>
      </c>
      <c r="P2998" t="s">
        <v>68</v>
      </c>
      <c r="Q2998">
        <v>61.5</v>
      </c>
      <c r="R2998">
        <v>32.900000000000006</v>
      </c>
      <c r="S2998" t="s">
        <v>77</v>
      </c>
    </row>
    <row r="2999" spans="1:19" x14ac:dyDescent="0.35">
      <c r="A2999">
        <v>42499</v>
      </c>
      <c r="B2999" t="str">
        <f>"042499"</f>
        <v>042499</v>
      </c>
      <c r="C2999" t="s">
        <v>9430</v>
      </c>
      <c r="D2999" t="s">
        <v>3400</v>
      </c>
      <c r="E2999" t="s">
        <v>3395</v>
      </c>
      <c r="F2999" t="s">
        <v>3396</v>
      </c>
      <c r="G2999" t="s">
        <v>600</v>
      </c>
      <c r="H2999" t="s">
        <v>9431</v>
      </c>
      <c r="I2999" t="s">
        <v>9432</v>
      </c>
      <c r="J2999" t="s">
        <v>1348</v>
      </c>
      <c r="K2999" t="s">
        <v>55</v>
      </c>
      <c r="L2999" t="s">
        <v>3568</v>
      </c>
      <c r="M2999" t="s">
        <v>57</v>
      </c>
      <c r="N2999" t="str">
        <f>"043802"</f>
        <v>043802</v>
      </c>
      <c r="O2999" t="s">
        <v>3171</v>
      </c>
      <c r="P2999" t="s">
        <v>68</v>
      </c>
      <c r="Q2999">
        <v>100</v>
      </c>
      <c r="R2999">
        <v>94.4</v>
      </c>
      <c r="S2999" t="s">
        <v>60</v>
      </c>
    </row>
    <row r="3000" spans="1:19" x14ac:dyDescent="0.35">
      <c r="A3000">
        <v>42515</v>
      </c>
      <c r="B3000" t="str">
        <f>"042515"</f>
        <v>042515</v>
      </c>
      <c r="C3000" t="s">
        <v>9433</v>
      </c>
      <c r="D3000" t="s">
        <v>3394</v>
      </c>
      <c r="E3000" t="s">
        <v>3395</v>
      </c>
      <c r="F3000" t="s">
        <v>3396</v>
      </c>
      <c r="G3000" t="s">
        <v>135</v>
      </c>
      <c r="H3000" t="s">
        <v>9434</v>
      </c>
      <c r="I3000" t="s">
        <v>9435</v>
      </c>
      <c r="J3000" t="s">
        <v>9436</v>
      </c>
      <c r="K3000" t="s">
        <v>55</v>
      </c>
      <c r="L3000" t="s">
        <v>9437</v>
      </c>
      <c r="M3000" t="s">
        <v>57</v>
      </c>
      <c r="N3000" t="str">
        <f>"047787"</f>
        <v>047787</v>
      </c>
      <c r="O3000" t="s">
        <v>742</v>
      </c>
      <c r="P3000" t="s">
        <v>68</v>
      </c>
      <c r="Q3000">
        <v>67.7</v>
      </c>
      <c r="R3000">
        <v>5.2000000000000028</v>
      </c>
      <c r="S3000" t="s">
        <v>130</v>
      </c>
    </row>
    <row r="3001" spans="1:19" x14ac:dyDescent="0.35">
      <c r="A3001">
        <v>42523</v>
      </c>
      <c r="B3001" t="str">
        <f>"042523"</f>
        <v>042523</v>
      </c>
      <c r="C3001" t="s">
        <v>9438</v>
      </c>
      <c r="D3001" t="s">
        <v>3394</v>
      </c>
      <c r="E3001" t="s">
        <v>3395</v>
      </c>
      <c r="F3001" t="s">
        <v>3396</v>
      </c>
      <c r="G3001" t="s">
        <v>212</v>
      </c>
      <c r="H3001" t="s">
        <v>9439</v>
      </c>
      <c r="I3001" t="s">
        <v>9440</v>
      </c>
      <c r="J3001" t="s">
        <v>489</v>
      </c>
      <c r="K3001" t="s">
        <v>55</v>
      </c>
      <c r="L3001" t="s">
        <v>490</v>
      </c>
      <c r="M3001" t="s">
        <v>57</v>
      </c>
      <c r="N3001" t="str">
        <f>"047399"</f>
        <v>047399</v>
      </c>
      <c r="O3001" t="s">
        <v>486</v>
      </c>
      <c r="P3001" t="s">
        <v>68</v>
      </c>
      <c r="Q3001">
        <v>33.9</v>
      </c>
      <c r="R3001">
        <v>12</v>
      </c>
      <c r="S3001" t="s">
        <v>217</v>
      </c>
    </row>
    <row r="3002" spans="1:19" x14ac:dyDescent="0.35">
      <c r="A3002">
        <v>42549</v>
      </c>
      <c r="B3002" t="str">
        <f>"042549"</f>
        <v>042549</v>
      </c>
      <c r="C3002" t="s">
        <v>9441</v>
      </c>
      <c r="D3002" t="s">
        <v>3394</v>
      </c>
      <c r="E3002" t="s">
        <v>3395</v>
      </c>
      <c r="F3002" t="s">
        <v>3396</v>
      </c>
      <c r="G3002" t="s">
        <v>117</v>
      </c>
      <c r="H3002" t="s">
        <v>9442</v>
      </c>
      <c r="I3002" t="s">
        <v>9443</v>
      </c>
      <c r="J3002" t="s">
        <v>1409</v>
      </c>
      <c r="K3002" t="s">
        <v>55</v>
      </c>
      <c r="L3002" t="s">
        <v>5455</v>
      </c>
      <c r="M3002" t="s">
        <v>57</v>
      </c>
      <c r="N3002" t="str">
        <f>"043711"</f>
        <v>043711</v>
      </c>
      <c r="O3002" t="s">
        <v>3000</v>
      </c>
      <c r="P3002" t="s">
        <v>68</v>
      </c>
      <c r="Q3002">
        <v>100</v>
      </c>
      <c r="R3002">
        <v>64.900000000000006</v>
      </c>
      <c r="S3002" t="s">
        <v>77</v>
      </c>
    </row>
    <row r="3003" spans="1:19" x14ac:dyDescent="0.35">
      <c r="A3003">
        <v>42564</v>
      </c>
      <c r="B3003" t="str">
        <f>"042564"</f>
        <v>042564</v>
      </c>
      <c r="C3003" t="s">
        <v>9444</v>
      </c>
      <c r="D3003" t="s">
        <v>3398</v>
      </c>
      <c r="E3003" t="s">
        <v>3395</v>
      </c>
      <c r="F3003" t="s">
        <v>3396</v>
      </c>
      <c r="G3003" t="s">
        <v>1679</v>
      </c>
      <c r="H3003" t="s">
        <v>9445</v>
      </c>
      <c r="I3003" t="s">
        <v>9446</v>
      </c>
      <c r="J3003" t="s">
        <v>2968</v>
      </c>
      <c r="K3003" t="s">
        <v>55</v>
      </c>
      <c r="L3003" t="s">
        <v>2969</v>
      </c>
      <c r="M3003" t="s">
        <v>57</v>
      </c>
      <c r="N3003" t="str">
        <f>"069682"</f>
        <v>069682</v>
      </c>
      <c r="O3003" t="s">
        <v>2965</v>
      </c>
      <c r="P3003" t="s">
        <v>68</v>
      </c>
      <c r="Q3003">
        <v>41.7</v>
      </c>
      <c r="R3003">
        <v>2.7000000000000028</v>
      </c>
      <c r="S3003" t="s">
        <v>130</v>
      </c>
    </row>
    <row r="3004" spans="1:19" x14ac:dyDescent="0.35">
      <c r="A3004">
        <v>42572</v>
      </c>
      <c r="B3004" t="str">
        <f>"042572"</f>
        <v>042572</v>
      </c>
      <c r="C3004" t="s">
        <v>9447</v>
      </c>
      <c r="D3004" t="s">
        <v>3398</v>
      </c>
      <c r="E3004" t="s">
        <v>3395</v>
      </c>
      <c r="F3004" t="s">
        <v>3396</v>
      </c>
      <c r="G3004" t="s">
        <v>318</v>
      </c>
      <c r="H3004" t="s">
        <v>751</v>
      </c>
      <c r="I3004" t="s">
        <v>752</v>
      </c>
      <c r="J3004" t="s">
        <v>321</v>
      </c>
      <c r="K3004" t="s">
        <v>55</v>
      </c>
      <c r="L3004" t="s">
        <v>322</v>
      </c>
      <c r="M3004" t="s">
        <v>57</v>
      </c>
      <c r="N3004" t="str">
        <f>"049544"</f>
        <v>049544</v>
      </c>
      <c r="O3004" t="s">
        <v>750</v>
      </c>
      <c r="P3004" t="s">
        <v>68</v>
      </c>
      <c r="Q3004">
        <v>31.1</v>
      </c>
      <c r="R3004">
        <v>5.4000000000000057</v>
      </c>
      <c r="S3004" t="s">
        <v>130</v>
      </c>
    </row>
    <row r="3005" spans="1:19" x14ac:dyDescent="0.35">
      <c r="A3005">
        <v>42598</v>
      </c>
      <c r="B3005" t="str">
        <f>"042598"</f>
        <v>042598</v>
      </c>
      <c r="C3005" t="s">
        <v>9448</v>
      </c>
      <c r="D3005" t="s">
        <v>3398</v>
      </c>
      <c r="E3005" t="s">
        <v>3395</v>
      </c>
      <c r="F3005" t="s">
        <v>3396</v>
      </c>
      <c r="G3005" t="s">
        <v>674</v>
      </c>
      <c r="H3005" t="s">
        <v>9449</v>
      </c>
      <c r="I3005" t="s">
        <v>9450</v>
      </c>
      <c r="J3005" t="s">
        <v>927</v>
      </c>
      <c r="K3005" t="s">
        <v>55</v>
      </c>
      <c r="L3005" t="s">
        <v>928</v>
      </c>
      <c r="M3005" t="s">
        <v>57</v>
      </c>
      <c r="N3005" t="str">
        <f>"045179"</f>
        <v>045179</v>
      </c>
      <c r="O3005" t="s">
        <v>2380</v>
      </c>
      <c r="P3005" t="s">
        <v>68</v>
      </c>
      <c r="Q3005">
        <v>99.2</v>
      </c>
      <c r="R3005">
        <v>37.700000000000003</v>
      </c>
      <c r="S3005" t="s">
        <v>130</v>
      </c>
    </row>
    <row r="3006" spans="1:19" x14ac:dyDescent="0.35">
      <c r="A3006">
        <v>42614</v>
      </c>
      <c r="B3006" t="str">
        <f>"042614"</f>
        <v>042614</v>
      </c>
      <c r="C3006" t="s">
        <v>9451</v>
      </c>
      <c r="D3006" t="s">
        <v>3400</v>
      </c>
      <c r="E3006" t="s">
        <v>3395</v>
      </c>
      <c r="F3006" t="s">
        <v>3396</v>
      </c>
      <c r="G3006" t="s">
        <v>63</v>
      </c>
      <c r="H3006" t="s">
        <v>9452</v>
      </c>
      <c r="I3006" t="s">
        <v>9453</v>
      </c>
      <c r="J3006" t="s">
        <v>3031</v>
      </c>
      <c r="K3006" t="s">
        <v>55</v>
      </c>
      <c r="L3006" t="s">
        <v>3032</v>
      </c>
      <c r="M3006" t="s">
        <v>57</v>
      </c>
      <c r="N3006" t="str">
        <f>"043554"</f>
        <v>043554</v>
      </c>
      <c r="O3006" t="s">
        <v>3028</v>
      </c>
      <c r="P3006" t="s">
        <v>68</v>
      </c>
      <c r="Q3006">
        <v>11.9</v>
      </c>
      <c r="R3006">
        <v>60.6</v>
      </c>
      <c r="S3006" t="s">
        <v>69</v>
      </c>
    </row>
    <row r="3007" spans="1:19" x14ac:dyDescent="0.35">
      <c r="A3007">
        <v>42655</v>
      </c>
      <c r="B3007" t="str">
        <f>"042655"</f>
        <v>042655</v>
      </c>
      <c r="C3007" t="s">
        <v>9454</v>
      </c>
      <c r="D3007" t="s">
        <v>3400</v>
      </c>
      <c r="E3007" t="s">
        <v>3395</v>
      </c>
      <c r="F3007" t="s">
        <v>3396</v>
      </c>
      <c r="G3007" t="s">
        <v>543</v>
      </c>
      <c r="H3007" t="s">
        <v>9455</v>
      </c>
      <c r="I3007" t="s">
        <v>9456</v>
      </c>
      <c r="J3007" t="s">
        <v>687</v>
      </c>
      <c r="K3007" t="s">
        <v>55</v>
      </c>
      <c r="L3007" t="s">
        <v>4246</v>
      </c>
      <c r="M3007" t="s">
        <v>57</v>
      </c>
      <c r="N3007" t="str">
        <f>"043737"</f>
        <v>043737</v>
      </c>
      <c r="O3007" t="s">
        <v>1855</v>
      </c>
      <c r="P3007" t="s">
        <v>68</v>
      </c>
      <c r="Q3007">
        <v>17.399999999999999</v>
      </c>
      <c r="R3007">
        <v>27.200000000000003</v>
      </c>
      <c r="S3007" t="s">
        <v>180</v>
      </c>
    </row>
    <row r="3008" spans="1:19" x14ac:dyDescent="0.35">
      <c r="A3008">
        <v>42762</v>
      </c>
      <c r="B3008" t="str">
        <f>"042762"</f>
        <v>042762</v>
      </c>
      <c r="C3008" t="s">
        <v>9457</v>
      </c>
      <c r="D3008" t="s">
        <v>3400</v>
      </c>
      <c r="E3008" t="s">
        <v>3395</v>
      </c>
      <c r="F3008" t="s">
        <v>3396</v>
      </c>
      <c r="G3008" t="s">
        <v>264</v>
      </c>
      <c r="H3008" t="s">
        <v>9458</v>
      </c>
      <c r="I3008" t="s">
        <v>9459</v>
      </c>
      <c r="J3008" t="s">
        <v>2497</v>
      </c>
      <c r="K3008" t="s">
        <v>55</v>
      </c>
      <c r="L3008" t="s">
        <v>2498</v>
      </c>
      <c r="M3008" t="s">
        <v>57</v>
      </c>
      <c r="N3008" t="str">
        <f>"043836"</f>
        <v>043836</v>
      </c>
      <c r="O3008" t="s">
        <v>2494</v>
      </c>
      <c r="P3008" t="s">
        <v>68</v>
      </c>
      <c r="Q3008">
        <v>54.3</v>
      </c>
      <c r="R3008">
        <v>22.099999999999994</v>
      </c>
      <c r="S3008" t="s">
        <v>77</v>
      </c>
    </row>
    <row r="3009" spans="1:19" x14ac:dyDescent="0.35">
      <c r="A3009">
        <v>42796</v>
      </c>
      <c r="B3009" t="str">
        <f>"042796"</f>
        <v>042796</v>
      </c>
      <c r="C3009" t="s">
        <v>9460</v>
      </c>
      <c r="D3009" t="s">
        <v>3398</v>
      </c>
      <c r="E3009" t="s">
        <v>3395</v>
      </c>
      <c r="F3009" t="s">
        <v>3396</v>
      </c>
      <c r="G3009" t="s">
        <v>642</v>
      </c>
      <c r="H3009" t="s">
        <v>9461</v>
      </c>
      <c r="I3009" t="s">
        <v>9462</v>
      </c>
      <c r="J3009" t="s">
        <v>1461</v>
      </c>
      <c r="K3009" t="s">
        <v>55</v>
      </c>
      <c r="L3009" t="s">
        <v>1462</v>
      </c>
      <c r="M3009" t="s">
        <v>57</v>
      </c>
      <c r="N3009" t="str">
        <f>"043968"</f>
        <v>043968</v>
      </c>
      <c r="O3009" t="s">
        <v>1458</v>
      </c>
      <c r="P3009" t="s">
        <v>68</v>
      </c>
      <c r="Q3009">
        <v>42.6</v>
      </c>
      <c r="R3009">
        <v>26.400000000000006</v>
      </c>
      <c r="S3009" t="s">
        <v>180</v>
      </c>
    </row>
    <row r="3010" spans="1:19" x14ac:dyDescent="0.35">
      <c r="A3010">
        <v>42804</v>
      </c>
      <c r="B3010" t="str">
        <f>"042804"</f>
        <v>042804</v>
      </c>
      <c r="C3010" t="s">
        <v>9463</v>
      </c>
      <c r="D3010" t="s">
        <v>3394</v>
      </c>
      <c r="E3010" t="s">
        <v>3395</v>
      </c>
      <c r="F3010" t="s">
        <v>3396</v>
      </c>
      <c r="G3010" t="s">
        <v>821</v>
      </c>
      <c r="H3010" t="s">
        <v>9464</v>
      </c>
      <c r="I3010" t="s">
        <v>9465</v>
      </c>
      <c r="J3010" t="s">
        <v>1427</v>
      </c>
      <c r="K3010" t="s">
        <v>55</v>
      </c>
      <c r="L3010" t="s">
        <v>1428</v>
      </c>
      <c r="M3010" t="s">
        <v>57</v>
      </c>
      <c r="N3010" t="str">
        <f>"043984"</f>
        <v>043984</v>
      </c>
      <c r="O3010" t="s">
        <v>1424</v>
      </c>
      <c r="P3010" t="s">
        <v>68</v>
      </c>
      <c r="Q3010">
        <v>50.8</v>
      </c>
      <c r="R3010">
        <v>33.099999999999994</v>
      </c>
      <c r="S3010" t="s">
        <v>156</v>
      </c>
    </row>
    <row r="3011" spans="1:19" x14ac:dyDescent="0.35">
      <c r="A3011">
        <v>42812</v>
      </c>
      <c r="B3011" t="str">
        <f>"042812"</f>
        <v>042812</v>
      </c>
      <c r="C3011" t="s">
        <v>9466</v>
      </c>
      <c r="D3011" t="s">
        <v>3394</v>
      </c>
      <c r="E3011" t="s">
        <v>3395</v>
      </c>
      <c r="F3011" t="s">
        <v>3396</v>
      </c>
      <c r="G3011" t="s">
        <v>821</v>
      </c>
      <c r="H3011" t="s">
        <v>9467</v>
      </c>
      <c r="I3011" t="s">
        <v>9468</v>
      </c>
      <c r="J3011" t="s">
        <v>1427</v>
      </c>
      <c r="K3011" t="s">
        <v>55</v>
      </c>
      <c r="L3011" t="s">
        <v>1428</v>
      </c>
      <c r="M3011" t="s">
        <v>57</v>
      </c>
      <c r="N3011" t="str">
        <f>"043984"</f>
        <v>043984</v>
      </c>
      <c r="O3011" t="s">
        <v>1424</v>
      </c>
      <c r="P3011" t="s">
        <v>68</v>
      </c>
      <c r="Q3011">
        <v>42.8</v>
      </c>
      <c r="R3011">
        <v>33.299999999999997</v>
      </c>
      <c r="S3011" t="s">
        <v>156</v>
      </c>
    </row>
    <row r="3012" spans="1:19" x14ac:dyDescent="0.35">
      <c r="A3012">
        <v>42861</v>
      </c>
      <c r="B3012" t="str">
        <f>"042861"</f>
        <v>042861</v>
      </c>
      <c r="C3012" t="s">
        <v>9469</v>
      </c>
      <c r="D3012" t="s">
        <v>3394</v>
      </c>
      <c r="E3012" t="s">
        <v>3395</v>
      </c>
      <c r="F3012" t="s">
        <v>3396</v>
      </c>
      <c r="G3012" t="s">
        <v>312</v>
      </c>
      <c r="H3012" t="s">
        <v>9470</v>
      </c>
      <c r="I3012" t="s">
        <v>9471</v>
      </c>
      <c r="J3012" t="s">
        <v>312</v>
      </c>
      <c r="K3012" t="s">
        <v>55</v>
      </c>
      <c r="L3012" t="s">
        <v>315</v>
      </c>
      <c r="M3012" t="s">
        <v>57</v>
      </c>
      <c r="N3012" t="str">
        <f>"044339"</f>
        <v>044339</v>
      </c>
      <c r="O3012" t="s">
        <v>2453</v>
      </c>
      <c r="P3012" t="s">
        <v>68</v>
      </c>
      <c r="Q3012">
        <v>100</v>
      </c>
      <c r="R3012">
        <v>29.099999999999994</v>
      </c>
      <c r="S3012" t="s">
        <v>156</v>
      </c>
    </row>
    <row r="3013" spans="1:19" x14ac:dyDescent="0.35">
      <c r="A3013">
        <v>43000</v>
      </c>
      <c r="B3013" t="str">
        <f>"043000"</f>
        <v>043000</v>
      </c>
      <c r="C3013" t="s">
        <v>9472</v>
      </c>
      <c r="D3013" t="s">
        <v>3394</v>
      </c>
      <c r="E3013" t="s">
        <v>3395</v>
      </c>
      <c r="F3013" t="s">
        <v>3396</v>
      </c>
      <c r="G3013" t="s">
        <v>536</v>
      </c>
      <c r="H3013" t="s">
        <v>9473</v>
      </c>
      <c r="I3013" t="s">
        <v>9474</v>
      </c>
      <c r="J3013" t="s">
        <v>2351</v>
      </c>
      <c r="K3013" t="s">
        <v>55</v>
      </c>
      <c r="L3013" t="s">
        <v>2352</v>
      </c>
      <c r="M3013" t="s">
        <v>57</v>
      </c>
      <c r="N3013" t="str">
        <f>"044735"</f>
        <v>044735</v>
      </c>
      <c r="O3013" t="s">
        <v>2348</v>
      </c>
      <c r="P3013" t="s">
        <v>68</v>
      </c>
      <c r="Q3013">
        <v>100</v>
      </c>
      <c r="R3013">
        <v>14.599999999999994</v>
      </c>
      <c r="S3013" t="s">
        <v>77</v>
      </c>
    </row>
    <row r="3014" spans="1:19" x14ac:dyDescent="0.35">
      <c r="A3014">
        <v>43018</v>
      </c>
      <c r="B3014" t="str">
        <f>"043018"</f>
        <v>043018</v>
      </c>
      <c r="C3014" t="s">
        <v>9475</v>
      </c>
      <c r="D3014" t="s">
        <v>3400</v>
      </c>
      <c r="E3014" t="s">
        <v>3395</v>
      </c>
      <c r="F3014" t="s">
        <v>3396</v>
      </c>
      <c r="G3014" t="s">
        <v>572</v>
      </c>
      <c r="H3014" t="s">
        <v>9476</v>
      </c>
      <c r="I3014" t="s">
        <v>9477</v>
      </c>
      <c r="J3014" t="s">
        <v>2954</v>
      </c>
      <c r="K3014" t="s">
        <v>55</v>
      </c>
      <c r="L3014" t="s">
        <v>2955</v>
      </c>
      <c r="M3014" t="s">
        <v>57</v>
      </c>
      <c r="N3014" t="str">
        <f>"044784"</f>
        <v>044784</v>
      </c>
      <c r="O3014" t="s">
        <v>2951</v>
      </c>
      <c r="P3014" t="s">
        <v>68</v>
      </c>
      <c r="Q3014">
        <v>56.8</v>
      </c>
      <c r="R3014">
        <v>23.099999999999994</v>
      </c>
      <c r="S3014" t="s">
        <v>180</v>
      </c>
    </row>
    <row r="3015" spans="1:19" x14ac:dyDescent="0.35">
      <c r="A3015">
        <v>43026</v>
      </c>
      <c r="B3015" t="str">
        <f>"043026"</f>
        <v>043026</v>
      </c>
      <c r="C3015" t="s">
        <v>9478</v>
      </c>
      <c r="D3015" t="s">
        <v>3394</v>
      </c>
      <c r="E3015" t="s">
        <v>3395</v>
      </c>
      <c r="F3015" t="s">
        <v>3396</v>
      </c>
      <c r="G3015" t="s">
        <v>600</v>
      </c>
      <c r="H3015" t="s">
        <v>9479</v>
      </c>
      <c r="I3015" t="s">
        <v>9480</v>
      </c>
      <c r="J3015" t="s">
        <v>1136</v>
      </c>
      <c r="K3015" t="s">
        <v>55</v>
      </c>
      <c r="L3015" t="s">
        <v>1137</v>
      </c>
      <c r="M3015" t="s">
        <v>57</v>
      </c>
      <c r="N3015" t="str">
        <f>"044800"</f>
        <v>044800</v>
      </c>
      <c r="O3015" t="s">
        <v>1133</v>
      </c>
      <c r="P3015" t="s">
        <v>68</v>
      </c>
      <c r="Q3015">
        <v>67.400000000000006</v>
      </c>
      <c r="R3015">
        <v>38.9</v>
      </c>
      <c r="S3015" t="s">
        <v>60</v>
      </c>
    </row>
    <row r="3016" spans="1:19" x14ac:dyDescent="0.35">
      <c r="A3016">
        <v>43034</v>
      </c>
      <c r="B3016" t="str">
        <f>"043034"</f>
        <v>043034</v>
      </c>
      <c r="C3016" t="s">
        <v>9481</v>
      </c>
      <c r="D3016" t="s">
        <v>3394</v>
      </c>
      <c r="E3016" t="s">
        <v>3395</v>
      </c>
      <c r="F3016" t="s">
        <v>3396</v>
      </c>
      <c r="G3016" t="s">
        <v>264</v>
      </c>
      <c r="H3016" t="s">
        <v>9482</v>
      </c>
      <c r="I3016" t="s">
        <v>9483</v>
      </c>
      <c r="J3016" t="s">
        <v>1210</v>
      </c>
      <c r="K3016" t="s">
        <v>55</v>
      </c>
      <c r="L3016" t="s">
        <v>1211</v>
      </c>
      <c r="M3016" t="s">
        <v>57</v>
      </c>
      <c r="N3016" t="str">
        <f>"044834"</f>
        <v>044834</v>
      </c>
      <c r="O3016" t="s">
        <v>1207</v>
      </c>
      <c r="P3016" t="s">
        <v>68</v>
      </c>
      <c r="Q3016">
        <v>30.2</v>
      </c>
      <c r="R3016">
        <v>18.700000000000003</v>
      </c>
      <c r="S3016" t="s">
        <v>77</v>
      </c>
    </row>
    <row r="3017" spans="1:19" x14ac:dyDescent="0.35">
      <c r="A3017">
        <v>43091</v>
      </c>
      <c r="B3017" t="str">
        <f>"043091"</f>
        <v>043091</v>
      </c>
      <c r="C3017" t="s">
        <v>9484</v>
      </c>
      <c r="D3017" t="s">
        <v>3400</v>
      </c>
      <c r="E3017" t="s">
        <v>3395</v>
      </c>
      <c r="F3017" t="s">
        <v>3396</v>
      </c>
      <c r="G3017" t="s">
        <v>600</v>
      </c>
      <c r="H3017" t="s">
        <v>9485</v>
      </c>
      <c r="I3017" t="s">
        <v>9486</v>
      </c>
      <c r="J3017" t="s">
        <v>2690</v>
      </c>
      <c r="K3017" t="s">
        <v>55</v>
      </c>
      <c r="L3017" t="s">
        <v>2691</v>
      </c>
      <c r="M3017" t="s">
        <v>57</v>
      </c>
      <c r="N3017" t="str">
        <f>"045047"</f>
        <v>045047</v>
      </c>
      <c r="O3017" t="s">
        <v>2687</v>
      </c>
      <c r="P3017" t="s">
        <v>68</v>
      </c>
      <c r="Q3017">
        <v>36.6</v>
      </c>
      <c r="R3017">
        <v>47.5</v>
      </c>
      <c r="S3017" t="s">
        <v>60</v>
      </c>
    </row>
    <row r="3018" spans="1:19" x14ac:dyDescent="0.35">
      <c r="A3018">
        <v>43158</v>
      </c>
      <c r="B3018" t="str">
        <f>"043158"</f>
        <v>043158</v>
      </c>
      <c r="C3018" t="s">
        <v>9487</v>
      </c>
      <c r="D3018" t="s">
        <v>3400</v>
      </c>
      <c r="E3018" t="s">
        <v>3395</v>
      </c>
      <c r="F3018" t="s">
        <v>3396</v>
      </c>
      <c r="G3018" t="s">
        <v>212</v>
      </c>
      <c r="H3018" t="s">
        <v>9488</v>
      </c>
      <c r="I3018" t="s">
        <v>9489</v>
      </c>
      <c r="J3018" t="s">
        <v>215</v>
      </c>
      <c r="K3018" t="s">
        <v>55</v>
      </c>
      <c r="L3018" t="s">
        <v>216</v>
      </c>
      <c r="M3018" t="s">
        <v>57</v>
      </c>
      <c r="N3018" t="str">
        <f>"045435"</f>
        <v>045435</v>
      </c>
      <c r="O3018" t="s">
        <v>211</v>
      </c>
      <c r="P3018" t="s">
        <v>68</v>
      </c>
      <c r="Q3018">
        <v>3.8</v>
      </c>
      <c r="R3018">
        <v>23.5</v>
      </c>
      <c r="S3018" t="s">
        <v>217</v>
      </c>
    </row>
    <row r="3019" spans="1:19" x14ac:dyDescent="0.35">
      <c r="A3019">
        <v>43174</v>
      </c>
      <c r="B3019" t="str">
        <f>"043174"</f>
        <v>043174</v>
      </c>
      <c r="C3019" t="s">
        <v>6281</v>
      </c>
      <c r="D3019" t="s">
        <v>3394</v>
      </c>
      <c r="E3019" t="s">
        <v>3395</v>
      </c>
      <c r="F3019" t="s">
        <v>3396</v>
      </c>
      <c r="G3019" t="s">
        <v>481</v>
      </c>
      <c r="H3019" t="s">
        <v>9490</v>
      </c>
      <c r="I3019" t="s">
        <v>9491</v>
      </c>
      <c r="J3019" t="s">
        <v>9492</v>
      </c>
      <c r="K3019" t="s">
        <v>55</v>
      </c>
      <c r="L3019" t="s">
        <v>485</v>
      </c>
      <c r="M3019" t="s">
        <v>57</v>
      </c>
      <c r="N3019" t="str">
        <f>"045492"</f>
        <v>045492</v>
      </c>
      <c r="O3019" t="s">
        <v>3003</v>
      </c>
      <c r="P3019" t="s">
        <v>68</v>
      </c>
      <c r="Q3019">
        <v>48.4</v>
      </c>
      <c r="R3019">
        <v>20.299999999999997</v>
      </c>
      <c r="S3019" t="s">
        <v>69</v>
      </c>
    </row>
    <row r="3020" spans="1:19" x14ac:dyDescent="0.35">
      <c r="A3020">
        <v>43216</v>
      </c>
      <c r="B3020" t="str">
        <f>"043216"</f>
        <v>043216</v>
      </c>
      <c r="C3020" t="s">
        <v>9493</v>
      </c>
      <c r="D3020" t="s">
        <v>3394</v>
      </c>
      <c r="E3020" t="s">
        <v>3395</v>
      </c>
      <c r="F3020" t="s">
        <v>3396</v>
      </c>
      <c r="G3020" t="s">
        <v>233</v>
      </c>
      <c r="H3020" t="s">
        <v>9494</v>
      </c>
      <c r="I3020" t="s">
        <v>9495</v>
      </c>
      <c r="J3020" t="s">
        <v>236</v>
      </c>
      <c r="K3020" t="s">
        <v>55</v>
      </c>
      <c r="L3020" t="s">
        <v>237</v>
      </c>
      <c r="M3020" t="s">
        <v>57</v>
      </c>
      <c r="N3020" t="str">
        <f>"045997"</f>
        <v>045997</v>
      </c>
      <c r="O3020" t="s">
        <v>368</v>
      </c>
      <c r="P3020" t="s">
        <v>68</v>
      </c>
      <c r="Q3020">
        <v>30.9</v>
      </c>
      <c r="R3020">
        <v>13.099999999999994</v>
      </c>
      <c r="S3020" t="s">
        <v>130</v>
      </c>
    </row>
    <row r="3021" spans="1:19" x14ac:dyDescent="0.35">
      <c r="A3021">
        <v>43224</v>
      </c>
      <c r="B3021" t="str">
        <f>"043224"</f>
        <v>043224</v>
      </c>
      <c r="C3021" t="s">
        <v>9496</v>
      </c>
      <c r="D3021" t="s">
        <v>3394</v>
      </c>
      <c r="E3021" t="s">
        <v>3395</v>
      </c>
      <c r="F3021" t="s">
        <v>3396</v>
      </c>
      <c r="G3021" t="s">
        <v>19</v>
      </c>
      <c r="H3021" t="s">
        <v>9497</v>
      </c>
      <c r="I3021" t="s">
        <v>9498</v>
      </c>
      <c r="J3021" t="s">
        <v>563</v>
      </c>
      <c r="K3021" t="s">
        <v>55</v>
      </c>
      <c r="L3021" t="s">
        <v>564</v>
      </c>
      <c r="M3021" t="s">
        <v>57</v>
      </c>
      <c r="N3021" t="str">
        <f>"046060"</f>
        <v>046060</v>
      </c>
      <c r="O3021" t="s">
        <v>560</v>
      </c>
      <c r="P3021" t="s">
        <v>68</v>
      </c>
      <c r="Q3021">
        <v>53.5</v>
      </c>
      <c r="R3021">
        <v>5.0999999999999943</v>
      </c>
      <c r="S3021" t="s">
        <v>217</v>
      </c>
    </row>
    <row r="3022" spans="1:19" x14ac:dyDescent="0.35">
      <c r="A3022">
        <v>43265</v>
      </c>
      <c r="B3022" t="str">
        <f>"043265"</f>
        <v>043265</v>
      </c>
      <c r="C3022" t="s">
        <v>9499</v>
      </c>
      <c r="D3022" t="s">
        <v>3400</v>
      </c>
      <c r="E3022" t="s">
        <v>3395</v>
      </c>
      <c r="F3022" t="s">
        <v>3396</v>
      </c>
      <c r="G3022" t="s">
        <v>52</v>
      </c>
      <c r="H3022" t="s">
        <v>9500</v>
      </c>
      <c r="I3022" t="s">
        <v>9501</v>
      </c>
      <c r="J3022" t="s">
        <v>2874</v>
      </c>
      <c r="K3022" t="s">
        <v>55</v>
      </c>
      <c r="L3022" t="s">
        <v>2875</v>
      </c>
      <c r="M3022" t="s">
        <v>57</v>
      </c>
      <c r="N3022" t="str">
        <f>"046748"</f>
        <v>046748</v>
      </c>
      <c r="O3022" t="s">
        <v>2871</v>
      </c>
      <c r="P3022" t="s">
        <v>68</v>
      </c>
      <c r="Q3022">
        <v>13.9</v>
      </c>
      <c r="R3022">
        <v>9.9000000000000057</v>
      </c>
      <c r="S3022" t="s">
        <v>60</v>
      </c>
    </row>
    <row r="3023" spans="1:19" x14ac:dyDescent="0.35">
      <c r="A3023">
        <v>43281</v>
      </c>
      <c r="B3023" t="str">
        <f>"043281"</f>
        <v>043281</v>
      </c>
      <c r="C3023" t="s">
        <v>9502</v>
      </c>
      <c r="D3023" t="s">
        <v>3400</v>
      </c>
      <c r="E3023" t="s">
        <v>3395</v>
      </c>
      <c r="F3023" t="s">
        <v>3396</v>
      </c>
      <c r="G3023" t="s">
        <v>52</v>
      </c>
      <c r="H3023" t="s">
        <v>9503</v>
      </c>
      <c r="I3023" t="s">
        <v>9504</v>
      </c>
      <c r="J3023" t="s">
        <v>2670</v>
      </c>
      <c r="K3023" t="s">
        <v>55</v>
      </c>
      <c r="L3023" t="s">
        <v>2671</v>
      </c>
      <c r="M3023" t="s">
        <v>57</v>
      </c>
      <c r="N3023" t="str">
        <f>"046763"</f>
        <v>046763</v>
      </c>
      <c r="O3023" t="s">
        <v>2667</v>
      </c>
      <c r="P3023" t="s">
        <v>68</v>
      </c>
      <c r="Q3023">
        <v>8.5</v>
      </c>
      <c r="R3023">
        <v>38.5</v>
      </c>
      <c r="S3023" t="s">
        <v>60</v>
      </c>
    </row>
    <row r="3024" spans="1:19" x14ac:dyDescent="0.35">
      <c r="A3024">
        <v>43299</v>
      </c>
      <c r="B3024" t="str">
        <f>"043299"</f>
        <v>043299</v>
      </c>
      <c r="C3024" t="s">
        <v>9505</v>
      </c>
      <c r="D3024" t="s">
        <v>3400</v>
      </c>
      <c r="E3024" t="s">
        <v>3395</v>
      </c>
      <c r="F3024" t="s">
        <v>3396</v>
      </c>
      <c r="G3024" t="s">
        <v>642</v>
      </c>
      <c r="H3024" t="s">
        <v>9506</v>
      </c>
      <c r="I3024" t="s">
        <v>9507</v>
      </c>
      <c r="J3024" t="s">
        <v>2447</v>
      </c>
      <c r="K3024" t="s">
        <v>55</v>
      </c>
      <c r="L3024" t="s">
        <v>9508</v>
      </c>
      <c r="M3024" t="s">
        <v>57</v>
      </c>
      <c r="N3024" t="str">
        <f>"047241"</f>
        <v>047241</v>
      </c>
      <c r="O3024" t="s">
        <v>2444</v>
      </c>
      <c r="P3024" t="s">
        <v>68</v>
      </c>
      <c r="Q3024">
        <v>19.100000000000001</v>
      </c>
      <c r="R3024">
        <v>16.799999999999997</v>
      </c>
      <c r="S3024" t="s">
        <v>180</v>
      </c>
    </row>
    <row r="3025" spans="1:19" x14ac:dyDescent="0.35">
      <c r="A3025">
        <v>43315</v>
      </c>
      <c r="B3025" t="str">
        <f>"043315"</f>
        <v>043315</v>
      </c>
      <c r="C3025" t="s">
        <v>9509</v>
      </c>
      <c r="D3025" t="s">
        <v>3400</v>
      </c>
      <c r="E3025" t="s">
        <v>3395</v>
      </c>
      <c r="F3025" t="s">
        <v>3396</v>
      </c>
      <c r="G3025" t="s">
        <v>212</v>
      </c>
      <c r="H3025" t="s">
        <v>9510</v>
      </c>
      <c r="I3025" t="s">
        <v>9511</v>
      </c>
      <c r="J3025" t="s">
        <v>215</v>
      </c>
      <c r="K3025" t="s">
        <v>55</v>
      </c>
      <c r="L3025" t="s">
        <v>914</v>
      </c>
      <c r="M3025" t="s">
        <v>57</v>
      </c>
      <c r="N3025" t="str">
        <f>"047365"</f>
        <v>047365</v>
      </c>
      <c r="O3025" t="s">
        <v>611</v>
      </c>
      <c r="P3025" t="s">
        <v>68</v>
      </c>
      <c r="Q3025">
        <v>100</v>
      </c>
      <c r="R3025">
        <v>68.2</v>
      </c>
      <c r="S3025" t="s">
        <v>217</v>
      </c>
    </row>
    <row r="3026" spans="1:19" x14ac:dyDescent="0.35">
      <c r="A3026">
        <v>43323</v>
      </c>
      <c r="B3026" t="str">
        <f>"043323"</f>
        <v>043323</v>
      </c>
      <c r="C3026" t="s">
        <v>9512</v>
      </c>
      <c r="D3026" t="s">
        <v>3394</v>
      </c>
      <c r="E3026" t="s">
        <v>3395</v>
      </c>
      <c r="F3026" t="s">
        <v>3396</v>
      </c>
      <c r="G3026" t="s">
        <v>212</v>
      </c>
      <c r="H3026" t="s">
        <v>9513</v>
      </c>
      <c r="I3026" t="s">
        <v>9514</v>
      </c>
      <c r="J3026" t="s">
        <v>215</v>
      </c>
      <c r="K3026" t="s">
        <v>55</v>
      </c>
      <c r="L3026" t="s">
        <v>4199</v>
      </c>
      <c r="M3026" t="s">
        <v>57</v>
      </c>
      <c r="N3026" t="str">
        <f>"047373"</f>
        <v>047373</v>
      </c>
      <c r="O3026" t="s">
        <v>1509</v>
      </c>
      <c r="P3026" t="s">
        <v>68</v>
      </c>
      <c r="Q3026">
        <v>55.3</v>
      </c>
      <c r="R3026">
        <v>38.9</v>
      </c>
      <c r="S3026" t="s">
        <v>217</v>
      </c>
    </row>
    <row r="3027" spans="1:19" x14ac:dyDescent="0.35">
      <c r="A3027">
        <v>43331</v>
      </c>
      <c r="B3027" t="str">
        <f>"043331"</f>
        <v>043331</v>
      </c>
      <c r="C3027" t="s">
        <v>7465</v>
      </c>
      <c r="D3027" t="s">
        <v>3394</v>
      </c>
      <c r="E3027" t="s">
        <v>3395</v>
      </c>
      <c r="F3027" t="s">
        <v>3396</v>
      </c>
      <c r="G3027" t="s">
        <v>212</v>
      </c>
      <c r="H3027" t="s">
        <v>9515</v>
      </c>
      <c r="I3027" t="s">
        <v>9516</v>
      </c>
      <c r="J3027" t="s">
        <v>215</v>
      </c>
      <c r="K3027" t="s">
        <v>55</v>
      </c>
      <c r="L3027" t="s">
        <v>4346</v>
      </c>
      <c r="M3027" t="s">
        <v>57</v>
      </c>
      <c r="N3027" t="str">
        <f>"047373"</f>
        <v>047373</v>
      </c>
      <c r="O3027" t="s">
        <v>1509</v>
      </c>
      <c r="P3027" t="s">
        <v>68</v>
      </c>
      <c r="Q3027">
        <v>40.1</v>
      </c>
      <c r="R3027">
        <v>19</v>
      </c>
      <c r="S3027" t="s">
        <v>217</v>
      </c>
    </row>
    <row r="3028" spans="1:19" x14ac:dyDescent="0.35">
      <c r="A3028">
        <v>43364</v>
      </c>
      <c r="B3028" t="str">
        <f>"043364"</f>
        <v>043364</v>
      </c>
      <c r="C3028" t="s">
        <v>9517</v>
      </c>
      <c r="D3028" t="s">
        <v>3394</v>
      </c>
      <c r="E3028" t="s">
        <v>3395</v>
      </c>
      <c r="F3028" t="s">
        <v>3396</v>
      </c>
      <c r="G3028" t="s">
        <v>383</v>
      </c>
      <c r="H3028" t="s">
        <v>9518</v>
      </c>
      <c r="I3028" t="s">
        <v>9519</v>
      </c>
      <c r="J3028" t="s">
        <v>1215</v>
      </c>
      <c r="K3028" t="s">
        <v>55</v>
      </c>
      <c r="L3028" t="s">
        <v>2451</v>
      </c>
      <c r="M3028" t="s">
        <v>57</v>
      </c>
      <c r="N3028" t="str">
        <f>"048306"</f>
        <v>048306</v>
      </c>
      <c r="O3028" t="s">
        <v>2448</v>
      </c>
      <c r="P3028" t="s">
        <v>68</v>
      </c>
      <c r="Q3028">
        <v>51.2</v>
      </c>
      <c r="R3028">
        <v>32.200000000000003</v>
      </c>
      <c r="S3028" t="s">
        <v>77</v>
      </c>
    </row>
    <row r="3029" spans="1:19" x14ac:dyDescent="0.35">
      <c r="A3029">
        <v>43372</v>
      </c>
      <c r="B3029" t="str">
        <f>"043372"</f>
        <v>043372</v>
      </c>
      <c r="C3029" t="s">
        <v>9520</v>
      </c>
      <c r="D3029" t="s">
        <v>3400</v>
      </c>
      <c r="E3029" t="s">
        <v>3395</v>
      </c>
      <c r="F3029" t="s">
        <v>3396</v>
      </c>
      <c r="G3029" t="s">
        <v>312</v>
      </c>
      <c r="H3029" t="s">
        <v>9521</v>
      </c>
      <c r="I3029" t="s">
        <v>9522</v>
      </c>
      <c r="J3029" t="s">
        <v>359</v>
      </c>
      <c r="K3029" t="s">
        <v>55</v>
      </c>
      <c r="L3029" t="s">
        <v>360</v>
      </c>
      <c r="M3029" t="s">
        <v>57</v>
      </c>
      <c r="N3029" t="str">
        <f>"048447"</f>
        <v>048447</v>
      </c>
      <c r="O3029" t="s">
        <v>356</v>
      </c>
      <c r="P3029" t="s">
        <v>68</v>
      </c>
      <c r="Q3029">
        <v>40</v>
      </c>
      <c r="R3029">
        <v>11.700000000000003</v>
      </c>
      <c r="S3029" t="s">
        <v>156</v>
      </c>
    </row>
    <row r="3030" spans="1:19" x14ac:dyDescent="0.35">
      <c r="A3030">
        <v>43380</v>
      </c>
      <c r="B3030" t="str">
        <f>"043380"</f>
        <v>043380</v>
      </c>
      <c r="C3030" t="s">
        <v>9523</v>
      </c>
      <c r="D3030" t="s">
        <v>3400</v>
      </c>
      <c r="E3030" t="s">
        <v>3395</v>
      </c>
      <c r="F3030" t="s">
        <v>3396</v>
      </c>
      <c r="G3030" t="s">
        <v>543</v>
      </c>
      <c r="H3030" t="s">
        <v>9524</v>
      </c>
      <c r="I3030" t="s">
        <v>9525</v>
      </c>
      <c r="J3030" t="s">
        <v>3155</v>
      </c>
      <c r="K3030" t="s">
        <v>55</v>
      </c>
      <c r="L3030" t="s">
        <v>3156</v>
      </c>
      <c r="M3030" t="s">
        <v>57</v>
      </c>
      <c r="N3030" t="str">
        <f>"048678"</f>
        <v>048678</v>
      </c>
      <c r="O3030" t="s">
        <v>3152</v>
      </c>
      <c r="P3030" t="s">
        <v>68</v>
      </c>
      <c r="Q3030">
        <v>26</v>
      </c>
      <c r="R3030">
        <v>6.4000000000000057</v>
      </c>
      <c r="S3030" t="s">
        <v>180</v>
      </c>
    </row>
    <row r="3031" spans="1:19" x14ac:dyDescent="0.35">
      <c r="A3031">
        <v>43398</v>
      </c>
      <c r="B3031" t="str">
        <f>"043398"</f>
        <v>043398</v>
      </c>
      <c r="C3031" t="s">
        <v>9526</v>
      </c>
      <c r="D3031" t="s">
        <v>3400</v>
      </c>
      <c r="E3031" t="s">
        <v>3395</v>
      </c>
      <c r="F3031" t="s">
        <v>3396</v>
      </c>
      <c r="G3031" t="s">
        <v>543</v>
      </c>
      <c r="H3031" t="s">
        <v>9527</v>
      </c>
      <c r="I3031" t="s">
        <v>9528</v>
      </c>
      <c r="J3031" t="s">
        <v>687</v>
      </c>
      <c r="K3031" t="s">
        <v>55</v>
      </c>
      <c r="L3031" t="s">
        <v>1253</v>
      </c>
      <c r="M3031" t="s">
        <v>57</v>
      </c>
      <c r="N3031" t="str">
        <f>"048702"</f>
        <v>048702</v>
      </c>
      <c r="O3031" t="s">
        <v>866</v>
      </c>
      <c r="P3031" t="s">
        <v>68</v>
      </c>
      <c r="Q3031">
        <v>59.8</v>
      </c>
      <c r="R3031">
        <v>29.299999999999997</v>
      </c>
      <c r="S3031" t="s">
        <v>180</v>
      </c>
    </row>
    <row r="3032" spans="1:19" x14ac:dyDescent="0.35">
      <c r="A3032">
        <v>43398</v>
      </c>
      <c r="B3032" t="str">
        <f>"043398"</f>
        <v>043398</v>
      </c>
      <c r="C3032" t="s">
        <v>9526</v>
      </c>
      <c r="D3032" t="s">
        <v>3929</v>
      </c>
      <c r="E3032" t="s">
        <v>3395</v>
      </c>
      <c r="F3032" t="s">
        <v>3396</v>
      </c>
      <c r="G3032" t="s">
        <v>543</v>
      </c>
      <c r="H3032" t="s">
        <v>9527</v>
      </c>
      <c r="I3032" t="s">
        <v>9528</v>
      </c>
      <c r="J3032" t="s">
        <v>687</v>
      </c>
      <c r="K3032" t="s">
        <v>55</v>
      </c>
      <c r="L3032" t="s">
        <v>1253</v>
      </c>
      <c r="M3032" t="s">
        <v>57</v>
      </c>
      <c r="N3032" t="str">
        <f>"048702"</f>
        <v>048702</v>
      </c>
      <c r="O3032" t="s">
        <v>866</v>
      </c>
      <c r="P3032" t="s">
        <v>68</v>
      </c>
      <c r="Q3032">
        <v>59.8</v>
      </c>
      <c r="R3032">
        <v>29.299999999999997</v>
      </c>
      <c r="S3032" t="s">
        <v>180</v>
      </c>
    </row>
    <row r="3033" spans="1:19" x14ac:dyDescent="0.35">
      <c r="A3033">
        <v>43430</v>
      </c>
      <c r="B3033" t="str">
        <f>"043430"</f>
        <v>043430</v>
      </c>
      <c r="C3033" t="s">
        <v>9529</v>
      </c>
      <c r="D3033" t="s">
        <v>3400</v>
      </c>
      <c r="E3033" t="s">
        <v>3395</v>
      </c>
      <c r="F3033" t="s">
        <v>3396</v>
      </c>
      <c r="G3033" t="s">
        <v>117</v>
      </c>
      <c r="H3033" t="s">
        <v>9530</v>
      </c>
      <c r="I3033" t="s">
        <v>9531</v>
      </c>
      <c r="J3033" t="s">
        <v>1409</v>
      </c>
      <c r="K3033" t="s">
        <v>55</v>
      </c>
      <c r="L3033" t="s">
        <v>1986</v>
      </c>
      <c r="M3033" t="s">
        <v>57</v>
      </c>
      <c r="N3033" t="str">
        <f>"049833"</f>
        <v>049833</v>
      </c>
      <c r="O3033" t="s">
        <v>1983</v>
      </c>
      <c r="P3033" t="s">
        <v>68</v>
      </c>
      <c r="Q3033">
        <v>100</v>
      </c>
      <c r="R3033">
        <v>25.799999999999997</v>
      </c>
      <c r="S3033" t="s">
        <v>77</v>
      </c>
    </row>
    <row r="3034" spans="1:19" x14ac:dyDescent="0.35">
      <c r="A3034">
        <v>43448</v>
      </c>
      <c r="B3034" t="str">
        <f>"043448"</f>
        <v>043448</v>
      </c>
      <c r="C3034" t="s">
        <v>5588</v>
      </c>
      <c r="D3034" t="s">
        <v>3400</v>
      </c>
      <c r="E3034" t="s">
        <v>3395</v>
      </c>
      <c r="F3034" t="s">
        <v>3396</v>
      </c>
      <c r="G3034" t="s">
        <v>264</v>
      </c>
      <c r="H3034" t="s">
        <v>9532</v>
      </c>
      <c r="I3034" t="s">
        <v>9533</v>
      </c>
      <c r="J3034" t="s">
        <v>5622</v>
      </c>
      <c r="K3034" t="s">
        <v>55</v>
      </c>
      <c r="L3034" t="s">
        <v>5623</v>
      </c>
      <c r="M3034" t="s">
        <v>57</v>
      </c>
      <c r="N3034" t="str">
        <f>"050013"</f>
        <v>050013</v>
      </c>
      <c r="O3034" t="s">
        <v>2579</v>
      </c>
      <c r="P3034" t="s">
        <v>68</v>
      </c>
      <c r="Q3034">
        <v>20.100000000000001</v>
      </c>
      <c r="R3034">
        <v>7.5</v>
      </c>
      <c r="S3034" t="s">
        <v>77</v>
      </c>
    </row>
    <row r="3035" spans="1:19" x14ac:dyDescent="0.35">
      <c r="A3035">
        <v>50757</v>
      </c>
      <c r="B3035" t="str">
        <f>"050757"</f>
        <v>050757</v>
      </c>
      <c r="C3035" t="s">
        <v>9534</v>
      </c>
      <c r="D3035" t="s">
        <v>3394</v>
      </c>
      <c r="E3035" t="s">
        <v>3395</v>
      </c>
      <c r="F3035" t="s">
        <v>3396</v>
      </c>
      <c r="G3035" t="s">
        <v>642</v>
      </c>
      <c r="H3035" t="s">
        <v>9535</v>
      </c>
      <c r="I3035" t="s">
        <v>9536</v>
      </c>
      <c r="J3035" t="s">
        <v>2447</v>
      </c>
      <c r="K3035" t="s">
        <v>55</v>
      </c>
      <c r="L3035" t="s">
        <v>9508</v>
      </c>
      <c r="M3035" t="s">
        <v>57</v>
      </c>
      <c r="N3035" t="str">
        <f>"047241"</f>
        <v>047241</v>
      </c>
      <c r="O3035" t="s">
        <v>2444</v>
      </c>
      <c r="P3035" t="s">
        <v>68</v>
      </c>
      <c r="Q3035">
        <v>16</v>
      </c>
      <c r="R3035">
        <v>20.5</v>
      </c>
      <c r="S3035" t="s">
        <v>180</v>
      </c>
    </row>
    <row r="3036" spans="1:19" x14ac:dyDescent="0.35">
      <c r="A3036">
        <v>52613</v>
      </c>
      <c r="B3036" t="str">
        <f>"052613"</f>
        <v>052613</v>
      </c>
      <c r="C3036" t="s">
        <v>9537</v>
      </c>
      <c r="D3036" t="s">
        <v>3398</v>
      </c>
      <c r="E3036" t="s">
        <v>9538</v>
      </c>
      <c r="F3036" t="s">
        <v>3396</v>
      </c>
      <c r="G3036" t="s">
        <v>481</v>
      </c>
      <c r="H3036" t="s">
        <v>9539</v>
      </c>
      <c r="I3036" t="s">
        <v>9540</v>
      </c>
      <c r="J3036" t="s">
        <v>4970</v>
      </c>
      <c r="K3036" t="s">
        <v>55</v>
      </c>
      <c r="L3036" t="s">
        <v>1822</v>
      </c>
      <c r="M3036" t="s">
        <v>57</v>
      </c>
      <c r="N3036" t="str">
        <f>"000136"</f>
        <v>000136</v>
      </c>
      <c r="O3036" t="s">
        <v>2853</v>
      </c>
      <c r="P3036" t="s">
        <v>68</v>
      </c>
      <c r="Q3036" t="s">
        <v>68</v>
      </c>
      <c r="R3036" t="s">
        <v>68</v>
      </c>
      <c r="S3036" t="s">
        <v>69</v>
      </c>
    </row>
    <row r="3037" spans="1:19" x14ac:dyDescent="0.35">
      <c r="A3037">
        <v>52613</v>
      </c>
      <c r="B3037" t="str">
        <f>"052613"</f>
        <v>052613</v>
      </c>
      <c r="C3037" t="s">
        <v>9537</v>
      </c>
      <c r="D3037" t="s">
        <v>9541</v>
      </c>
      <c r="E3037" t="s">
        <v>9538</v>
      </c>
      <c r="F3037" t="s">
        <v>3396</v>
      </c>
      <c r="G3037" t="s">
        <v>481</v>
      </c>
      <c r="H3037" t="s">
        <v>9539</v>
      </c>
      <c r="I3037" t="s">
        <v>9540</v>
      </c>
      <c r="J3037" t="s">
        <v>4970</v>
      </c>
      <c r="K3037" t="s">
        <v>55</v>
      </c>
      <c r="L3037" t="s">
        <v>1822</v>
      </c>
      <c r="M3037" t="s">
        <v>57</v>
      </c>
      <c r="N3037" t="str">
        <f>"000136"</f>
        <v>000136</v>
      </c>
      <c r="O3037" t="s">
        <v>2853</v>
      </c>
      <c r="P3037" t="s">
        <v>68</v>
      </c>
      <c r="Q3037" t="s">
        <v>68</v>
      </c>
      <c r="R3037" t="s">
        <v>68</v>
      </c>
      <c r="S3037" t="s">
        <v>69</v>
      </c>
    </row>
    <row r="3038" spans="1:19" x14ac:dyDescent="0.35">
      <c r="A3038">
        <v>52621</v>
      </c>
      <c r="B3038" t="str">
        <f>"052621"</f>
        <v>052621</v>
      </c>
      <c r="C3038" t="s">
        <v>9542</v>
      </c>
      <c r="D3038" t="s">
        <v>3398</v>
      </c>
      <c r="E3038" t="s">
        <v>9538</v>
      </c>
      <c r="F3038" t="s">
        <v>3396</v>
      </c>
      <c r="G3038" t="s">
        <v>543</v>
      </c>
      <c r="H3038" t="s">
        <v>9543</v>
      </c>
      <c r="I3038" t="s">
        <v>9544</v>
      </c>
      <c r="J3038" t="s">
        <v>1961</v>
      </c>
      <c r="K3038" t="s">
        <v>55</v>
      </c>
      <c r="L3038" t="s">
        <v>1962</v>
      </c>
      <c r="M3038" t="s">
        <v>57</v>
      </c>
      <c r="N3038" t="str">
        <f>"052514"</f>
        <v>052514</v>
      </c>
      <c r="O3038" t="s">
        <v>2465</v>
      </c>
      <c r="P3038" t="s">
        <v>68</v>
      </c>
      <c r="Q3038" t="s">
        <v>68</v>
      </c>
      <c r="R3038" t="s">
        <v>68</v>
      </c>
      <c r="S3038" t="s">
        <v>180</v>
      </c>
    </row>
    <row r="3039" spans="1:19" x14ac:dyDescent="0.35">
      <c r="A3039">
        <v>52639</v>
      </c>
      <c r="B3039" t="str">
        <f>"052639"</f>
        <v>052639</v>
      </c>
      <c r="C3039" t="s">
        <v>9545</v>
      </c>
      <c r="D3039" t="s">
        <v>3398</v>
      </c>
      <c r="E3039" t="s">
        <v>9538</v>
      </c>
      <c r="F3039" t="s">
        <v>3396</v>
      </c>
      <c r="G3039" t="s">
        <v>264</v>
      </c>
      <c r="H3039" t="s">
        <v>9546</v>
      </c>
      <c r="I3039" t="s">
        <v>9547</v>
      </c>
      <c r="J3039" t="s">
        <v>267</v>
      </c>
      <c r="K3039" t="s">
        <v>55</v>
      </c>
      <c r="L3039" t="s">
        <v>5503</v>
      </c>
      <c r="M3039" t="s">
        <v>57</v>
      </c>
      <c r="N3039" t="str">
        <f>"052522"</f>
        <v>052522</v>
      </c>
      <c r="O3039" t="s">
        <v>605</v>
      </c>
      <c r="P3039" t="s">
        <v>68</v>
      </c>
      <c r="Q3039" t="s">
        <v>68</v>
      </c>
      <c r="R3039" t="s">
        <v>68</v>
      </c>
      <c r="S3039" t="s">
        <v>77</v>
      </c>
    </row>
    <row r="3040" spans="1:19" x14ac:dyDescent="0.35">
      <c r="A3040">
        <v>52647</v>
      </c>
      <c r="B3040" t="str">
        <f>"052647"</f>
        <v>052647</v>
      </c>
      <c r="C3040" t="s">
        <v>9548</v>
      </c>
      <c r="D3040" t="s">
        <v>3398</v>
      </c>
      <c r="E3040" t="s">
        <v>9538</v>
      </c>
      <c r="F3040" t="s">
        <v>3396</v>
      </c>
      <c r="G3040" t="s">
        <v>244</v>
      </c>
      <c r="H3040" t="s">
        <v>9549</v>
      </c>
      <c r="I3040" t="s">
        <v>9550</v>
      </c>
      <c r="J3040" t="s">
        <v>212</v>
      </c>
      <c r="K3040" t="s">
        <v>55</v>
      </c>
      <c r="L3040" t="s">
        <v>2312</v>
      </c>
      <c r="M3040" t="s">
        <v>57</v>
      </c>
      <c r="N3040" t="str">
        <f>"052514"</f>
        <v>052514</v>
      </c>
      <c r="O3040" t="s">
        <v>2465</v>
      </c>
      <c r="P3040" t="s">
        <v>68</v>
      </c>
      <c r="Q3040" t="s">
        <v>68</v>
      </c>
      <c r="R3040" t="s">
        <v>68</v>
      </c>
      <c r="S3040" t="s">
        <v>217</v>
      </c>
    </row>
    <row r="3041" spans="1:19" x14ac:dyDescent="0.35">
      <c r="A3041">
        <v>52654</v>
      </c>
      <c r="B3041" t="str">
        <f>"052654"</f>
        <v>052654</v>
      </c>
      <c r="C3041" t="s">
        <v>9551</v>
      </c>
      <c r="D3041" t="s">
        <v>3398</v>
      </c>
      <c r="E3041" t="s">
        <v>9538</v>
      </c>
      <c r="F3041" t="s">
        <v>3396</v>
      </c>
      <c r="G3041" t="s">
        <v>63</v>
      </c>
      <c r="H3041" t="s">
        <v>9552</v>
      </c>
      <c r="I3041" t="s">
        <v>9553</v>
      </c>
      <c r="J3041" t="s">
        <v>1844</v>
      </c>
      <c r="K3041" t="s">
        <v>55</v>
      </c>
      <c r="L3041" t="s">
        <v>1636</v>
      </c>
      <c r="M3041" t="s">
        <v>57</v>
      </c>
      <c r="N3041" t="str">
        <f>"052522"</f>
        <v>052522</v>
      </c>
      <c r="O3041" t="s">
        <v>605</v>
      </c>
      <c r="P3041" t="s">
        <v>68</v>
      </c>
      <c r="Q3041" t="s">
        <v>68</v>
      </c>
      <c r="R3041" t="s">
        <v>68</v>
      </c>
      <c r="S3041" t="s">
        <v>69</v>
      </c>
    </row>
    <row r="3042" spans="1:19" x14ac:dyDescent="0.35">
      <c r="A3042">
        <v>52662</v>
      </c>
      <c r="B3042" t="str">
        <f>"052662"</f>
        <v>052662</v>
      </c>
      <c r="C3042" t="s">
        <v>9554</v>
      </c>
      <c r="D3042" t="s">
        <v>3398</v>
      </c>
      <c r="E3042" t="s">
        <v>9538</v>
      </c>
      <c r="F3042" t="s">
        <v>3396</v>
      </c>
      <c r="G3042" t="s">
        <v>63</v>
      </c>
      <c r="H3042" t="s">
        <v>9555</v>
      </c>
      <c r="I3042" t="s">
        <v>9556</v>
      </c>
      <c r="J3042" t="s">
        <v>285</v>
      </c>
      <c r="K3042" t="s">
        <v>55</v>
      </c>
      <c r="L3042" t="s">
        <v>3525</v>
      </c>
      <c r="M3042" t="s">
        <v>57</v>
      </c>
      <c r="N3042" t="str">
        <f>"052522"</f>
        <v>052522</v>
      </c>
      <c r="O3042" t="s">
        <v>605</v>
      </c>
      <c r="P3042" t="s">
        <v>68</v>
      </c>
      <c r="Q3042" t="s">
        <v>68</v>
      </c>
      <c r="R3042" t="s">
        <v>68</v>
      </c>
      <c r="S3042" t="s">
        <v>69</v>
      </c>
    </row>
    <row r="3043" spans="1:19" x14ac:dyDescent="0.35">
      <c r="A3043">
        <v>52670</v>
      </c>
      <c r="B3043" t="str">
        <f>"052670"</f>
        <v>052670</v>
      </c>
      <c r="C3043" t="s">
        <v>9557</v>
      </c>
      <c r="D3043" t="s">
        <v>3398</v>
      </c>
      <c r="E3043" t="s">
        <v>9538</v>
      </c>
      <c r="F3043" t="s">
        <v>3396</v>
      </c>
      <c r="G3043" t="s">
        <v>92</v>
      </c>
      <c r="H3043" t="s">
        <v>9558</v>
      </c>
      <c r="I3043" t="s">
        <v>9559</v>
      </c>
      <c r="J3043" t="s">
        <v>1940</v>
      </c>
      <c r="K3043" t="s">
        <v>55</v>
      </c>
      <c r="L3043" t="s">
        <v>1941</v>
      </c>
      <c r="M3043" t="s">
        <v>57</v>
      </c>
      <c r="N3043" t="str">
        <f>"052530"</f>
        <v>052530</v>
      </c>
      <c r="O3043" t="s">
        <v>2009</v>
      </c>
      <c r="P3043" t="s">
        <v>68</v>
      </c>
      <c r="Q3043" t="s">
        <v>68</v>
      </c>
      <c r="R3043" t="s">
        <v>68</v>
      </c>
      <c r="S3043" t="s">
        <v>60</v>
      </c>
    </row>
    <row r="3044" spans="1:19" x14ac:dyDescent="0.35">
      <c r="A3044">
        <v>52696</v>
      </c>
      <c r="B3044" t="str">
        <f>"052696"</f>
        <v>052696</v>
      </c>
      <c r="C3044" t="s">
        <v>9560</v>
      </c>
      <c r="D3044" t="s">
        <v>3398</v>
      </c>
      <c r="E3044" t="s">
        <v>9538</v>
      </c>
      <c r="F3044" t="s">
        <v>3396</v>
      </c>
      <c r="G3044" t="s">
        <v>600</v>
      </c>
      <c r="H3044" t="s">
        <v>9561</v>
      </c>
      <c r="I3044" t="s">
        <v>9562</v>
      </c>
      <c r="J3044" t="s">
        <v>1348</v>
      </c>
      <c r="K3044" t="s">
        <v>55</v>
      </c>
      <c r="L3044" t="s">
        <v>6119</v>
      </c>
      <c r="M3044" t="s">
        <v>57</v>
      </c>
      <c r="N3044" t="str">
        <f>"052530"</f>
        <v>052530</v>
      </c>
      <c r="O3044" t="s">
        <v>2009</v>
      </c>
      <c r="P3044" t="s">
        <v>68</v>
      </c>
      <c r="Q3044" t="s">
        <v>68</v>
      </c>
      <c r="R3044" t="s">
        <v>68</v>
      </c>
      <c r="S3044" t="s">
        <v>60</v>
      </c>
    </row>
    <row r="3045" spans="1:19" x14ac:dyDescent="0.35">
      <c r="A3045">
        <v>52704</v>
      </c>
      <c r="B3045" t="str">
        <f>"052704"</f>
        <v>052704</v>
      </c>
      <c r="C3045" t="s">
        <v>9563</v>
      </c>
      <c r="D3045" t="s">
        <v>3398</v>
      </c>
      <c r="E3045" t="s">
        <v>9538</v>
      </c>
      <c r="F3045" t="s">
        <v>3396</v>
      </c>
      <c r="G3045" t="s">
        <v>600</v>
      </c>
      <c r="H3045" t="s">
        <v>9564</v>
      </c>
      <c r="I3045" t="s">
        <v>9565</v>
      </c>
      <c r="J3045" t="s">
        <v>1348</v>
      </c>
      <c r="K3045" t="s">
        <v>55</v>
      </c>
      <c r="L3045" t="s">
        <v>3854</v>
      </c>
      <c r="M3045" t="s">
        <v>57</v>
      </c>
      <c r="N3045" t="str">
        <f>"052530"</f>
        <v>052530</v>
      </c>
      <c r="O3045" t="s">
        <v>2009</v>
      </c>
      <c r="P3045" t="s">
        <v>68</v>
      </c>
      <c r="Q3045" t="s">
        <v>68</v>
      </c>
      <c r="R3045" t="s">
        <v>68</v>
      </c>
      <c r="S3045" t="s">
        <v>60</v>
      </c>
    </row>
    <row r="3046" spans="1:19" x14ac:dyDescent="0.35">
      <c r="A3046">
        <v>52712</v>
      </c>
      <c r="B3046" t="str">
        <f>"052712"</f>
        <v>052712</v>
      </c>
      <c r="C3046" t="s">
        <v>9566</v>
      </c>
      <c r="D3046" t="s">
        <v>3398</v>
      </c>
      <c r="E3046" t="s">
        <v>9538</v>
      </c>
      <c r="F3046" t="s">
        <v>3396</v>
      </c>
      <c r="G3046" t="s">
        <v>674</v>
      </c>
      <c r="H3046" t="s">
        <v>9567</v>
      </c>
      <c r="I3046" t="s">
        <v>9568</v>
      </c>
      <c r="J3046" t="s">
        <v>927</v>
      </c>
      <c r="K3046" t="s">
        <v>55</v>
      </c>
      <c r="L3046" t="s">
        <v>928</v>
      </c>
      <c r="M3046" t="s">
        <v>57</v>
      </c>
      <c r="N3046" t="str">
        <f>"052530"</f>
        <v>052530</v>
      </c>
      <c r="O3046" t="s">
        <v>2009</v>
      </c>
      <c r="P3046" t="s">
        <v>68</v>
      </c>
      <c r="Q3046" t="s">
        <v>68</v>
      </c>
      <c r="R3046" t="s">
        <v>68</v>
      </c>
      <c r="S3046" t="s">
        <v>130</v>
      </c>
    </row>
    <row r="3047" spans="1:19" x14ac:dyDescent="0.35">
      <c r="A3047">
        <v>52720</v>
      </c>
      <c r="B3047" t="str">
        <f>"052720"</f>
        <v>052720</v>
      </c>
      <c r="C3047" t="s">
        <v>9569</v>
      </c>
      <c r="D3047" t="s">
        <v>3398</v>
      </c>
      <c r="E3047" t="s">
        <v>9538</v>
      </c>
      <c r="F3047" t="s">
        <v>3396</v>
      </c>
      <c r="G3047" t="s">
        <v>600</v>
      </c>
      <c r="H3047" t="s">
        <v>9570</v>
      </c>
      <c r="I3047" t="s">
        <v>9571</v>
      </c>
      <c r="J3047" t="s">
        <v>1348</v>
      </c>
      <c r="K3047" t="s">
        <v>55</v>
      </c>
      <c r="L3047" t="s">
        <v>4473</v>
      </c>
      <c r="M3047" t="s">
        <v>57</v>
      </c>
      <c r="N3047" t="str">
        <f>"052530"</f>
        <v>052530</v>
      </c>
      <c r="O3047" t="s">
        <v>2009</v>
      </c>
      <c r="P3047" t="s">
        <v>68</v>
      </c>
      <c r="Q3047" t="s">
        <v>68</v>
      </c>
      <c r="R3047" t="s">
        <v>68</v>
      </c>
      <c r="S3047" t="s">
        <v>60</v>
      </c>
    </row>
    <row r="3048" spans="1:19" x14ac:dyDescent="0.35">
      <c r="A3048">
        <v>52779</v>
      </c>
      <c r="B3048" t="str">
        <f>"052779"</f>
        <v>052779</v>
      </c>
      <c r="C3048" t="s">
        <v>9572</v>
      </c>
      <c r="D3048" t="s">
        <v>3398</v>
      </c>
      <c r="E3048" t="s">
        <v>9538</v>
      </c>
      <c r="F3048" t="s">
        <v>3396</v>
      </c>
      <c r="G3048" t="s">
        <v>1296</v>
      </c>
      <c r="H3048" t="s">
        <v>9573</v>
      </c>
      <c r="I3048" t="s">
        <v>9574</v>
      </c>
      <c r="J3048" t="s">
        <v>1299</v>
      </c>
      <c r="K3048" t="s">
        <v>55</v>
      </c>
      <c r="L3048" t="s">
        <v>1300</v>
      </c>
      <c r="M3048" t="s">
        <v>57</v>
      </c>
      <c r="N3048" t="str">
        <f>"052555"</f>
        <v>052555</v>
      </c>
      <c r="O3048" t="s">
        <v>3167</v>
      </c>
      <c r="P3048" t="s">
        <v>68</v>
      </c>
      <c r="Q3048" t="s">
        <v>68</v>
      </c>
      <c r="R3048" t="s">
        <v>68</v>
      </c>
      <c r="S3048" t="s">
        <v>156</v>
      </c>
    </row>
    <row r="3049" spans="1:19" x14ac:dyDescent="0.35">
      <c r="A3049">
        <v>52787</v>
      </c>
      <c r="B3049" t="str">
        <f>"052787"</f>
        <v>052787</v>
      </c>
      <c r="C3049" t="s">
        <v>9575</v>
      </c>
      <c r="D3049" t="s">
        <v>3398</v>
      </c>
      <c r="E3049" t="s">
        <v>9538</v>
      </c>
      <c r="F3049" t="s">
        <v>3396</v>
      </c>
      <c r="G3049" t="s">
        <v>383</v>
      </c>
      <c r="H3049" t="s">
        <v>9576</v>
      </c>
      <c r="I3049" t="s">
        <v>9577</v>
      </c>
      <c r="J3049" t="s">
        <v>1215</v>
      </c>
      <c r="K3049" t="s">
        <v>55</v>
      </c>
      <c r="L3049" t="s">
        <v>9578</v>
      </c>
      <c r="M3049" t="s">
        <v>57</v>
      </c>
      <c r="N3049" t="str">
        <f>"052563"</f>
        <v>052563</v>
      </c>
      <c r="O3049" t="s">
        <v>1399</v>
      </c>
      <c r="P3049" t="s">
        <v>68</v>
      </c>
      <c r="Q3049" t="s">
        <v>68</v>
      </c>
      <c r="R3049" t="s">
        <v>68</v>
      </c>
      <c r="S3049" t="s">
        <v>77</v>
      </c>
    </row>
    <row r="3050" spans="1:19" x14ac:dyDescent="0.35">
      <c r="A3050">
        <v>52795</v>
      </c>
      <c r="B3050" t="str">
        <f>"052795"</f>
        <v>052795</v>
      </c>
      <c r="C3050" t="s">
        <v>9579</v>
      </c>
      <c r="D3050" t="s">
        <v>3398</v>
      </c>
      <c r="E3050" t="s">
        <v>9538</v>
      </c>
      <c r="F3050" t="s">
        <v>3396</v>
      </c>
      <c r="G3050" t="s">
        <v>200</v>
      </c>
      <c r="H3050" t="s">
        <v>9580</v>
      </c>
      <c r="I3050" t="s">
        <v>9581</v>
      </c>
      <c r="J3050" t="s">
        <v>2685</v>
      </c>
      <c r="K3050" t="s">
        <v>55</v>
      </c>
      <c r="L3050" t="s">
        <v>2686</v>
      </c>
      <c r="M3050" t="s">
        <v>57</v>
      </c>
      <c r="N3050" t="str">
        <f>"052555"</f>
        <v>052555</v>
      </c>
      <c r="O3050" t="s">
        <v>3167</v>
      </c>
      <c r="P3050" t="s">
        <v>68</v>
      </c>
      <c r="Q3050" t="s">
        <v>68</v>
      </c>
      <c r="R3050" t="s">
        <v>68</v>
      </c>
      <c r="S3050" t="s">
        <v>156</v>
      </c>
    </row>
    <row r="3051" spans="1:19" x14ac:dyDescent="0.35">
      <c r="A3051">
        <v>52803</v>
      </c>
      <c r="B3051" t="str">
        <f>"052803"</f>
        <v>052803</v>
      </c>
      <c r="C3051" t="s">
        <v>9582</v>
      </c>
      <c r="D3051" t="s">
        <v>3398</v>
      </c>
      <c r="E3051" t="s">
        <v>9538</v>
      </c>
      <c r="F3051" t="s">
        <v>3396</v>
      </c>
      <c r="G3051" t="s">
        <v>543</v>
      </c>
      <c r="H3051" t="s">
        <v>9583</v>
      </c>
      <c r="I3051" t="s">
        <v>9584</v>
      </c>
      <c r="J3051" t="s">
        <v>687</v>
      </c>
      <c r="K3051" t="s">
        <v>55</v>
      </c>
      <c r="L3051" t="s">
        <v>4925</v>
      </c>
      <c r="M3051" t="s">
        <v>57</v>
      </c>
      <c r="N3051" t="str">
        <f>"052514"</f>
        <v>052514</v>
      </c>
      <c r="O3051" t="s">
        <v>2465</v>
      </c>
      <c r="P3051" t="s">
        <v>68</v>
      </c>
      <c r="Q3051" t="s">
        <v>68</v>
      </c>
      <c r="R3051" t="s">
        <v>68</v>
      </c>
      <c r="S3051" t="s">
        <v>180</v>
      </c>
    </row>
    <row r="3052" spans="1:19" x14ac:dyDescent="0.35">
      <c r="A3052">
        <v>52829</v>
      </c>
      <c r="B3052" t="str">
        <f>"052829"</f>
        <v>052829</v>
      </c>
      <c r="C3052" t="s">
        <v>9585</v>
      </c>
      <c r="D3052" t="s">
        <v>3394</v>
      </c>
      <c r="E3052" t="s">
        <v>9538</v>
      </c>
      <c r="F3052" t="s">
        <v>3396</v>
      </c>
      <c r="G3052" t="s">
        <v>777</v>
      </c>
      <c r="H3052" t="s">
        <v>9586</v>
      </c>
      <c r="I3052" t="s">
        <v>9587</v>
      </c>
      <c r="J3052" t="s">
        <v>780</v>
      </c>
      <c r="K3052" t="s">
        <v>55</v>
      </c>
      <c r="L3052" t="s">
        <v>894</v>
      </c>
      <c r="M3052" t="s">
        <v>57</v>
      </c>
      <c r="N3052" t="str">
        <f>"052514"</f>
        <v>052514</v>
      </c>
      <c r="O3052" t="s">
        <v>2465</v>
      </c>
      <c r="P3052" t="s">
        <v>68</v>
      </c>
      <c r="Q3052" t="s">
        <v>68</v>
      </c>
      <c r="R3052" t="s">
        <v>68</v>
      </c>
      <c r="S3052" t="s">
        <v>180</v>
      </c>
    </row>
    <row r="3053" spans="1:19" x14ac:dyDescent="0.35">
      <c r="A3053">
        <v>52837</v>
      </c>
      <c r="B3053" t="str">
        <f>"052837"</f>
        <v>052837</v>
      </c>
      <c r="C3053" t="s">
        <v>9585</v>
      </c>
      <c r="D3053" t="s">
        <v>3398</v>
      </c>
      <c r="E3053" t="s">
        <v>9538</v>
      </c>
      <c r="F3053" t="s">
        <v>3396</v>
      </c>
      <c r="G3053" t="s">
        <v>135</v>
      </c>
      <c r="H3053" t="s">
        <v>9588</v>
      </c>
      <c r="I3053" t="s">
        <v>9589</v>
      </c>
      <c r="J3053" t="s">
        <v>279</v>
      </c>
      <c r="K3053" t="s">
        <v>55</v>
      </c>
      <c r="L3053" t="s">
        <v>280</v>
      </c>
      <c r="M3053" t="s">
        <v>57</v>
      </c>
      <c r="N3053" t="str">
        <f>"052548"</f>
        <v>052548</v>
      </c>
      <c r="O3053" t="s">
        <v>2217</v>
      </c>
      <c r="P3053" t="s">
        <v>68</v>
      </c>
      <c r="Q3053" t="s">
        <v>68</v>
      </c>
      <c r="R3053" t="s">
        <v>68</v>
      </c>
      <c r="S3053" t="s">
        <v>130</v>
      </c>
    </row>
    <row r="3054" spans="1:19" x14ac:dyDescent="0.35">
      <c r="A3054">
        <v>52845</v>
      </c>
      <c r="B3054" t="str">
        <f>"052845"</f>
        <v>052845</v>
      </c>
      <c r="C3054" t="s">
        <v>9590</v>
      </c>
      <c r="D3054" t="s">
        <v>3398</v>
      </c>
      <c r="E3054" t="s">
        <v>9538</v>
      </c>
      <c r="F3054" t="s">
        <v>3396</v>
      </c>
      <c r="G3054" t="s">
        <v>117</v>
      </c>
      <c r="H3054" t="s">
        <v>9591</v>
      </c>
      <c r="I3054" t="s">
        <v>9592</v>
      </c>
      <c r="J3054" t="s">
        <v>1409</v>
      </c>
      <c r="K3054" t="s">
        <v>55</v>
      </c>
      <c r="L3054" t="s">
        <v>3640</v>
      </c>
      <c r="M3054" t="s">
        <v>57</v>
      </c>
      <c r="N3054" t="str">
        <f>"052563"</f>
        <v>052563</v>
      </c>
      <c r="O3054" t="s">
        <v>1399</v>
      </c>
      <c r="P3054" t="s">
        <v>68</v>
      </c>
      <c r="Q3054" t="s">
        <v>68</v>
      </c>
      <c r="R3054" t="s">
        <v>68</v>
      </c>
      <c r="S3054" t="s">
        <v>77</v>
      </c>
    </row>
    <row r="3055" spans="1:19" x14ac:dyDescent="0.35">
      <c r="A3055">
        <v>52852</v>
      </c>
      <c r="B3055" t="str">
        <f>"052852"</f>
        <v>052852</v>
      </c>
      <c r="C3055" t="s">
        <v>9590</v>
      </c>
      <c r="D3055" t="s">
        <v>3398</v>
      </c>
      <c r="E3055" t="s">
        <v>9538</v>
      </c>
      <c r="F3055" t="s">
        <v>3396</v>
      </c>
      <c r="G3055" t="s">
        <v>200</v>
      </c>
      <c r="H3055" t="s">
        <v>9593</v>
      </c>
      <c r="I3055" t="s">
        <v>9594</v>
      </c>
      <c r="J3055" t="s">
        <v>304</v>
      </c>
      <c r="K3055" t="s">
        <v>55</v>
      </c>
      <c r="L3055" t="s">
        <v>4360</v>
      </c>
      <c r="M3055" t="s">
        <v>57</v>
      </c>
      <c r="N3055" t="str">
        <f>"052555"</f>
        <v>052555</v>
      </c>
      <c r="O3055" t="s">
        <v>3167</v>
      </c>
      <c r="P3055" t="s">
        <v>68</v>
      </c>
      <c r="Q3055" t="s">
        <v>68</v>
      </c>
      <c r="R3055" t="s">
        <v>68</v>
      </c>
      <c r="S3055" t="s">
        <v>156</v>
      </c>
    </row>
    <row r="3056" spans="1:19" x14ac:dyDescent="0.35">
      <c r="A3056">
        <v>52860</v>
      </c>
      <c r="B3056" t="str">
        <f>"052860"</f>
        <v>052860</v>
      </c>
      <c r="C3056" t="s">
        <v>9595</v>
      </c>
      <c r="D3056" t="s">
        <v>3398</v>
      </c>
      <c r="E3056" t="s">
        <v>9538</v>
      </c>
      <c r="F3056" t="s">
        <v>3396</v>
      </c>
      <c r="G3056" t="s">
        <v>187</v>
      </c>
      <c r="H3056" t="s">
        <v>9596</v>
      </c>
      <c r="I3056" t="s">
        <v>9597</v>
      </c>
      <c r="J3056" t="s">
        <v>9598</v>
      </c>
      <c r="K3056" t="s">
        <v>55</v>
      </c>
      <c r="L3056" t="s">
        <v>9599</v>
      </c>
      <c r="M3056" t="s">
        <v>57</v>
      </c>
      <c r="N3056" t="str">
        <f>"052860"</f>
        <v>052860</v>
      </c>
      <c r="O3056" t="s">
        <v>9595</v>
      </c>
      <c r="P3056" t="s">
        <v>68</v>
      </c>
      <c r="Q3056" t="s">
        <v>68</v>
      </c>
      <c r="R3056" t="s">
        <v>68</v>
      </c>
      <c r="S3056" t="s">
        <v>77</v>
      </c>
    </row>
    <row r="3057" spans="1:19" x14ac:dyDescent="0.35">
      <c r="A3057">
        <v>52878</v>
      </c>
      <c r="B3057" t="str">
        <f>"052878"</f>
        <v>052878</v>
      </c>
      <c r="C3057" t="s">
        <v>9600</v>
      </c>
      <c r="D3057" t="s">
        <v>3398</v>
      </c>
      <c r="E3057" t="s">
        <v>9538</v>
      </c>
      <c r="F3057" t="s">
        <v>3396</v>
      </c>
      <c r="G3057" t="s">
        <v>543</v>
      </c>
      <c r="H3057" t="s">
        <v>9601</v>
      </c>
      <c r="I3057" t="s">
        <v>9602</v>
      </c>
      <c r="J3057" t="s">
        <v>687</v>
      </c>
      <c r="K3057" t="s">
        <v>55</v>
      </c>
      <c r="L3057" t="s">
        <v>786</v>
      </c>
      <c r="M3057" t="s">
        <v>57</v>
      </c>
      <c r="N3057" t="str">
        <f>"052514"</f>
        <v>052514</v>
      </c>
      <c r="O3057" t="s">
        <v>2465</v>
      </c>
      <c r="P3057" t="s">
        <v>68</v>
      </c>
      <c r="Q3057" t="s">
        <v>68</v>
      </c>
      <c r="R3057" t="s">
        <v>68</v>
      </c>
      <c r="S3057" t="s">
        <v>180</v>
      </c>
    </row>
    <row r="3058" spans="1:19" x14ac:dyDescent="0.35">
      <c r="A3058">
        <v>52894</v>
      </c>
      <c r="B3058" t="str">
        <f>"052894"</f>
        <v>052894</v>
      </c>
      <c r="C3058" t="s">
        <v>9603</v>
      </c>
      <c r="D3058" t="s">
        <v>3398</v>
      </c>
      <c r="E3058" t="s">
        <v>9538</v>
      </c>
      <c r="F3058" t="s">
        <v>3396</v>
      </c>
      <c r="G3058" t="s">
        <v>212</v>
      </c>
      <c r="H3058" t="s">
        <v>9604</v>
      </c>
      <c r="I3058" t="s">
        <v>9605</v>
      </c>
      <c r="J3058" t="s">
        <v>215</v>
      </c>
      <c r="K3058" t="s">
        <v>55</v>
      </c>
      <c r="L3058" t="s">
        <v>216</v>
      </c>
      <c r="M3058" t="s">
        <v>57</v>
      </c>
      <c r="N3058" t="str">
        <f t="shared" ref="N3058:N3065" si="1">"000136"</f>
        <v>000136</v>
      </c>
      <c r="O3058" t="s">
        <v>2853</v>
      </c>
      <c r="P3058" t="s">
        <v>68</v>
      </c>
      <c r="Q3058" t="s">
        <v>68</v>
      </c>
      <c r="R3058" t="s">
        <v>68</v>
      </c>
      <c r="S3058" t="s">
        <v>217</v>
      </c>
    </row>
    <row r="3059" spans="1:19" x14ac:dyDescent="0.35">
      <c r="A3059">
        <v>52894</v>
      </c>
      <c r="B3059" t="str">
        <f>"052894"</f>
        <v>052894</v>
      </c>
      <c r="C3059" t="s">
        <v>9603</v>
      </c>
      <c r="D3059" t="s">
        <v>9541</v>
      </c>
      <c r="E3059" t="s">
        <v>9538</v>
      </c>
      <c r="F3059" t="s">
        <v>3396</v>
      </c>
      <c r="G3059" t="s">
        <v>212</v>
      </c>
      <c r="H3059" t="s">
        <v>9604</v>
      </c>
      <c r="I3059" t="s">
        <v>9605</v>
      </c>
      <c r="J3059" t="s">
        <v>215</v>
      </c>
      <c r="K3059" t="s">
        <v>55</v>
      </c>
      <c r="L3059" t="s">
        <v>216</v>
      </c>
      <c r="M3059" t="s">
        <v>57</v>
      </c>
      <c r="N3059" t="str">
        <f t="shared" si="1"/>
        <v>000136</v>
      </c>
      <c r="O3059" t="s">
        <v>2853</v>
      </c>
      <c r="P3059" t="s">
        <v>68</v>
      </c>
      <c r="Q3059" t="s">
        <v>68</v>
      </c>
      <c r="R3059" t="s">
        <v>68</v>
      </c>
      <c r="S3059" t="s">
        <v>217</v>
      </c>
    </row>
    <row r="3060" spans="1:19" x14ac:dyDescent="0.35">
      <c r="A3060">
        <v>52902</v>
      </c>
      <c r="B3060" t="str">
        <f>"052902"</f>
        <v>052902</v>
      </c>
      <c r="C3060" t="s">
        <v>9606</v>
      </c>
      <c r="D3060" t="s">
        <v>3398</v>
      </c>
      <c r="E3060" t="s">
        <v>9538</v>
      </c>
      <c r="F3060" t="s">
        <v>3396</v>
      </c>
      <c r="G3060" t="s">
        <v>212</v>
      </c>
      <c r="H3060" t="s">
        <v>9607</v>
      </c>
      <c r="I3060" t="s">
        <v>9608</v>
      </c>
      <c r="J3060" t="s">
        <v>215</v>
      </c>
      <c r="K3060" t="s">
        <v>55</v>
      </c>
      <c r="L3060" t="s">
        <v>1693</v>
      </c>
      <c r="M3060" t="s">
        <v>57</v>
      </c>
      <c r="N3060" t="str">
        <f t="shared" si="1"/>
        <v>000136</v>
      </c>
      <c r="O3060" t="s">
        <v>2853</v>
      </c>
      <c r="P3060" t="s">
        <v>68</v>
      </c>
      <c r="Q3060" t="s">
        <v>68</v>
      </c>
      <c r="R3060" t="s">
        <v>68</v>
      </c>
      <c r="S3060" t="s">
        <v>217</v>
      </c>
    </row>
    <row r="3061" spans="1:19" x14ac:dyDescent="0.35">
      <c r="A3061">
        <v>52902</v>
      </c>
      <c r="B3061" t="str">
        <f>"052902"</f>
        <v>052902</v>
      </c>
      <c r="C3061" t="s">
        <v>9606</v>
      </c>
      <c r="D3061" t="s">
        <v>9541</v>
      </c>
      <c r="E3061" t="s">
        <v>9538</v>
      </c>
      <c r="F3061" t="s">
        <v>3396</v>
      </c>
      <c r="G3061" t="s">
        <v>212</v>
      </c>
      <c r="H3061" t="s">
        <v>9607</v>
      </c>
      <c r="I3061" t="s">
        <v>9608</v>
      </c>
      <c r="J3061" t="s">
        <v>215</v>
      </c>
      <c r="K3061" t="s">
        <v>55</v>
      </c>
      <c r="L3061" t="s">
        <v>1693</v>
      </c>
      <c r="M3061" t="s">
        <v>57</v>
      </c>
      <c r="N3061" t="str">
        <f t="shared" si="1"/>
        <v>000136</v>
      </c>
      <c r="O3061" t="s">
        <v>2853</v>
      </c>
      <c r="P3061" t="s">
        <v>68</v>
      </c>
      <c r="Q3061" t="s">
        <v>68</v>
      </c>
      <c r="R3061" t="s">
        <v>68</v>
      </c>
      <c r="S3061" t="s">
        <v>217</v>
      </c>
    </row>
    <row r="3062" spans="1:19" x14ac:dyDescent="0.35">
      <c r="A3062">
        <v>52910</v>
      </c>
      <c r="B3062" t="str">
        <f>"052910"</f>
        <v>052910</v>
      </c>
      <c r="C3062" t="s">
        <v>9609</v>
      </c>
      <c r="D3062" t="s">
        <v>3398</v>
      </c>
      <c r="E3062" t="s">
        <v>9538</v>
      </c>
      <c r="F3062" t="s">
        <v>3396</v>
      </c>
      <c r="G3062" t="s">
        <v>600</v>
      </c>
      <c r="H3062" t="s">
        <v>9610</v>
      </c>
      <c r="I3062" t="s">
        <v>9611</v>
      </c>
      <c r="J3062" t="s">
        <v>2536</v>
      </c>
      <c r="K3062" t="s">
        <v>55</v>
      </c>
      <c r="L3062" t="s">
        <v>2537</v>
      </c>
      <c r="M3062" t="s">
        <v>57</v>
      </c>
      <c r="N3062" t="str">
        <f t="shared" si="1"/>
        <v>000136</v>
      </c>
      <c r="O3062" t="s">
        <v>2853</v>
      </c>
      <c r="P3062" t="s">
        <v>68</v>
      </c>
      <c r="Q3062" t="s">
        <v>68</v>
      </c>
      <c r="R3062" t="s">
        <v>68</v>
      </c>
      <c r="S3062" t="s">
        <v>60</v>
      </c>
    </row>
    <row r="3063" spans="1:19" x14ac:dyDescent="0.35">
      <c r="A3063">
        <v>52910</v>
      </c>
      <c r="B3063" t="str">
        <f>"052910"</f>
        <v>052910</v>
      </c>
      <c r="C3063" t="s">
        <v>9609</v>
      </c>
      <c r="D3063" t="s">
        <v>9541</v>
      </c>
      <c r="E3063" t="s">
        <v>9538</v>
      </c>
      <c r="F3063" t="s">
        <v>3396</v>
      </c>
      <c r="G3063" t="s">
        <v>600</v>
      </c>
      <c r="H3063" t="s">
        <v>9610</v>
      </c>
      <c r="I3063" t="s">
        <v>9611</v>
      </c>
      <c r="J3063" t="s">
        <v>2536</v>
      </c>
      <c r="K3063" t="s">
        <v>55</v>
      </c>
      <c r="L3063" t="s">
        <v>2537</v>
      </c>
      <c r="M3063" t="s">
        <v>57</v>
      </c>
      <c r="N3063" t="str">
        <f t="shared" si="1"/>
        <v>000136</v>
      </c>
      <c r="O3063" t="s">
        <v>2853</v>
      </c>
      <c r="P3063" t="s">
        <v>68</v>
      </c>
      <c r="Q3063" t="s">
        <v>68</v>
      </c>
      <c r="R3063" t="s">
        <v>68</v>
      </c>
      <c r="S3063" t="s">
        <v>60</v>
      </c>
    </row>
    <row r="3064" spans="1:19" x14ac:dyDescent="0.35">
      <c r="A3064">
        <v>52928</v>
      </c>
      <c r="B3064" t="str">
        <f>"052928"</f>
        <v>052928</v>
      </c>
      <c r="C3064" t="s">
        <v>9612</v>
      </c>
      <c r="D3064" t="s">
        <v>3398</v>
      </c>
      <c r="E3064" t="s">
        <v>9538</v>
      </c>
      <c r="F3064" t="s">
        <v>3396</v>
      </c>
      <c r="G3064" t="s">
        <v>600</v>
      </c>
      <c r="H3064" t="s">
        <v>9613</v>
      </c>
      <c r="I3064" t="s">
        <v>9614</v>
      </c>
      <c r="J3064" t="s">
        <v>1348</v>
      </c>
      <c r="K3064" t="s">
        <v>55</v>
      </c>
      <c r="L3064" t="s">
        <v>3161</v>
      </c>
      <c r="M3064" t="s">
        <v>57</v>
      </c>
      <c r="N3064" t="str">
        <f t="shared" si="1"/>
        <v>000136</v>
      </c>
      <c r="O3064" t="s">
        <v>2853</v>
      </c>
      <c r="P3064" t="s">
        <v>68</v>
      </c>
      <c r="Q3064" t="s">
        <v>68</v>
      </c>
      <c r="R3064" t="s">
        <v>68</v>
      </c>
      <c r="S3064" t="s">
        <v>60</v>
      </c>
    </row>
    <row r="3065" spans="1:19" x14ac:dyDescent="0.35">
      <c r="A3065">
        <v>52928</v>
      </c>
      <c r="B3065" t="str">
        <f>"052928"</f>
        <v>052928</v>
      </c>
      <c r="C3065" t="s">
        <v>9612</v>
      </c>
      <c r="D3065" t="s">
        <v>9541</v>
      </c>
      <c r="E3065" t="s">
        <v>9538</v>
      </c>
      <c r="F3065" t="s">
        <v>3396</v>
      </c>
      <c r="G3065" t="s">
        <v>600</v>
      </c>
      <c r="H3065" t="s">
        <v>9613</v>
      </c>
      <c r="I3065" t="s">
        <v>9614</v>
      </c>
      <c r="J3065" t="s">
        <v>1348</v>
      </c>
      <c r="K3065" t="s">
        <v>55</v>
      </c>
      <c r="L3065" t="s">
        <v>3161</v>
      </c>
      <c r="M3065" t="s">
        <v>57</v>
      </c>
      <c r="N3065" t="str">
        <f t="shared" si="1"/>
        <v>000136</v>
      </c>
      <c r="O3065" t="s">
        <v>2853</v>
      </c>
      <c r="P3065" t="s">
        <v>68</v>
      </c>
      <c r="Q3065" t="s">
        <v>68</v>
      </c>
      <c r="R3065" t="s">
        <v>68</v>
      </c>
      <c r="S3065" t="s">
        <v>60</v>
      </c>
    </row>
    <row r="3066" spans="1:19" x14ac:dyDescent="0.35">
      <c r="A3066">
        <v>52936</v>
      </c>
      <c r="B3066" t="str">
        <f>"052936"</f>
        <v>052936</v>
      </c>
      <c r="C3066" t="s">
        <v>9615</v>
      </c>
      <c r="D3066" t="s">
        <v>3398</v>
      </c>
      <c r="E3066" t="s">
        <v>9538</v>
      </c>
      <c r="F3066" t="s">
        <v>3396</v>
      </c>
      <c r="G3066" t="s">
        <v>543</v>
      </c>
      <c r="H3066" t="s">
        <v>9616</v>
      </c>
      <c r="I3066" t="s">
        <v>9617</v>
      </c>
      <c r="J3066" t="s">
        <v>1858</v>
      </c>
      <c r="K3066" t="s">
        <v>55</v>
      </c>
      <c r="L3066" t="s">
        <v>1859</v>
      </c>
      <c r="M3066" t="s">
        <v>57</v>
      </c>
      <c r="N3066" t="str">
        <f>"052571"</f>
        <v>052571</v>
      </c>
      <c r="O3066" t="s">
        <v>2843</v>
      </c>
      <c r="P3066" t="s">
        <v>68</v>
      </c>
      <c r="Q3066" t="s">
        <v>68</v>
      </c>
      <c r="R3066" t="s">
        <v>68</v>
      </c>
      <c r="S3066" t="s">
        <v>180</v>
      </c>
    </row>
    <row r="3067" spans="1:19" x14ac:dyDescent="0.35">
      <c r="A3067">
        <v>52951</v>
      </c>
      <c r="B3067" t="str">
        <f>"052951"</f>
        <v>052951</v>
      </c>
      <c r="C3067" t="s">
        <v>9618</v>
      </c>
      <c r="D3067" t="s">
        <v>3398</v>
      </c>
      <c r="E3067" t="s">
        <v>9538</v>
      </c>
      <c r="F3067" t="s">
        <v>3396</v>
      </c>
      <c r="G3067" t="s">
        <v>212</v>
      </c>
      <c r="H3067" t="s">
        <v>9619</v>
      </c>
      <c r="I3067" t="s">
        <v>9620</v>
      </c>
      <c r="J3067" t="s">
        <v>215</v>
      </c>
      <c r="K3067" t="s">
        <v>55</v>
      </c>
      <c r="L3067" t="s">
        <v>9621</v>
      </c>
      <c r="M3067" t="s">
        <v>57</v>
      </c>
      <c r="N3067" t="str">
        <f>"052514"</f>
        <v>052514</v>
      </c>
      <c r="O3067" t="s">
        <v>2465</v>
      </c>
      <c r="P3067" t="s">
        <v>68</v>
      </c>
      <c r="Q3067" t="s">
        <v>68</v>
      </c>
      <c r="R3067" t="s">
        <v>68</v>
      </c>
      <c r="S3067" t="s">
        <v>217</v>
      </c>
    </row>
    <row r="3068" spans="1:19" x14ac:dyDescent="0.35">
      <c r="A3068">
        <v>52969</v>
      </c>
      <c r="B3068" t="str">
        <f>"052969"</f>
        <v>052969</v>
      </c>
      <c r="C3068" t="s">
        <v>9622</v>
      </c>
      <c r="D3068" t="s">
        <v>3398</v>
      </c>
      <c r="E3068" t="s">
        <v>9538</v>
      </c>
      <c r="F3068" t="s">
        <v>3396</v>
      </c>
      <c r="G3068" t="s">
        <v>143</v>
      </c>
      <c r="H3068" t="s">
        <v>9623</v>
      </c>
      <c r="I3068" t="s">
        <v>9624</v>
      </c>
      <c r="J3068" t="s">
        <v>528</v>
      </c>
      <c r="K3068" t="s">
        <v>55</v>
      </c>
      <c r="L3068" t="s">
        <v>529</v>
      </c>
      <c r="M3068" t="s">
        <v>57</v>
      </c>
      <c r="N3068" t="str">
        <f>"052522"</f>
        <v>052522</v>
      </c>
      <c r="O3068" t="s">
        <v>605</v>
      </c>
      <c r="P3068" t="s">
        <v>68</v>
      </c>
      <c r="Q3068" t="s">
        <v>68</v>
      </c>
      <c r="R3068" t="s">
        <v>68</v>
      </c>
      <c r="S3068" t="s">
        <v>69</v>
      </c>
    </row>
    <row r="3069" spans="1:19" x14ac:dyDescent="0.35">
      <c r="A3069">
        <v>52977</v>
      </c>
      <c r="B3069" t="str">
        <f>"052977"</f>
        <v>052977</v>
      </c>
      <c r="C3069" t="s">
        <v>9625</v>
      </c>
      <c r="D3069" t="s">
        <v>3398</v>
      </c>
      <c r="E3069" t="s">
        <v>9538</v>
      </c>
      <c r="F3069" t="s">
        <v>3396</v>
      </c>
      <c r="G3069" t="s">
        <v>172</v>
      </c>
      <c r="H3069" t="s">
        <v>9626</v>
      </c>
      <c r="I3069" t="s">
        <v>9627</v>
      </c>
      <c r="J3069" t="s">
        <v>600</v>
      </c>
      <c r="K3069" t="s">
        <v>55</v>
      </c>
      <c r="L3069" t="s">
        <v>939</v>
      </c>
      <c r="M3069" t="s">
        <v>57</v>
      </c>
      <c r="N3069" t="str">
        <f>"052514"</f>
        <v>052514</v>
      </c>
      <c r="O3069" t="s">
        <v>2465</v>
      </c>
      <c r="P3069" t="s">
        <v>68</v>
      </c>
      <c r="Q3069" t="s">
        <v>68</v>
      </c>
      <c r="R3069" t="s">
        <v>68</v>
      </c>
      <c r="S3069" t="s">
        <v>217</v>
      </c>
    </row>
    <row r="3070" spans="1:19" x14ac:dyDescent="0.35">
      <c r="A3070">
        <v>52985</v>
      </c>
      <c r="B3070" t="str">
        <f>"052985"</f>
        <v>052985</v>
      </c>
      <c r="C3070" t="s">
        <v>9628</v>
      </c>
      <c r="D3070" t="s">
        <v>3398</v>
      </c>
      <c r="E3070" t="s">
        <v>9538</v>
      </c>
      <c r="F3070" t="s">
        <v>3396</v>
      </c>
      <c r="G3070" t="s">
        <v>233</v>
      </c>
      <c r="H3070" t="s">
        <v>9629</v>
      </c>
      <c r="I3070" t="s">
        <v>9630</v>
      </c>
      <c r="J3070" t="s">
        <v>2713</v>
      </c>
      <c r="K3070" t="s">
        <v>55</v>
      </c>
      <c r="L3070" t="s">
        <v>2714</v>
      </c>
      <c r="M3070" t="s">
        <v>57</v>
      </c>
      <c r="N3070" t="str">
        <f>"000136"</f>
        <v>000136</v>
      </c>
      <c r="O3070" t="s">
        <v>2853</v>
      </c>
      <c r="P3070" t="s">
        <v>68</v>
      </c>
      <c r="Q3070" t="s">
        <v>68</v>
      </c>
      <c r="R3070" t="s">
        <v>68</v>
      </c>
      <c r="S3070" t="s">
        <v>130</v>
      </c>
    </row>
    <row r="3071" spans="1:19" x14ac:dyDescent="0.35">
      <c r="A3071">
        <v>52993</v>
      </c>
      <c r="B3071" t="str">
        <f>"052993"</f>
        <v>052993</v>
      </c>
      <c r="C3071" t="s">
        <v>9631</v>
      </c>
      <c r="D3071" t="s">
        <v>3398</v>
      </c>
      <c r="E3071" t="s">
        <v>9538</v>
      </c>
      <c r="F3071" t="s">
        <v>3396</v>
      </c>
      <c r="G3071" t="s">
        <v>63</v>
      </c>
      <c r="H3071" t="s">
        <v>9632</v>
      </c>
      <c r="I3071" t="s">
        <v>9633</v>
      </c>
      <c r="J3071" t="s">
        <v>5411</v>
      </c>
      <c r="K3071" t="s">
        <v>55</v>
      </c>
      <c r="L3071" t="s">
        <v>5412</v>
      </c>
      <c r="M3071" t="s">
        <v>57</v>
      </c>
      <c r="N3071" t="str">
        <f>"000136"</f>
        <v>000136</v>
      </c>
      <c r="O3071" t="s">
        <v>2853</v>
      </c>
      <c r="P3071" t="s">
        <v>68</v>
      </c>
      <c r="Q3071" t="s">
        <v>68</v>
      </c>
      <c r="R3071" t="s">
        <v>68</v>
      </c>
      <c r="S3071" t="s">
        <v>69</v>
      </c>
    </row>
    <row r="3072" spans="1:19" x14ac:dyDescent="0.35">
      <c r="A3072">
        <v>53009</v>
      </c>
      <c r="B3072" t="str">
        <f>"053009"</f>
        <v>053009</v>
      </c>
      <c r="C3072" t="s">
        <v>9634</v>
      </c>
      <c r="D3072" t="s">
        <v>3398</v>
      </c>
      <c r="E3072" t="s">
        <v>9538</v>
      </c>
      <c r="F3072" t="s">
        <v>3396</v>
      </c>
      <c r="G3072" t="s">
        <v>212</v>
      </c>
      <c r="H3072" t="s">
        <v>9635</v>
      </c>
      <c r="I3072" t="s">
        <v>9636</v>
      </c>
      <c r="J3072" t="s">
        <v>215</v>
      </c>
      <c r="K3072" t="s">
        <v>55</v>
      </c>
      <c r="L3072" t="s">
        <v>2468</v>
      </c>
      <c r="M3072" t="s">
        <v>57</v>
      </c>
      <c r="N3072" t="str">
        <f>"053009"</f>
        <v>053009</v>
      </c>
      <c r="O3072" t="s">
        <v>9634</v>
      </c>
      <c r="P3072" t="s">
        <v>68</v>
      </c>
      <c r="Q3072" t="s">
        <v>68</v>
      </c>
      <c r="R3072" t="s">
        <v>68</v>
      </c>
      <c r="S3072" t="s">
        <v>217</v>
      </c>
    </row>
    <row r="3073" spans="1:19" x14ac:dyDescent="0.35">
      <c r="A3073">
        <v>53033</v>
      </c>
      <c r="B3073" t="str">
        <f>"053033"</f>
        <v>053033</v>
      </c>
      <c r="C3073" t="s">
        <v>9637</v>
      </c>
      <c r="D3073" t="s">
        <v>3398</v>
      </c>
      <c r="E3073" t="s">
        <v>9538</v>
      </c>
      <c r="F3073" t="s">
        <v>3396</v>
      </c>
      <c r="G3073" t="s">
        <v>63</v>
      </c>
      <c r="H3073" t="s">
        <v>9638</v>
      </c>
      <c r="I3073" t="s">
        <v>9639</v>
      </c>
      <c r="J3073" t="s">
        <v>101</v>
      </c>
      <c r="K3073" t="s">
        <v>55</v>
      </c>
      <c r="L3073" t="s">
        <v>3032</v>
      </c>
      <c r="M3073" t="s">
        <v>57</v>
      </c>
      <c r="N3073" t="str">
        <f>"000136"</f>
        <v>000136</v>
      </c>
      <c r="O3073" t="s">
        <v>2853</v>
      </c>
      <c r="P3073" t="s">
        <v>68</v>
      </c>
      <c r="Q3073" t="s">
        <v>68</v>
      </c>
      <c r="R3073" t="s">
        <v>68</v>
      </c>
      <c r="S3073" t="s">
        <v>69</v>
      </c>
    </row>
    <row r="3074" spans="1:19" x14ac:dyDescent="0.35">
      <c r="A3074">
        <v>53033</v>
      </c>
      <c r="B3074" t="str">
        <f>"053033"</f>
        <v>053033</v>
      </c>
      <c r="C3074" t="s">
        <v>9637</v>
      </c>
      <c r="D3074" t="s">
        <v>9541</v>
      </c>
      <c r="E3074" t="s">
        <v>9538</v>
      </c>
      <c r="F3074" t="s">
        <v>3396</v>
      </c>
      <c r="G3074" t="s">
        <v>63</v>
      </c>
      <c r="H3074" t="s">
        <v>9638</v>
      </c>
      <c r="I3074" t="s">
        <v>9639</v>
      </c>
      <c r="J3074" t="s">
        <v>101</v>
      </c>
      <c r="K3074" t="s">
        <v>55</v>
      </c>
      <c r="L3074" t="s">
        <v>3032</v>
      </c>
      <c r="M3074" t="s">
        <v>57</v>
      </c>
      <c r="N3074" t="str">
        <f>"000136"</f>
        <v>000136</v>
      </c>
      <c r="O3074" t="s">
        <v>2853</v>
      </c>
      <c r="P3074" t="s">
        <v>68</v>
      </c>
      <c r="Q3074" t="s">
        <v>68</v>
      </c>
      <c r="R3074" t="s">
        <v>68</v>
      </c>
      <c r="S3074" t="s">
        <v>69</v>
      </c>
    </row>
    <row r="3075" spans="1:19" x14ac:dyDescent="0.35">
      <c r="A3075">
        <v>53041</v>
      </c>
      <c r="B3075" t="str">
        <f>"053041"</f>
        <v>053041</v>
      </c>
      <c r="C3075" t="s">
        <v>9640</v>
      </c>
      <c r="D3075" t="s">
        <v>3398</v>
      </c>
      <c r="E3075" t="s">
        <v>9538</v>
      </c>
      <c r="F3075" t="s">
        <v>3396</v>
      </c>
      <c r="G3075" t="s">
        <v>511</v>
      </c>
      <c r="H3075" t="s">
        <v>9641</v>
      </c>
      <c r="I3075" t="s">
        <v>9642</v>
      </c>
      <c r="J3075" t="s">
        <v>2044</v>
      </c>
      <c r="K3075" t="s">
        <v>55</v>
      </c>
      <c r="L3075" t="s">
        <v>2045</v>
      </c>
      <c r="M3075" t="s">
        <v>57</v>
      </c>
      <c r="N3075" t="str">
        <f>"000136"</f>
        <v>000136</v>
      </c>
      <c r="O3075" t="s">
        <v>2853</v>
      </c>
      <c r="P3075" t="s">
        <v>68</v>
      </c>
      <c r="Q3075" t="s">
        <v>68</v>
      </c>
      <c r="R3075" t="s">
        <v>68</v>
      </c>
      <c r="S3075" t="s">
        <v>69</v>
      </c>
    </row>
    <row r="3076" spans="1:19" x14ac:dyDescent="0.35">
      <c r="A3076">
        <v>53041</v>
      </c>
      <c r="B3076" t="str">
        <f>"053041"</f>
        <v>053041</v>
      </c>
      <c r="C3076" t="s">
        <v>9640</v>
      </c>
      <c r="D3076" t="s">
        <v>9541</v>
      </c>
      <c r="E3076" t="s">
        <v>9538</v>
      </c>
      <c r="F3076" t="s">
        <v>3396</v>
      </c>
      <c r="G3076" t="s">
        <v>511</v>
      </c>
      <c r="H3076" t="s">
        <v>9641</v>
      </c>
      <c r="I3076" t="s">
        <v>9642</v>
      </c>
      <c r="J3076" t="s">
        <v>2044</v>
      </c>
      <c r="K3076" t="s">
        <v>55</v>
      </c>
      <c r="L3076" t="s">
        <v>2045</v>
      </c>
      <c r="M3076" t="s">
        <v>57</v>
      </c>
      <c r="N3076" t="str">
        <f>"000136"</f>
        <v>000136</v>
      </c>
      <c r="O3076" t="s">
        <v>2853</v>
      </c>
      <c r="P3076" t="s">
        <v>68</v>
      </c>
      <c r="Q3076" t="s">
        <v>68</v>
      </c>
      <c r="R3076" t="s">
        <v>68</v>
      </c>
      <c r="S3076" t="s">
        <v>69</v>
      </c>
    </row>
    <row r="3077" spans="1:19" x14ac:dyDescent="0.35">
      <c r="A3077">
        <v>53058</v>
      </c>
      <c r="B3077" t="str">
        <f>"053058"</f>
        <v>053058</v>
      </c>
      <c r="C3077" t="s">
        <v>9643</v>
      </c>
      <c r="D3077" t="s">
        <v>3398</v>
      </c>
      <c r="E3077" t="s">
        <v>9538</v>
      </c>
      <c r="F3077" t="s">
        <v>3396</v>
      </c>
      <c r="G3077" t="s">
        <v>63</v>
      </c>
      <c r="H3077" t="s">
        <v>9644</v>
      </c>
      <c r="I3077" t="s">
        <v>9645</v>
      </c>
      <c r="J3077" t="s">
        <v>1844</v>
      </c>
      <c r="K3077" t="s">
        <v>55</v>
      </c>
      <c r="L3077" t="s">
        <v>1636</v>
      </c>
      <c r="M3077" t="s">
        <v>57</v>
      </c>
      <c r="N3077" t="str">
        <f>"135335"</f>
        <v>135335</v>
      </c>
      <c r="O3077" t="s">
        <v>1841</v>
      </c>
      <c r="P3077" t="s">
        <v>68</v>
      </c>
      <c r="Q3077" t="s">
        <v>68</v>
      </c>
      <c r="R3077" t="s">
        <v>68</v>
      </c>
      <c r="S3077" t="s">
        <v>69</v>
      </c>
    </row>
    <row r="3078" spans="1:19" x14ac:dyDescent="0.35">
      <c r="A3078">
        <v>53082</v>
      </c>
      <c r="B3078" t="str">
        <f>"053082"</f>
        <v>053082</v>
      </c>
      <c r="C3078" t="s">
        <v>9646</v>
      </c>
      <c r="D3078" t="s">
        <v>3398</v>
      </c>
      <c r="E3078" t="s">
        <v>9538</v>
      </c>
      <c r="F3078" t="s">
        <v>3396</v>
      </c>
      <c r="G3078" t="s">
        <v>572</v>
      </c>
      <c r="H3078" t="s">
        <v>9647</v>
      </c>
      <c r="I3078" t="s">
        <v>9648</v>
      </c>
      <c r="J3078" t="s">
        <v>2954</v>
      </c>
      <c r="K3078" t="s">
        <v>55</v>
      </c>
      <c r="L3078" t="s">
        <v>2955</v>
      </c>
      <c r="M3078" t="s">
        <v>57</v>
      </c>
      <c r="N3078" t="str">
        <f>"052514"</f>
        <v>052514</v>
      </c>
      <c r="O3078" t="s">
        <v>2465</v>
      </c>
      <c r="P3078" t="s">
        <v>68</v>
      </c>
      <c r="Q3078" t="s">
        <v>68</v>
      </c>
      <c r="R3078" t="s">
        <v>68</v>
      </c>
      <c r="S3078" t="s">
        <v>180</v>
      </c>
    </row>
    <row r="3079" spans="1:19" x14ac:dyDescent="0.35">
      <c r="A3079">
        <v>53116</v>
      </c>
      <c r="B3079" t="str">
        <f>"053116"</f>
        <v>053116</v>
      </c>
      <c r="C3079" t="s">
        <v>9649</v>
      </c>
      <c r="D3079" t="s">
        <v>3398</v>
      </c>
      <c r="E3079" t="s">
        <v>9538</v>
      </c>
      <c r="F3079" t="s">
        <v>3396</v>
      </c>
      <c r="G3079" t="s">
        <v>71</v>
      </c>
      <c r="H3079" t="s">
        <v>9650</v>
      </c>
      <c r="I3079" t="s">
        <v>9651</v>
      </c>
      <c r="J3079" t="s">
        <v>447</v>
      </c>
      <c r="K3079" t="s">
        <v>55</v>
      </c>
      <c r="L3079" t="s">
        <v>448</v>
      </c>
      <c r="M3079" t="s">
        <v>57</v>
      </c>
      <c r="N3079" t="str">
        <f>"052530"</f>
        <v>052530</v>
      </c>
      <c r="O3079" t="s">
        <v>2009</v>
      </c>
      <c r="P3079" t="s">
        <v>68</v>
      </c>
      <c r="Q3079" t="s">
        <v>68</v>
      </c>
      <c r="R3079" t="s">
        <v>68</v>
      </c>
      <c r="S3079" t="s">
        <v>77</v>
      </c>
    </row>
    <row r="3080" spans="1:19" x14ac:dyDescent="0.35">
      <c r="A3080">
        <v>53124</v>
      </c>
      <c r="B3080" t="str">
        <f>"053124"</f>
        <v>053124</v>
      </c>
      <c r="C3080" t="s">
        <v>9652</v>
      </c>
      <c r="D3080" t="s">
        <v>3398</v>
      </c>
      <c r="E3080" t="s">
        <v>9538</v>
      </c>
      <c r="F3080" t="s">
        <v>3396</v>
      </c>
      <c r="G3080" t="s">
        <v>169</v>
      </c>
      <c r="H3080" t="s">
        <v>9653</v>
      </c>
      <c r="I3080" t="s">
        <v>9654</v>
      </c>
      <c r="J3080" t="s">
        <v>172</v>
      </c>
      <c r="K3080" t="s">
        <v>55</v>
      </c>
      <c r="L3080" t="s">
        <v>1097</v>
      </c>
      <c r="M3080" t="s">
        <v>57</v>
      </c>
      <c r="N3080" t="str">
        <f>"052563"</f>
        <v>052563</v>
      </c>
      <c r="O3080" t="s">
        <v>1399</v>
      </c>
      <c r="P3080" t="s">
        <v>68</v>
      </c>
      <c r="Q3080" t="s">
        <v>68</v>
      </c>
      <c r="R3080" t="s">
        <v>68</v>
      </c>
      <c r="S3080" t="s">
        <v>77</v>
      </c>
    </row>
    <row r="3081" spans="1:19" x14ac:dyDescent="0.35">
      <c r="A3081">
        <v>53140</v>
      </c>
      <c r="B3081" t="str">
        <f>"053140"</f>
        <v>053140</v>
      </c>
      <c r="C3081" t="s">
        <v>9655</v>
      </c>
      <c r="D3081" t="s">
        <v>3398</v>
      </c>
      <c r="E3081" t="s">
        <v>9538</v>
      </c>
      <c r="F3081" t="s">
        <v>3396</v>
      </c>
      <c r="G3081" t="s">
        <v>212</v>
      </c>
      <c r="H3081" t="s">
        <v>9656</v>
      </c>
      <c r="I3081" t="s">
        <v>9657</v>
      </c>
      <c r="J3081" t="s">
        <v>215</v>
      </c>
      <c r="K3081" t="s">
        <v>55</v>
      </c>
      <c r="L3081" t="s">
        <v>614</v>
      </c>
      <c r="M3081" t="s">
        <v>57</v>
      </c>
      <c r="N3081" t="str">
        <f>"052514"</f>
        <v>052514</v>
      </c>
      <c r="O3081" t="s">
        <v>2465</v>
      </c>
      <c r="P3081" t="s">
        <v>68</v>
      </c>
      <c r="Q3081" t="s">
        <v>68</v>
      </c>
      <c r="R3081" t="s">
        <v>68</v>
      </c>
      <c r="S3081" t="s">
        <v>217</v>
      </c>
    </row>
    <row r="3082" spans="1:19" x14ac:dyDescent="0.35">
      <c r="A3082">
        <v>53165</v>
      </c>
      <c r="B3082" t="str">
        <f>"053165"</f>
        <v>053165</v>
      </c>
      <c r="C3082" t="s">
        <v>9658</v>
      </c>
      <c r="D3082" t="s">
        <v>3398</v>
      </c>
      <c r="E3082" t="s">
        <v>9538</v>
      </c>
      <c r="F3082" t="s">
        <v>3396</v>
      </c>
      <c r="G3082" t="s">
        <v>1193</v>
      </c>
      <c r="H3082" t="s">
        <v>9659</v>
      </c>
      <c r="I3082" t="s">
        <v>9660</v>
      </c>
      <c r="J3082" t="s">
        <v>1196</v>
      </c>
      <c r="K3082" t="s">
        <v>55</v>
      </c>
      <c r="L3082" t="s">
        <v>9149</v>
      </c>
      <c r="M3082" t="s">
        <v>57</v>
      </c>
      <c r="N3082" t="str">
        <f>"052555"</f>
        <v>052555</v>
      </c>
      <c r="O3082" t="s">
        <v>3167</v>
      </c>
      <c r="P3082" t="s">
        <v>68</v>
      </c>
      <c r="Q3082" t="s">
        <v>68</v>
      </c>
      <c r="R3082" t="s">
        <v>68</v>
      </c>
      <c r="S3082" t="s">
        <v>156</v>
      </c>
    </row>
    <row r="3083" spans="1:19" x14ac:dyDescent="0.35">
      <c r="A3083">
        <v>53199</v>
      </c>
      <c r="B3083" t="str">
        <f>"053199"</f>
        <v>053199</v>
      </c>
      <c r="C3083" t="s">
        <v>9661</v>
      </c>
      <c r="D3083" t="s">
        <v>3398</v>
      </c>
      <c r="E3083" t="s">
        <v>9538</v>
      </c>
      <c r="F3083" t="s">
        <v>3396</v>
      </c>
      <c r="G3083" t="s">
        <v>63</v>
      </c>
      <c r="H3083" t="s">
        <v>9662</v>
      </c>
      <c r="I3083" t="s">
        <v>9663</v>
      </c>
      <c r="J3083" t="s">
        <v>1844</v>
      </c>
      <c r="K3083" t="s">
        <v>55</v>
      </c>
      <c r="L3083" t="s">
        <v>1636</v>
      </c>
      <c r="M3083" t="s">
        <v>57</v>
      </c>
      <c r="N3083" t="str">
        <f>"053199"</f>
        <v>053199</v>
      </c>
      <c r="O3083" t="s">
        <v>9661</v>
      </c>
      <c r="P3083" t="s">
        <v>68</v>
      </c>
      <c r="Q3083" t="s">
        <v>68</v>
      </c>
      <c r="R3083" t="s">
        <v>68</v>
      </c>
      <c r="S3083" t="s">
        <v>69</v>
      </c>
    </row>
    <row r="3084" spans="1:19" x14ac:dyDescent="0.35">
      <c r="A3084">
        <v>53207</v>
      </c>
      <c r="B3084" t="str">
        <f>"053207"</f>
        <v>053207</v>
      </c>
      <c r="C3084" t="s">
        <v>9664</v>
      </c>
      <c r="D3084" t="s">
        <v>3398</v>
      </c>
      <c r="E3084" t="s">
        <v>9538</v>
      </c>
      <c r="F3084" t="s">
        <v>3396</v>
      </c>
      <c r="G3084" t="s">
        <v>63</v>
      </c>
      <c r="H3084" t="s">
        <v>9665</v>
      </c>
      <c r="I3084" t="s">
        <v>9666</v>
      </c>
      <c r="J3084" t="s">
        <v>871</v>
      </c>
      <c r="K3084" t="s">
        <v>55</v>
      </c>
      <c r="L3084" t="s">
        <v>872</v>
      </c>
      <c r="M3084" t="s">
        <v>57</v>
      </c>
      <c r="N3084" t="str">
        <f>"053207"</f>
        <v>053207</v>
      </c>
      <c r="O3084" t="s">
        <v>9664</v>
      </c>
      <c r="P3084" t="s">
        <v>68</v>
      </c>
      <c r="Q3084" t="s">
        <v>68</v>
      </c>
      <c r="R3084" t="s">
        <v>68</v>
      </c>
      <c r="S3084" t="s">
        <v>69</v>
      </c>
    </row>
    <row r="3085" spans="1:19" x14ac:dyDescent="0.35">
      <c r="A3085">
        <v>53215</v>
      </c>
      <c r="B3085" t="str">
        <f>"053215"</f>
        <v>053215</v>
      </c>
      <c r="C3085" t="s">
        <v>9667</v>
      </c>
      <c r="D3085" t="s">
        <v>3398</v>
      </c>
      <c r="E3085" t="s">
        <v>9538</v>
      </c>
      <c r="F3085" t="s">
        <v>3396</v>
      </c>
      <c r="G3085" t="s">
        <v>63</v>
      </c>
      <c r="H3085" t="s">
        <v>9668</v>
      </c>
      <c r="I3085" t="s">
        <v>9669</v>
      </c>
      <c r="J3085" t="s">
        <v>871</v>
      </c>
      <c r="K3085" t="s">
        <v>55</v>
      </c>
      <c r="L3085" t="s">
        <v>872</v>
      </c>
      <c r="M3085" t="s">
        <v>57</v>
      </c>
      <c r="N3085" t="str">
        <f>"052522"</f>
        <v>052522</v>
      </c>
      <c r="O3085" t="s">
        <v>605</v>
      </c>
      <c r="P3085" t="s">
        <v>68</v>
      </c>
      <c r="Q3085" t="s">
        <v>68</v>
      </c>
      <c r="R3085" t="s">
        <v>68</v>
      </c>
      <c r="S3085" t="s">
        <v>69</v>
      </c>
    </row>
    <row r="3086" spans="1:19" x14ac:dyDescent="0.35">
      <c r="A3086">
        <v>53256</v>
      </c>
      <c r="B3086" t="str">
        <f>"053256"</f>
        <v>053256</v>
      </c>
      <c r="C3086" t="s">
        <v>9670</v>
      </c>
      <c r="D3086" t="s">
        <v>3398</v>
      </c>
      <c r="E3086" t="s">
        <v>9538</v>
      </c>
      <c r="F3086" t="s">
        <v>3396</v>
      </c>
      <c r="G3086" t="s">
        <v>63</v>
      </c>
      <c r="H3086" t="s">
        <v>9671</v>
      </c>
      <c r="I3086" t="s">
        <v>9672</v>
      </c>
      <c r="J3086" t="s">
        <v>2834</v>
      </c>
      <c r="K3086" t="s">
        <v>55</v>
      </c>
      <c r="L3086" t="s">
        <v>508</v>
      </c>
      <c r="M3086" t="s">
        <v>57</v>
      </c>
      <c r="N3086" t="str">
        <f>"052522"</f>
        <v>052522</v>
      </c>
      <c r="O3086" t="s">
        <v>605</v>
      </c>
      <c r="P3086" t="s">
        <v>68</v>
      </c>
      <c r="Q3086" t="s">
        <v>68</v>
      </c>
      <c r="R3086" t="s">
        <v>68</v>
      </c>
      <c r="S3086" t="s">
        <v>69</v>
      </c>
    </row>
    <row r="3087" spans="1:19" x14ac:dyDescent="0.35">
      <c r="A3087">
        <v>53272</v>
      </c>
      <c r="B3087" t="str">
        <f>"053272"</f>
        <v>053272</v>
      </c>
      <c r="C3087" t="s">
        <v>9673</v>
      </c>
      <c r="D3087" t="s">
        <v>3398</v>
      </c>
      <c r="E3087" t="s">
        <v>9538</v>
      </c>
      <c r="F3087" t="s">
        <v>3396</v>
      </c>
      <c r="G3087" t="s">
        <v>212</v>
      </c>
      <c r="H3087" t="s">
        <v>9674</v>
      </c>
      <c r="I3087" t="s">
        <v>9675</v>
      </c>
      <c r="J3087" t="s">
        <v>215</v>
      </c>
      <c r="K3087" t="s">
        <v>55</v>
      </c>
      <c r="L3087" t="s">
        <v>4487</v>
      </c>
      <c r="M3087" t="s">
        <v>57</v>
      </c>
      <c r="N3087" t="str">
        <f>"052514"</f>
        <v>052514</v>
      </c>
      <c r="O3087" t="s">
        <v>2465</v>
      </c>
      <c r="P3087" t="s">
        <v>68</v>
      </c>
      <c r="Q3087" t="s">
        <v>68</v>
      </c>
      <c r="R3087" t="s">
        <v>68</v>
      </c>
      <c r="S3087" t="s">
        <v>217</v>
      </c>
    </row>
    <row r="3088" spans="1:19" x14ac:dyDescent="0.35">
      <c r="A3088">
        <v>53298</v>
      </c>
      <c r="B3088" t="str">
        <f>"053298"</f>
        <v>053298</v>
      </c>
      <c r="C3088" t="s">
        <v>9676</v>
      </c>
      <c r="D3088" t="s">
        <v>3398</v>
      </c>
      <c r="E3088" t="s">
        <v>9538</v>
      </c>
      <c r="F3088" t="s">
        <v>3396</v>
      </c>
      <c r="G3088" t="s">
        <v>212</v>
      </c>
      <c r="H3088" t="s">
        <v>9677</v>
      </c>
      <c r="I3088" t="s">
        <v>9678</v>
      </c>
      <c r="J3088" t="s">
        <v>215</v>
      </c>
      <c r="K3088" t="s">
        <v>55</v>
      </c>
      <c r="L3088" t="s">
        <v>6589</v>
      </c>
      <c r="M3088" t="s">
        <v>57</v>
      </c>
      <c r="N3088" t="str">
        <f>"052514"</f>
        <v>052514</v>
      </c>
      <c r="O3088" t="s">
        <v>2465</v>
      </c>
      <c r="P3088" t="s">
        <v>68</v>
      </c>
      <c r="Q3088" t="s">
        <v>68</v>
      </c>
      <c r="R3088" t="s">
        <v>68</v>
      </c>
      <c r="S3088" t="s">
        <v>217</v>
      </c>
    </row>
    <row r="3089" spans="1:19" x14ac:dyDescent="0.35">
      <c r="A3089">
        <v>53306</v>
      </c>
      <c r="B3089" t="str">
        <f>"053306"</f>
        <v>053306</v>
      </c>
      <c r="C3089" t="s">
        <v>9679</v>
      </c>
      <c r="D3089" t="s">
        <v>3398</v>
      </c>
      <c r="E3089" t="s">
        <v>9538</v>
      </c>
      <c r="F3089" t="s">
        <v>3396</v>
      </c>
      <c r="G3089" t="s">
        <v>212</v>
      </c>
      <c r="H3089" t="s">
        <v>9680</v>
      </c>
      <c r="I3089" t="s">
        <v>9681</v>
      </c>
      <c r="J3089" t="s">
        <v>215</v>
      </c>
      <c r="K3089" t="s">
        <v>55</v>
      </c>
      <c r="L3089" t="s">
        <v>2419</v>
      </c>
      <c r="M3089" t="s">
        <v>57</v>
      </c>
      <c r="N3089" t="str">
        <f>"052514"</f>
        <v>052514</v>
      </c>
      <c r="O3089" t="s">
        <v>2465</v>
      </c>
      <c r="P3089" t="s">
        <v>68</v>
      </c>
      <c r="Q3089" t="s">
        <v>68</v>
      </c>
      <c r="R3089" t="s">
        <v>68</v>
      </c>
      <c r="S3089" t="s">
        <v>217</v>
      </c>
    </row>
    <row r="3090" spans="1:19" x14ac:dyDescent="0.35">
      <c r="A3090">
        <v>53322</v>
      </c>
      <c r="B3090" t="str">
        <f>"053322"</f>
        <v>053322</v>
      </c>
      <c r="C3090" t="s">
        <v>9682</v>
      </c>
      <c r="D3090" t="s">
        <v>3398</v>
      </c>
      <c r="E3090" t="s">
        <v>9538</v>
      </c>
      <c r="F3090" t="s">
        <v>3396</v>
      </c>
      <c r="G3090" t="s">
        <v>212</v>
      </c>
      <c r="H3090" t="s">
        <v>9683</v>
      </c>
      <c r="I3090" t="s">
        <v>9684</v>
      </c>
      <c r="J3090" t="s">
        <v>953</v>
      </c>
      <c r="K3090" t="s">
        <v>55</v>
      </c>
      <c r="L3090" t="s">
        <v>954</v>
      </c>
      <c r="M3090" t="s">
        <v>57</v>
      </c>
      <c r="N3090" t="str">
        <f>"052514"</f>
        <v>052514</v>
      </c>
      <c r="O3090" t="s">
        <v>2465</v>
      </c>
      <c r="P3090" t="s">
        <v>68</v>
      </c>
      <c r="Q3090" t="s">
        <v>68</v>
      </c>
      <c r="R3090" t="s">
        <v>68</v>
      </c>
      <c r="S3090" t="s">
        <v>217</v>
      </c>
    </row>
    <row r="3091" spans="1:19" x14ac:dyDescent="0.35">
      <c r="A3091">
        <v>53348</v>
      </c>
      <c r="B3091" t="str">
        <f>"053348"</f>
        <v>053348</v>
      </c>
      <c r="C3091" t="s">
        <v>9685</v>
      </c>
      <c r="D3091" t="s">
        <v>3398</v>
      </c>
      <c r="E3091" t="s">
        <v>9538</v>
      </c>
      <c r="F3091" t="s">
        <v>3396</v>
      </c>
      <c r="G3091" t="s">
        <v>63</v>
      </c>
      <c r="H3091" t="s">
        <v>9686</v>
      </c>
      <c r="I3091" t="s">
        <v>9687</v>
      </c>
      <c r="J3091" t="s">
        <v>8793</v>
      </c>
      <c r="K3091" t="s">
        <v>55</v>
      </c>
      <c r="L3091" t="s">
        <v>2232</v>
      </c>
      <c r="M3091" t="s">
        <v>57</v>
      </c>
      <c r="N3091" t="str">
        <f>"052522"</f>
        <v>052522</v>
      </c>
      <c r="O3091" t="s">
        <v>605</v>
      </c>
      <c r="P3091" t="s">
        <v>68</v>
      </c>
      <c r="Q3091" t="s">
        <v>68</v>
      </c>
      <c r="R3091" t="s">
        <v>68</v>
      </c>
      <c r="S3091" t="s">
        <v>69</v>
      </c>
    </row>
    <row r="3092" spans="1:19" x14ac:dyDescent="0.35">
      <c r="A3092">
        <v>53355</v>
      </c>
      <c r="B3092" t="str">
        <f>"053355"</f>
        <v>053355</v>
      </c>
      <c r="C3092" t="s">
        <v>9688</v>
      </c>
      <c r="D3092" t="s">
        <v>3398</v>
      </c>
      <c r="E3092" t="s">
        <v>9538</v>
      </c>
      <c r="F3092" t="s">
        <v>3396</v>
      </c>
      <c r="G3092" t="s">
        <v>110</v>
      </c>
      <c r="H3092" t="s">
        <v>9689</v>
      </c>
      <c r="I3092" t="s">
        <v>9690</v>
      </c>
      <c r="J3092" t="s">
        <v>671</v>
      </c>
      <c r="K3092" t="s">
        <v>55</v>
      </c>
      <c r="L3092" t="s">
        <v>672</v>
      </c>
      <c r="M3092" t="s">
        <v>57</v>
      </c>
      <c r="N3092" t="str">
        <f>"052530"</f>
        <v>052530</v>
      </c>
      <c r="O3092" t="s">
        <v>2009</v>
      </c>
      <c r="P3092" t="s">
        <v>68</v>
      </c>
      <c r="Q3092" t="s">
        <v>68</v>
      </c>
      <c r="R3092" t="s">
        <v>68</v>
      </c>
      <c r="S3092" t="s">
        <v>60</v>
      </c>
    </row>
    <row r="3093" spans="1:19" x14ac:dyDescent="0.35">
      <c r="A3093">
        <v>53363</v>
      </c>
      <c r="B3093" t="str">
        <f>"053363"</f>
        <v>053363</v>
      </c>
      <c r="C3093" t="s">
        <v>9691</v>
      </c>
      <c r="D3093" t="s">
        <v>3398</v>
      </c>
      <c r="E3093" t="s">
        <v>9538</v>
      </c>
      <c r="F3093" t="s">
        <v>3396</v>
      </c>
      <c r="G3093" t="s">
        <v>219</v>
      </c>
      <c r="H3093" t="s">
        <v>9692</v>
      </c>
      <c r="I3093" t="s">
        <v>9693</v>
      </c>
      <c r="J3093" t="s">
        <v>222</v>
      </c>
      <c r="K3093" t="s">
        <v>55</v>
      </c>
      <c r="L3093" t="s">
        <v>223</v>
      </c>
      <c r="M3093" t="s">
        <v>57</v>
      </c>
      <c r="N3093" t="str">
        <f>"052530"</f>
        <v>052530</v>
      </c>
      <c r="O3093" t="s">
        <v>2009</v>
      </c>
      <c r="P3093" t="s">
        <v>68</v>
      </c>
      <c r="Q3093" t="s">
        <v>68</v>
      </c>
      <c r="R3093" t="s">
        <v>68</v>
      </c>
      <c r="S3093" t="s">
        <v>130</v>
      </c>
    </row>
    <row r="3094" spans="1:19" x14ac:dyDescent="0.35">
      <c r="A3094">
        <v>53371</v>
      </c>
      <c r="B3094" t="str">
        <f>"053371"</f>
        <v>053371</v>
      </c>
      <c r="C3094" t="s">
        <v>9694</v>
      </c>
      <c r="D3094" t="s">
        <v>3398</v>
      </c>
      <c r="E3094" t="s">
        <v>9538</v>
      </c>
      <c r="F3094" t="s">
        <v>3396</v>
      </c>
      <c r="G3094" t="s">
        <v>511</v>
      </c>
      <c r="H3094" t="s">
        <v>9695</v>
      </c>
      <c r="I3094" t="s">
        <v>9696</v>
      </c>
      <c r="J3094" t="s">
        <v>1293</v>
      </c>
      <c r="K3094" t="s">
        <v>55</v>
      </c>
      <c r="L3094" t="s">
        <v>1294</v>
      </c>
      <c r="M3094" t="s">
        <v>57</v>
      </c>
      <c r="N3094" t="str">
        <f>"052522"</f>
        <v>052522</v>
      </c>
      <c r="O3094" t="s">
        <v>605</v>
      </c>
      <c r="P3094" t="s">
        <v>68</v>
      </c>
      <c r="Q3094" t="s">
        <v>68</v>
      </c>
      <c r="R3094" t="s">
        <v>68</v>
      </c>
      <c r="S3094" t="s">
        <v>69</v>
      </c>
    </row>
    <row r="3095" spans="1:19" x14ac:dyDescent="0.35">
      <c r="A3095">
        <v>53389</v>
      </c>
      <c r="B3095" t="str">
        <f>"053389"</f>
        <v>053389</v>
      </c>
      <c r="C3095" t="s">
        <v>9697</v>
      </c>
      <c r="D3095" t="s">
        <v>3398</v>
      </c>
      <c r="E3095" t="s">
        <v>9538</v>
      </c>
      <c r="F3095" t="s">
        <v>3396</v>
      </c>
      <c r="G3095" t="s">
        <v>200</v>
      </c>
      <c r="H3095" t="s">
        <v>9698</v>
      </c>
      <c r="I3095" t="s">
        <v>9699</v>
      </c>
      <c r="J3095" t="s">
        <v>304</v>
      </c>
      <c r="K3095" t="s">
        <v>55</v>
      </c>
      <c r="L3095" t="s">
        <v>6788</v>
      </c>
      <c r="M3095" t="s">
        <v>57</v>
      </c>
      <c r="N3095" t="str">
        <f>"052555"</f>
        <v>052555</v>
      </c>
      <c r="O3095" t="s">
        <v>3167</v>
      </c>
      <c r="P3095" t="s">
        <v>68</v>
      </c>
      <c r="Q3095" t="s">
        <v>68</v>
      </c>
      <c r="R3095" t="s">
        <v>68</v>
      </c>
      <c r="S3095" t="s">
        <v>156</v>
      </c>
    </row>
    <row r="3096" spans="1:19" x14ac:dyDescent="0.35">
      <c r="A3096">
        <v>53439</v>
      </c>
      <c r="B3096" t="str">
        <f>"053439"</f>
        <v>053439</v>
      </c>
      <c r="C3096" t="s">
        <v>9700</v>
      </c>
      <c r="D3096" t="s">
        <v>3398</v>
      </c>
      <c r="E3096" t="s">
        <v>9538</v>
      </c>
      <c r="F3096" t="s">
        <v>3396</v>
      </c>
      <c r="G3096" t="s">
        <v>63</v>
      </c>
      <c r="H3096" t="s">
        <v>9701</v>
      </c>
      <c r="I3096" t="s">
        <v>9702</v>
      </c>
      <c r="J3096" t="s">
        <v>66</v>
      </c>
      <c r="K3096" t="s">
        <v>55</v>
      </c>
      <c r="L3096" t="s">
        <v>67</v>
      </c>
      <c r="M3096" t="s">
        <v>57</v>
      </c>
      <c r="N3096" t="str">
        <f>"052522"</f>
        <v>052522</v>
      </c>
      <c r="O3096" t="s">
        <v>605</v>
      </c>
      <c r="P3096" t="s">
        <v>68</v>
      </c>
      <c r="Q3096" t="s">
        <v>68</v>
      </c>
      <c r="R3096" t="s">
        <v>68</v>
      </c>
      <c r="S3096" t="s">
        <v>69</v>
      </c>
    </row>
    <row r="3097" spans="1:19" x14ac:dyDescent="0.35">
      <c r="A3097">
        <v>53454</v>
      </c>
      <c r="B3097" t="str">
        <f>"053454"</f>
        <v>053454</v>
      </c>
      <c r="C3097" t="s">
        <v>9703</v>
      </c>
      <c r="D3097" t="s">
        <v>3398</v>
      </c>
      <c r="E3097" t="s">
        <v>9538</v>
      </c>
      <c r="F3097" t="s">
        <v>3396</v>
      </c>
      <c r="G3097" t="s">
        <v>212</v>
      </c>
      <c r="H3097" t="s">
        <v>9704</v>
      </c>
      <c r="I3097" t="s">
        <v>9705</v>
      </c>
      <c r="J3097" t="s">
        <v>215</v>
      </c>
      <c r="K3097" t="s">
        <v>55</v>
      </c>
      <c r="L3097" t="s">
        <v>4767</v>
      </c>
      <c r="M3097" t="s">
        <v>57</v>
      </c>
      <c r="N3097" t="str">
        <f>"052514"</f>
        <v>052514</v>
      </c>
      <c r="O3097" t="s">
        <v>2465</v>
      </c>
      <c r="P3097" t="s">
        <v>68</v>
      </c>
      <c r="Q3097" t="s">
        <v>68</v>
      </c>
      <c r="R3097" t="s">
        <v>68</v>
      </c>
      <c r="S3097" t="s">
        <v>217</v>
      </c>
    </row>
    <row r="3098" spans="1:19" x14ac:dyDescent="0.35">
      <c r="A3098">
        <v>53488</v>
      </c>
      <c r="B3098" t="str">
        <f>"053488"</f>
        <v>053488</v>
      </c>
      <c r="C3098" t="s">
        <v>9706</v>
      </c>
      <c r="D3098" t="s">
        <v>3398</v>
      </c>
      <c r="E3098" t="s">
        <v>9538</v>
      </c>
      <c r="F3098" t="s">
        <v>3396</v>
      </c>
      <c r="G3098" t="s">
        <v>212</v>
      </c>
      <c r="H3098" t="s">
        <v>9707</v>
      </c>
      <c r="I3098" t="s">
        <v>9708</v>
      </c>
      <c r="J3098" t="s">
        <v>215</v>
      </c>
      <c r="K3098" t="s">
        <v>55</v>
      </c>
      <c r="L3098" t="s">
        <v>736</v>
      </c>
      <c r="M3098" t="s">
        <v>57</v>
      </c>
      <c r="N3098" t="str">
        <f>"052514"</f>
        <v>052514</v>
      </c>
      <c r="O3098" t="s">
        <v>2465</v>
      </c>
      <c r="P3098" t="s">
        <v>68</v>
      </c>
      <c r="Q3098" t="s">
        <v>68</v>
      </c>
      <c r="R3098" t="s">
        <v>68</v>
      </c>
      <c r="S3098" t="s">
        <v>217</v>
      </c>
    </row>
    <row r="3099" spans="1:19" x14ac:dyDescent="0.35">
      <c r="A3099">
        <v>53496</v>
      </c>
      <c r="B3099" t="str">
        <f>"053496"</f>
        <v>053496</v>
      </c>
      <c r="C3099" t="s">
        <v>9709</v>
      </c>
      <c r="D3099" t="s">
        <v>3394</v>
      </c>
      <c r="E3099" t="s">
        <v>9538</v>
      </c>
      <c r="F3099" t="s">
        <v>3396</v>
      </c>
      <c r="G3099" t="s">
        <v>600</v>
      </c>
      <c r="H3099" t="s">
        <v>9710</v>
      </c>
      <c r="I3099" t="s">
        <v>9711</v>
      </c>
      <c r="J3099" t="s">
        <v>1348</v>
      </c>
      <c r="K3099" t="s">
        <v>55</v>
      </c>
      <c r="L3099" t="s">
        <v>3854</v>
      </c>
      <c r="M3099" t="s">
        <v>57</v>
      </c>
      <c r="N3099" t="str">
        <f>"053496"</f>
        <v>053496</v>
      </c>
      <c r="O3099" t="s">
        <v>9709</v>
      </c>
      <c r="P3099" t="s">
        <v>68</v>
      </c>
      <c r="Q3099" t="s">
        <v>68</v>
      </c>
      <c r="R3099" t="s">
        <v>68</v>
      </c>
      <c r="S3099" t="s">
        <v>60</v>
      </c>
    </row>
    <row r="3100" spans="1:19" x14ac:dyDescent="0.35">
      <c r="A3100">
        <v>53520</v>
      </c>
      <c r="B3100" t="str">
        <f>"053520"</f>
        <v>053520</v>
      </c>
      <c r="C3100" t="s">
        <v>9712</v>
      </c>
      <c r="D3100" t="s">
        <v>3398</v>
      </c>
      <c r="E3100" t="s">
        <v>9538</v>
      </c>
      <c r="F3100" t="s">
        <v>3396</v>
      </c>
      <c r="G3100" t="s">
        <v>600</v>
      </c>
      <c r="H3100" t="s">
        <v>9713</v>
      </c>
      <c r="I3100" t="s">
        <v>9714</v>
      </c>
      <c r="J3100" t="s">
        <v>1348</v>
      </c>
      <c r="K3100" t="s">
        <v>55</v>
      </c>
      <c r="L3100" t="s">
        <v>3161</v>
      </c>
      <c r="M3100" t="s">
        <v>57</v>
      </c>
      <c r="N3100" t="str">
        <f>"052530"</f>
        <v>052530</v>
      </c>
      <c r="O3100" t="s">
        <v>2009</v>
      </c>
      <c r="P3100" t="s">
        <v>68</v>
      </c>
      <c r="Q3100" t="s">
        <v>68</v>
      </c>
      <c r="R3100" t="s">
        <v>68</v>
      </c>
      <c r="S3100" t="s">
        <v>60</v>
      </c>
    </row>
    <row r="3101" spans="1:19" x14ac:dyDescent="0.35">
      <c r="A3101">
        <v>53546</v>
      </c>
      <c r="B3101" t="str">
        <f>"053546"</f>
        <v>053546</v>
      </c>
      <c r="C3101" t="s">
        <v>9715</v>
      </c>
      <c r="D3101" t="s">
        <v>3398</v>
      </c>
      <c r="E3101" t="s">
        <v>9538</v>
      </c>
      <c r="F3101" t="s">
        <v>3396</v>
      </c>
      <c r="G3101" t="s">
        <v>63</v>
      </c>
      <c r="H3101" t="s">
        <v>9716</v>
      </c>
      <c r="I3101" t="s">
        <v>9717</v>
      </c>
      <c r="J3101" t="s">
        <v>1271</v>
      </c>
      <c r="K3101" t="s">
        <v>55</v>
      </c>
      <c r="L3101" t="s">
        <v>1272</v>
      </c>
      <c r="M3101" t="s">
        <v>57</v>
      </c>
      <c r="N3101" t="str">
        <f>"052522"</f>
        <v>052522</v>
      </c>
      <c r="O3101" t="s">
        <v>605</v>
      </c>
      <c r="P3101" t="s">
        <v>68</v>
      </c>
      <c r="Q3101" t="s">
        <v>68</v>
      </c>
      <c r="R3101" t="s">
        <v>68</v>
      </c>
      <c r="S3101" t="s">
        <v>69</v>
      </c>
    </row>
    <row r="3102" spans="1:19" x14ac:dyDescent="0.35">
      <c r="A3102">
        <v>53587</v>
      </c>
      <c r="B3102" t="str">
        <f>"053587"</f>
        <v>053587</v>
      </c>
      <c r="C3102" t="s">
        <v>9718</v>
      </c>
      <c r="D3102" t="s">
        <v>3398</v>
      </c>
      <c r="E3102" t="s">
        <v>9538</v>
      </c>
      <c r="F3102" t="s">
        <v>3396</v>
      </c>
      <c r="G3102" t="s">
        <v>600</v>
      </c>
      <c r="H3102" t="s">
        <v>9719</v>
      </c>
      <c r="I3102" t="s">
        <v>9720</v>
      </c>
      <c r="J3102" t="s">
        <v>1348</v>
      </c>
      <c r="K3102" t="s">
        <v>55</v>
      </c>
      <c r="L3102" t="s">
        <v>3736</v>
      </c>
      <c r="M3102" t="s">
        <v>57</v>
      </c>
      <c r="N3102" t="str">
        <f>"052530"</f>
        <v>052530</v>
      </c>
      <c r="O3102" t="s">
        <v>2009</v>
      </c>
      <c r="P3102" t="s">
        <v>68</v>
      </c>
      <c r="Q3102" t="s">
        <v>68</v>
      </c>
      <c r="R3102" t="s">
        <v>68</v>
      </c>
      <c r="S3102" t="s">
        <v>60</v>
      </c>
    </row>
    <row r="3103" spans="1:19" x14ac:dyDescent="0.35">
      <c r="A3103">
        <v>53595</v>
      </c>
      <c r="B3103" t="str">
        <f>"053595"</f>
        <v>053595</v>
      </c>
      <c r="C3103" t="s">
        <v>9721</v>
      </c>
      <c r="D3103" t="s">
        <v>3398</v>
      </c>
      <c r="E3103" t="s">
        <v>9538</v>
      </c>
      <c r="F3103" t="s">
        <v>3396</v>
      </c>
      <c r="G3103" t="s">
        <v>200</v>
      </c>
      <c r="H3103" t="s">
        <v>9722</v>
      </c>
      <c r="I3103" t="s">
        <v>9723</v>
      </c>
      <c r="J3103" t="s">
        <v>304</v>
      </c>
      <c r="K3103" t="s">
        <v>55</v>
      </c>
      <c r="L3103" t="s">
        <v>6203</v>
      </c>
      <c r="M3103" t="s">
        <v>57</v>
      </c>
      <c r="N3103" t="str">
        <f>"052555"</f>
        <v>052555</v>
      </c>
      <c r="O3103" t="s">
        <v>3167</v>
      </c>
      <c r="P3103" t="s">
        <v>68</v>
      </c>
      <c r="Q3103" t="s">
        <v>68</v>
      </c>
      <c r="R3103" t="s">
        <v>68</v>
      </c>
      <c r="S3103" t="s">
        <v>156</v>
      </c>
    </row>
    <row r="3104" spans="1:19" x14ac:dyDescent="0.35">
      <c r="A3104">
        <v>53611</v>
      </c>
      <c r="B3104" t="str">
        <f>"053611"</f>
        <v>053611</v>
      </c>
      <c r="C3104" t="s">
        <v>9724</v>
      </c>
      <c r="D3104" t="s">
        <v>3394</v>
      </c>
      <c r="E3104" t="s">
        <v>9538</v>
      </c>
      <c r="F3104" t="s">
        <v>3396</v>
      </c>
      <c r="G3104" t="s">
        <v>200</v>
      </c>
      <c r="H3104" t="s">
        <v>9725</v>
      </c>
      <c r="I3104" t="s">
        <v>9726</v>
      </c>
      <c r="J3104" t="s">
        <v>304</v>
      </c>
      <c r="K3104" t="s">
        <v>55</v>
      </c>
      <c r="L3104" t="s">
        <v>3835</v>
      </c>
      <c r="M3104" t="s">
        <v>57</v>
      </c>
      <c r="N3104" t="str">
        <f>"052555"</f>
        <v>052555</v>
      </c>
      <c r="O3104" t="s">
        <v>3167</v>
      </c>
      <c r="P3104" t="s">
        <v>68</v>
      </c>
      <c r="Q3104" t="s">
        <v>68</v>
      </c>
      <c r="R3104" t="s">
        <v>68</v>
      </c>
      <c r="S3104" t="s">
        <v>156</v>
      </c>
    </row>
    <row r="3105" spans="1:19" x14ac:dyDescent="0.35">
      <c r="A3105">
        <v>53629</v>
      </c>
      <c r="B3105" t="str">
        <f>"053629"</f>
        <v>053629</v>
      </c>
      <c r="C3105" t="s">
        <v>9727</v>
      </c>
      <c r="D3105" t="s">
        <v>3398</v>
      </c>
      <c r="E3105" t="s">
        <v>9538</v>
      </c>
      <c r="F3105" t="s">
        <v>3396</v>
      </c>
      <c r="G3105" t="s">
        <v>63</v>
      </c>
      <c r="H3105" t="s">
        <v>9728</v>
      </c>
      <c r="I3105" t="s">
        <v>9729</v>
      </c>
      <c r="J3105" t="s">
        <v>285</v>
      </c>
      <c r="K3105" t="s">
        <v>55</v>
      </c>
      <c r="L3105" t="s">
        <v>7551</v>
      </c>
      <c r="M3105" t="s">
        <v>57</v>
      </c>
      <c r="N3105" t="str">
        <f>"052522"</f>
        <v>052522</v>
      </c>
      <c r="O3105" t="s">
        <v>605</v>
      </c>
      <c r="P3105" t="s">
        <v>68</v>
      </c>
      <c r="Q3105" t="s">
        <v>68</v>
      </c>
      <c r="R3105" t="s">
        <v>68</v>
      </c>
      <c r="S3105" t="s">
        <v>69</v>
      </c>
    </row>
    <row r="3106" spans="1:19" x14ac:dyDescent="0.35">
      <c r="A3106">
        <v>53637</v>
      </c>
      <c r="B3106" t="str">
        <f>"053637"</f>
        <v>053637</v>
      </c>
      <c r="C3106" t="s">
        <v>9730</v>
      </c>
      <c r="D3106" t="s">
        <v>3398</v>
      </c>
      <c r="E3106" t="s">
        <v>9538</v>
      </c>
      <c r="F3106" t="s">
        <v>3396</v>
      </c>
      <c r="G3106" t="s">
        <v>132</v>
      </c>
      <c r="H3106" t="s">
        <v>9731</v>
      </c>
      <c r="I3106" t="s">
        <v>9732</v>
      </c>
      <c r="J3106" t="s">
        <v>132</v>
      </c>
      <c r="K3106" t="s">
        <v>55</v>
      </c>
      <c r="L3106" t="s">
        <v>184</v>
      </c>
      <c r="M3106" t="s">
        <v>57</v>
      </c>
      <c r="N3106" t="str">
        <f>"052563"</f>
        <v>052563</v>
      </c>
      <c r="O3106" t="s">
        <v>1399</v>
      </c>
      <c r="P3106" t="s">
        <v>68</v>
      </c>
      <c r="Q3106" t="s">
        <v>68</v>
      </c>
      <c r="R3106" t="s">
        <v>68</v>
      </c>
      <c r="S3106" t="s">
        <v>69</v>
      </c>
    </row>
    <row r="3107" spans="1:19" x14ac:dyDescent="0.35">
      <c r="A3107">
        <v>53645</v>
      </c>
      <c r="B3107" t="str">
        <f>"053645"</f>
        <v>053645</v>
      </c>
      <c r="C3107" t="s">
        <v>9733</v>
      </c>
      <c r="D3107" t="s">
        <v>3398</v>
      </c>
      <c r="E3107" t="s">
        <v>9538</v>
      </c>
      <c r="F3107" t="s">
        <v>3396</v>
      </c>
      <c r="G3107" t="s">
        <v>1193</v>
      </c>
      <c r="H3107" t="s">
        <v>9734</v>
      </c>
      <c r="I3107" t="s">
        <v>9735</v>
      </c>
      <c r="J3107" t="s">
        <v>3309</v>
      </c>
      <c r="K3107" t="s">
        <v>55</v>
      </c>
      <c r="L3107" t="s">
        <v>3310</v>
      </c>
      <c r="M3107" t="s">
        <v>57</v>
      </c>
      <c r="N3107" t="str">
        <f>"052555"</f>
        <v>052555</v>
      </c>
      <c r="O3107" t="s">
        <v>3167</v>
      </c>
      <c r="P3107" t="s">
        <v>68</v>
      </c>
      <c r="Q3107" t="s">
        <v>68</v>
      </c>
      <c r="R3107" t="s">
        <v>68</v>
      </c>
      <c r="S3107" t="s">
        <v>156</v>
      </c>
    </row>
    <row r="3108" spans="1:19" x14ac:dyDescent="0.35">
      <c r="A3108">
        <v>53660</v>
      </c>
      <c r="B3108" t="str">
        <f>"053660"</f>
        <v>053660</v>
      </c>
      <c r="C3108" t="s">
        <v>9736</v>
      </c>
      <c r="D3108" t="s">
        <v>3398</v>
      </c>
      <c r="E3108" t="s">
        <v>9538</v>
      </c>
      <c r="F3108" t="s">
        <v>3396</v>
      </c>
      <c r="G3108" t="s">
        <v>63</v>
      </c>
      <c r="H3108" t="s">
        <v>9737</v>
      </c>
      <c r="I3108" t="s">
        <v>9738</v>
      </c>
      <c r="J3108" t="s">
        <v>285</v>
      </c>
      <c r="K3108" t="s">
        <v>55</v>
      </c>
      <c r="L3108" t="s">
        <v>6421</v>
      </c>
      <c r="M3108" t="s">
        <v>57</v>
      </c>
      <c r="N3108" t="str">
        <f>"052522"</f>
        <v>052522</v>
      </c>
      <c r="O3108" t="s">
        <v>605</v>
      </c>
      <c r="P3108" t="s">
        <v>68</v>
      </c>
      <c r="Q3108" t="s">
        <v>68</v>
      </c>
      <c r="R3108" t="s">
        <v>68</v>
      </c>
      <c r="S3108" t="s">
        <v>69</v>
      </c>
    </row>
    <row r="3109" spans="1:19" x14ac:dyDescent="0.35">
      <c r="A3109">
        <v>53686</v>
      </c>
      <c r="B3109" t="str">
        <f>"053686"</f>
        <v>053686</v>
      </c>
      <c r="C3109" t="s">
        <v>9739</v>
      </c>
      <c r="D3109" t="s">
        <v>3398</v>
      </c>
      <c r="E3109" t="s">
        <v>9538</v>
      </c>
      <c r="F3109" t="s">
        <v>3396</v>
      </c>
      <c r="G3109" t="s">
        <v>400</v>
      </c>
      <c r="H3109" t="s">
        <v>9740</v>
      </c>
      <c r="I3109" t="s">
        <v>9741</v>
      </c>
      <c r="J3109" t="s">
        <v>2749</v>
      </c>
      <c r="K3109" t="s">
        <v>55</v>
      </c>
      <c r="L3109" t="s">
        <v>2750</v>
      </c>
      <c r="M3109" t="s">
        <v>57</v>
      </c>
      <c r="N3109" t="str">
        <f>"052555"</f>
        <v>052555</v>
      </c>
      <c r="O3109" t="s">
        <v>3167</v>
      </c>
      <c r="P3109" t="s">
        <v>68</v>
      </c>
      <c r="Q3109" t="s">
        <v>68</v>
      </c>
      <c r="R3109" t="s">
        <v>68</v>
      </c>
      <c r="S3109" t="s">
        <v>156</v>
      </c>
    </row>
    <row r="3110" spans="1:19" x14ac:dyDescent="0.35">
      <c r="A3110">
        <v>53702</v>
      </c>
      <c r="B3110" t="str">
        <f>"053702"</f>
        <v>053702</v>
      </c>
      <c r="C3110" t="s">
        <v>9742</v>
      </c>
      <c r="D3110" t="s">
        <v>3398</v>
      </c>
      <c r="E3110" t="s">
        <v>9538</v>
      </c>
      <c r="F3110" t="s">
        <v>3396</v>
      </c>
      <c r="G3110" t="s">
        <v>63</v>
      </c>
      <c r="H3110" t="s">
        <v>9743</v>
      </c>
      <c r="I3110" t="s">
        <v>9744</v>
      </c>
      <c r="J3110" t="s">
        <v>285</v>
      </c>
      <c r="K3110" t="s">
        <v>55</v>
      </c>
      <c r="L3110" t="s">
        <v>5375</v>
      </c>
      <c r="M3110" t="s">
        <v>57</v>
      </c>
      <c r="N3110" t="str">
        <f>"052522"</f>
        <v>052522</v>
      </c>
      <c r="O3110" t="s">
        <v>605</v>
      </c>
      <c r="P3110" t="s">
        <v>68</v>
      </c>
      <c r="Q3110" t="s">
        <v>68</v>
      </c>
      <c r="R3110" t="s">
        <v>68</v>
      </c>
      <c r="S3110" t="s">
        <v>69</v>
      </c>
    </row>
    <row r="3111" spans="1:19" x14ac:dyDescent="0.35">
      <c r="A3111">
        <v>53728</v>
      </c>
      <c r="B3111" t="str">
        <f>"053728"</f>
        <v>053728</v>
      </c>
      <c r="C3111" t="s">
        <v>9745</v>
      </c>
      <c r="D3111" t="s">
        <v>3398</v>
      </c>
      <c r="E3111" t="s">
        <v>9538</v>
      </c>
      <c r="F3111" t="s">
        <v>3396</v>
      </c>
      <c r="G3111" t="s">
        <v>1335</v>
      </c>
      <c r="H3111" t="s">
        <v>9746</v>
      </c>
      <c r="I3111" t="s">
        <v>9747</v>
      </c>
      <c r="J3111" t="s">
        <v>1640</v>
      </c>
      <c r="K3111" t="s">
        <v>55</v>
      </c>
      <c r="L3111" t="s">
        <v>1641</v>
      </c>
      <c r="M3111" t="s">
        <v>57</v>
      </c>
      <c r="N3111" t="str">
        <f>"052548"</f>
        <v>052548</v>
      </c>
      <c r="O3111" t="s">
        <v>2217</v>
      </c>
      <c r="P3111" t="s">
        <v>68</v>
      </c>
      <c r="Q3111" t="s">
        <v>68</v>
      </c>
      <c r="R3111" t="s">
        <v>68</v>
      </c>
      <c r="S3111" t="s">
        <v>130</v>
      </c>
    </row>
    <row r="3112" spans="1:19" x14ac:dyDescent="0.35">
      <c r="A3112">
        <v>53751</v>
      </c>
      <c r="B3112" t="str">
        <f>"053751"</f>
        <v>053751</v>
      </c>
      <c r="C3112" t="s">
        <v>9748</v>
      </c>
      <c r="D3112" t="s">
        <v>3398</v>
      </c>
      <c r="E3112" t="s">
        <v>9538</v>
      </c>
      <c r="F3112" t="s">
        <v>3396</v>
      </c>
      <c r="G3112" t="s">
        <v>759</v>
      </c>
      <c r="H3112" t="s">
        <v>9749</v>
      </c>
      <c r="I3112" t="s">
        <v>9750</v>
      </c>
      <c r="J3112" t="s">
        <v>400</v>
      </c>
      <c r="K3112" t="s">
        <v>55</v>
      </c>
      <c r="L3112" t="s">
        <v>762</v>
      </c>
      <c r="M3112" t="s">
        <v>57</v>
      </c>
      <c r="N3112" t="str">
        <f>"052555"</f>
        <v>052555</v>
      </c>
      <c r="O3112" t="s">
        <v>3167</v>
      </c>
      <c r="P3112" t="s">
        <v>68</v>
      </c>
      <c r="Q3112" t="s">
        <v>68</v>
      </c>
      <c r="R3112" t="s">
        <v>68</v>
      </c>
      <c r="S3112" t="s">
        <v>69</v>
      </c>
    </row>
    <row r="3113" spans="1:19" x14ac:dyDescent="0.35">
      <c r="A3113">
        <v>53769</v>
      </c>
      <c r="B3113" t="str">
        <f>"053769"</f>
        <v>053769</v>
      </c>
      <c r="C3113" t="s">
        <v>9751</v>
      </c>
      <c r="D3113" t="s">
        <v>3398</v>
      </c>
      <c r="E3113" t="s">
        <v>9538</v>
      </c>
      <c r="F3113" t="s">
        <v>3396</v>
      </c>
      <c r="G3113" t="s">
        <v>79</v>
      </c>
      <c r="H3113" t="s">
        <v>9752</v>
      </c>
      <c r="I3113" t="s">
        <v>9753</v>
      </c>
      <c r="J3113" t="s">
        <v>1802</v>
      </c>
      <c r="K3113" t="s">
        <v>55</v>
      </c>
      <c r="L3113" t="s">
        <v>1803</v>
      </c>
      <c r="M3113" t="s">
        <v>57</v>
      </c>
      <c r="N3113" t="str">
        <f>"052555"</f>
        <v>052555</v>
      </c>
      <c r="O3113" t="s">
        <v>3167</v>
      </c>
      <c r="P3113" t="s">
        <v>68</v>
      </c>
      <c r="Q3113" t="s">
        <v>68</v>
      </c>
      <c r="R3113" t="s">
        <v>68</v>
      </c>
      <c r="S3113" t="s">
        <v>69</v>
      </c>
    </row>
    <row r="3114" spans="1:19" x14ac:dyDescent="0.35">
      <c r="A3114">
        <v>53801</v>
      </c>
      <c r="B3114" t="str">
        <f>"053801"</f>
        <v>053801</v>
      </c>
      <c r="C3114" t="s">
        <v>9754</v>
      </c>
      <c r="D3114" t="s">
        <v>3398</v>
      </c>
      <c r="E3114" t="s">
        <v>9538</v>
      </c>
      <c r="F3114" t="s">
        <v>3396</v>
      </c>
      <c r="G3114" t="s">
        <v>212</v>
      </c>
      <c r="H3114" t="s">
        <v>9755</v>
      </c>
      <c r="I3114" t="s">
        <v>9756</v>
      </c>
      <c r="J3114" t="s">
        <v>215</v>
      </c>
      <c r="K3114" t="s">
        <v>55</v>
      </c>
      <c r="L3114" t="s">
        <v>954</v>
      </c>
      <c r="M3114" t="s">
        <v>57</v>
      </c>
      <c r="N3114" t="str">
        <f>"052514"</f>
        <v>052514</v>
      </c>
      <c r="O3114" t="s">
        <v>2465</v>
      </c>
      <c r="P3114" t="s">
        <v>68</v>
      </c>
      <c r="Q3114" t="s">
        <v>68</v>
      </c>
      <c r="R3114" t="s">
        <v>68</v>
      </c>
      <c r="S3114" t="s">
        <v>217</v>
      </c>
    </row>
    <row r="3115" spans="1:19" x14ac:dyDescent="0.35">
      <c r="A3115">
        <v>53827</v>
      </c>
      <c r="B3115" t="str">
        <f>"053827"</f>
        <v>053827</v>
      </c>
      <c r="C3115" t="s">
        <v>9757</v>
      </c>
      <c r="D3115" t="s">
        <v>3398</v>
      </c>
      <c r="E3115" t="s">
        <v>9538</v>
      </c>
      <c r="F3115" t="s">
        <v>3396</v>
      </c>
      <c r="G3115" t="s">
        <v>117</v>
      </c>
      <c r="H3115" t="s">
        <v>9758</v>
      </c>
      <c r="I3115" t="s">
        <v>9759</v>
      </c>
      <c r="J3115" t="s">
        <v>3145</v>
      </c>
      <c r="K3115" t="s">
        <v>55</v>
      </c>
      <c r="L3115" t="s">
        <v>3146</v>
      </c>
      <c r="M3115" t="s">
        <v>57</v>
      </c>
      <c r="N3115" t="str">
        <f>"052563"</f>
        <v>052563</v>
      </c>
      <c r="O3115" t="s">
        <v>1399</v>
      </c>
      <c r="P3115" t="s">
        <v>68</v>
      </c>
      <c r="Q3115" t="s">
        <v>68</v>
      </c>
      <c r="R3115" t="s">
        <v>68</v>
      </c>
      <c r="S3115" t="s">
        <v>77</v>
      </c>
    </row>
    <row r="3116" spans="1:19" x14ac:dyDescent="0.35">
      <c r="A3116">
        <v>53835</v>
      </c>
      <c r="B3116" t="str">
        <f>"053835"</f>
        <v>053835</v>
      </c>
      <c r="C3116" t="s">
        <v>9760</v>
      </c>
      <c r="D3116" t="s">
        <v>3398</v>
      </c>
      <c r="E3116" t="s">
        <v>9538</v>
      </c>
      <c r="F3116" t="s">
        <v>3396</v>
      </c>
      <c r="G3116" t="s">
        <v>212</v>
      </c>
      <c r="H3116" t="s">
        <v>9761</v>
      </c>
      <c r="I3116" t="s">
        <v>9762</v>
      </c>
      <c r="J3116" t="s">
        <v>215</v>
      </c>
      <c r="K3116" t="s">
        <v>55</v>
      </c>
      <c r="L3116" t="s">
        <v>4767</v>
      </c>
      <c r="M3116" t="s">
        <v>57</v>
      </c>
      <c r="N3116" t="str">
        <f>"052514"</f>
        <v>052514</v>
      </c>
      <c r="O3116" t="s">
        <v>2465</v>
      </c>
      <c r="P3116" t="s">
        <v>68</v>
      </c>
      <c r="Q3116" t="s">
        <v>68</v>
      </c>
      <c r="R3116" t="s">
        <v>68</v>
      </c>
      <c r="S3116" t="s">
        <v>217</v>
      </c>
    </row>
    <row r="3117" spans="1:19" x14ac:dyDescent="0.35">
      <c r="A3117">
        <v>53843</v>
      </c>
      <c r="B3117" t="str">
        <f>"053843"</f>
        <v>053843</v>
      </c>
      <c r="C3117" t="s">
        <v>9760</v>
      </c>
      <c r="D3117" t="s">
        <v>3398</v>
      </c>
      <c r="E3117" t="s">
        <v>9538</v>
      </c>
      <c r="F3117" t="s">
        <v>3396</v>
      </c>
      <c r="G3117" t="s">
        <v>200</v>
      </c>
      <c r="H3117" t="s">
        <v>9763</v>
      </c>
      <c r="I3117" t="s">
        <v>9764</v>
      </c>
      <c r="J3117" t="s">
        <v>304</v>
      </c>
      <c r="K3117" t="s">
        <v>55</v>
      </c>
      <c r="L3117" t="s">
        <v>305</v>
      </c>
      <c r="M3117" t="s">
        <v>57</v>
      </c>
      <c r="N3117" t="str">
        <f>"052555"</f>
        <v>052555</v>
      </c>
      <c r="O3117" t="s">
        <v>3167</v>
      </c>
      <c r="P3117" t="s">
        <v>68</v>
      </c>
      <c r="Q3117" t="s">
        <v>68</v>
      </c>
      <c r="R3117" t="s">
        <v>68</v>
      </c>
      <c r="S3117" t="s">
        <v>156</v>
      </c>
    </row>
    <row r="3118" spans="1:19" x14ac:dyDescent="0.35">
      <c r="A3118">
        <v>53850</v>
      </c>
      <c r="B3118" t="str">
        <f>"053850"</f>
        <v>053850</v>
      </c>
      <c r="C3118" t="s">
        <v>9765</v>
      </c>
      <c r="D3118" t="s">
        <v>3398</v>
      </c>
      <c r="E3118" t="s">
        <v>9538</v>
      </c>
      <c r="F3118" t="s">
        <v>3396</v>
      </c>
      <c r="G3118" t="s">
        <v>264</v>
      </c>
      <c r="H3118" t="s">
        <v>9766</v>
      </c>
      <c r="I3118" t="s">
        <v>9767</v>
      </c>
      <c r="J3118" t="s">
        <v>267</v>
      </c>
      <c r="K3118" t="s">
        <v>55</v>
      </c>
      <c r="L3118" t="s">
        <v>6222</v>
      </c>
      <c r="M3118" t="s">
        <v>57</v>
      </c>
      <c r="N3118" t="str">
        <f>"052522"</f>
        <v>052522</v>
      </c>
      <c r="O3118" t="s">
        <v>605</v>
      </c>
      <c r="P3118" t="s">
        <v>68</v>
      </c>
      <c r="Q3118" t="s">
        <v>68</v>
      </c>
      <c r="R3118" t="s">
        <v>68</v>
      </c>
      <c r="S3118" t="s">
        <v>77</v>
      </c>
    </row>
    <row r="3119" spans="1:19" x14ac:dyDescent="0.35">
      <c r="A3119">
        <v>53850</v>
      </c>
      <c r="B3119" t="str">
        <f>"053850"</f>
        <v>053850</v>
      </c>
      <c r="C3119" t="s">
        <v>9765</v>
      </c>
      <c r="D3119" t="s">
        <v>3929</v>
      </c>
      <c r="E3119" t="s">
        <v>9538</v>
      </c>
      <c r="F3119" t="s">
        <v>3396</v>
      </c>
      <c r="G3119" t="s">
        <v>264</v>
      </c>
      <c r="H3119" t="s">
        <v>9766</v>
      </c>
      <c r="I3119" t="s">
        <v>9767</v>
      </c>
      <c r="J3119" t="s">
        <v>267</v>
      </c>
      <c r="K3119" t="s">
        <v>55</v>
      </c>
      <c r="L3119" t="s">
        <v>6222</v>
      </c>
      <c r="M3119" t="s">
        <v>57</v>
      </c>
      <c r="N3119" t="str">
        <f>"052522"</f>
        <v>052522</v>
      </c>
      <c r="O3119" t="s">
        <v>605</v>
      </c>
      <c r="P3119" t="s">
        <v>68</v>
      </c>
      <c r="Q3119" t="s">
        <v>68</v>
      </c>
      <c r="R3119" t="s">
        <v>68</v>
      </c>
      <c r="S3119" t="s">
        <v>77</v>
      </c>
    </row>
    <row r="3120" spans="1:19" x14ac:dyDescent="0.35">
      <c r="A3120">
        <v>53876</v>
      </c>
      <c r="B3120" t="str">
        <f>"053876"</f>
        <v>053876</v>
      </c>
      <c r="C3120" t="s">
        <v>9768</v>
      </c>
      <c r="D3120" t="s">
        <v>3398</v>
      </c>
      <c r="E3120" t="s">
        <v>9538</v>
      </c>
      <c r="F3120" t="s">
        <v>3396</v>
      </c>
      <c r="G3120" t="s">
        <v>212</v>
      </c>
      <c r="H3120" t="s">
        <v>9769</v>
      </c>
      <c r="I3120" t="s">
        <v>9770</v>
      </c>
      <c r="J3120" t="s">
        <v>215</v>
      </c>
      <c r="K3120" t="s">
        <v>55</v>
      </c>
      <c r="L3120" t="s">
        <v>4487</v>
      </c>
      <c r="M3120" t="s">
        <v>57</v>
      </c>
      <c r="N3120" t="str">
        <f>"052514"</f>
        <v>052514</v>
      </c>
      <c r="O3120" t="s">
        <v>2465</v>
      </c>
      <c r="P3120" t="s">
        <v>68</v>
      </c>
      <c r="Q3120" t="s">
        <v>68</v>
      </c>
      <c r="R3120" t="s">
        <v>68</v>
      </c>
      <c r="S3120" t="s">
        <v>217</v>
      </c>
    </row>
    <row r="3121" spans="1:19" x14ac:dyDescent="0.35">
      <c r="A3121">
        <v>53884</v>
      </c>
      <c r="B3121" t="str">
        <f>"053884"</f>
        <v>053884</v>
      </c>
      <c r="C3121" t="s">
        <v>9771</v>
      </c>
      <c r="D3121" t="s">
        <v>3398</v>
      </c>
      <c r="E3121" t="s">
        <v>9538</v>
      </c>
      <c r="F3121" t="s">
        <v>3396</v>
      </c>
      <c r="G3121" t="s">
        <v>212</v>
      </c>
      <c r="H3121" t="s">
        <v>9772</v>
      </c>
      <c r="I3121" t="s">
        <v>9773</v>
      </c>
      <c r="J3121" t="s">
        <v>215</v>
      </c>
      <c r="K3121" t="s">
        <v>55</v>
      </c>
      <c r="L3121" t="s">
        <v>9621</v>
      </c>
      <c r="M3121" t="s">
        <v>57</v>
      </c>
      <c r="N3121" t="str">
        <f>"052514"</f>
        <v>052514</v>
      </c>
      <c r="O3121" t="s">
        <v>2465</v>
      </c>
      <c r="P3121" t="s">
        <v>68</v>
      </c>
      <c r="Q3121" t="s">
        <v>68</v>
      </c>
      <c r="R3121" t="s">
        <v>68</v>
      </c>
      <c r="S3121" t="s">
        <v>217</v>
      </c>
    </row>
    <row r="3122" spans="1:19" x14ac:dyDescent="0.35">
      <c r="A3122">
        <v>53900</v>
      </c>
      <c r="B3122" t="str">
        <f>"053900"</f>
        <v>053900</v>
      </c>
      <c r="C3122" t="s">
        <v>9774</v>
      </c>
      <c r="D3122" t="s">
        <v>3398</v>
      </c>
      <c r="E3122" t="s">
        <v>9538</v>
      </c>
      <c r="F3122" t="s">
        <v>3396</v>
      </c>
      <c r="G3122" t="s">
        <v>212</v>
      </c>
      <c r="H3122" t="s">
        <v>9775</v>
      </c>
      <c r="I3122" t="s">
        <v>9776</v>
      </c>
      <c r="J3122" t="s">
        <v>215</v>
      </c>
      <c r="K3122" t="s">
        <v>55</v>
      </c>
      <c r="L3122" t="s">
        <v>6210</v>
      </c>
      <c r="M3122" t="s">
        <v>57</v>
      </c>
      <c r="N3122" t="str">
        <f>"000136"</f>
        <v>000136</v>
      </c>
      <c r="O3122" t="s">
        <v>2853</v>
      </c>
      <c r="P3122" t="s">
        <v>68</v>
      </c>
      <c r="Q3122" t="s">
        <v>68</v>
      </c>
      <c r="R3122" t="s">
        <v>68</v>
      </c>
      <c r="S3122" t="s">
        <v>217</v>
      </c>
    </row>
    <row r="3123" spans="1:19" x14ac:dyDescent="0.35">
      <c r="A3123">
        <v>53918</v>
      </c>
      <c r="B3123" t="str">
        <f>"053918"</f>
        <v>053918</v>
      </c>
      <c r="C3123" t="s">
        <v>9777</v>
      </c>
      <c r="D3123" t="s">
        <v>3398</v>
      </c>
      <c r="E3123" t="s">
        <v>9538</v>
      </c>
      <c r="F3123" t="s">
        <v>3396</v>
      </c>
      <c r="G3123" t="s">
        <v>481</v>
      </c>
      <c r="H3123" t="s">
        <v>9778</v>
      </c>
      <c r="I3123" t="s">
        <v>9779</v>
      </c>
      <c r="J3123" t="s">
        <v>3091</v>
      </c>
      <c r="K3123" t="s">
        <v>55</v>
      </c>
      <c r="L3123" t="s">
        <v>3092</v>
      </c>
      <c r="M3123" t="s">
        <v>57</v>
      </c>
      <c r="N3123" t="str">
        <f>"053918"</f>
        <v>053918</v>
      </c>
      <c r="O3123" t="s">
        <v>9777</v>
      </c>
      <c r="P3123" t="s">
        <v>68</v>
      </c>
      <c r="Q3123" t="s">
        <v>68</v>
      </c>
      <c r="R3123" t="s">
        <v>68</v>
      </c>
      <c r="S3123" t="s">
        <v>69</v>
      </c>
    </row>
    <row r="3124" spans="1:19" x14ac:dyDescent="0.35">
      <c r="A3124">
        <v>53926</v>
      </c>
      <c r="B3124" t="str">
        <f>"053926"</f>
        <v>053926</v>
      </c>
      <c r="C3124" t="s">
        <v>9780</v>
      </c>
      <c r="D3124" t="s">
        <v>3398</v>
      </c>
      <c r="E3124" t="s">
        <v>9538</v>
      </c>
      <c r="F3124" t="s">
        <v>3396</v>
      </c>
      <c r="G3124" t="s">
        <v>63</v>
      </c>
      <c r="H3124" t="s">
        <v>9781</v>
      </c>
      <c r="I3124" t="s">
        <v>9782</v>
      </c>
      <c r="J3124" t="s">
        <v>1049</v>
      </c>
      <c r="K3124" t="s">
        <v>55</v>
      </c>
      <c r="L3124" t="s">
        <v>2330</v>
      </c>
      <c r="M3124" t="s">
        <v>57</v>
      </c>
      <c r="N3124" t="str">
        <f>"000136"</f>
        <v>000136</v>
      </c>
      <c r="O3124" t="s">
        <v>2853</v>
      </c>
      <c r="P3124" t="s">
        <v>68</v>
      </c>
      <c r="Q3124" t="s">
        <v>68</v>
      </c>
      <c r="R3124" t="s">
        <v>68</v>
      </c>
      <c r="S3124" t="s">
        <v>69</v>
      </c>
    </row>
    <row r="3125" spans="1:19" x14ac:dyDescent="0.35">
      <c r="A3125">
        <v>53926</v>
      </c>
      <c r="B3125" t="str">
        <f>"053926"</f>
        <v>053926</v>
      </c>
      <c r="C3125" t="s">
        <v>9780</v>
      </c>
      <c r="D3125" t="s">
        <v>9541</v>
      </c>
      <c r="E3125" t="s">
        <v>9538</v>
      </c>
      <c r="F3125" t="s">
        <v>3396</v>
      </c>
      <c r="G3125" t="s">
        <v>63</v>
      </c>
      <c r="H3125" t="s">
        <v>9781</v>
      </c>
      <c r="I3125" t="s">
        <v>9782</v>
      </c>
      <c r="J3125" t="s">
        <v>1049</v>
      </c>
      <c r="K3125" t="s">
        <v>55</v>
      </c>
      <c r="L3125" t="s">
        <v>2330</v>
      </c>
      <c r="M3125" t="s">
        <v>57</v>
      </c>
      <c r="N3125" t="str">
        <f>"000136"</f>
        <v>000136</v>
      </c>
      <c r="O3125" t="s">
        <v>2853</v>
      </c>
      <c r="P3125" t="s">
        <v>68</v>
      </c>
      <c r="Q3125" t="s">
        <v>68</v>
      </c>
      <c r="R3125" t="s">
        <v>68</v>
      </c>
      <c r="S3125" t="s">
        <v>69</v>
      </c>
    </row>
    <row r="3126" spans="1:19" x14ac:dyDescent="0.35">
      <c r="A3126">
        <v>53934</v>
      </c>
      <c r="B3126" t="str">
        <f>"053934"</f>
        <v>053934</v>
      </c>
      <c r="C3126" t="s">
        <v>9783</v>
      </c>
      <c r="D3126" t="s">
        <v>3398</v>
      </c>
      <c r="E3126" t="s">
        <v>9538</v>
      </c>
      <c r="F3126" t="s">
        <v>3396</v>
      </c>
      <c r="G3126" t="s">
        <v>383</v>
      </c>
      <c r="H3126" t="s">
        <v>9784</v>
      </c>
      <c r="I3126" t="s">
        <v>9785</v>
      </c>
      <c r="J3126" t="s">
        <v>1215</v>
      </c>
      <c r="K3126" t="s">
        <v>55</v>
      </c>
      <c r="L3126" t="s">
        <v>1738</v>
      </c>
      <c r="M3126" t="s">
        <v>57</v>
      </c>
      <c r="N3126" t="str">
        <f>"052563"</f>
        <v>052563</v>
      </c>
      <c r="O3126" t="s">
        <v>1399</v>
      </c>
      <c r="P3126" t="s">
        <v>68</v>
      </c>
      <c r="Q3126" t="s">
        <v>68</v>
      </c>
      <c r="R3126" t="s">
        <v>68</v>
      </c>
      <c r="S3126" t="s">
        <v>77</v>
      </c>
    </row>
    <row r="3127" spans="1:19" x14ac:dyDescent="0.35">
      <c r="A3127">
        <v>53942</v>
      </c>
      <c r="B3127" t="str">
        <f>"053942"</f>
        <v>053942</v>
      </c>
      <c r="C3127" t="s">
        <v>9786</v>
      </c>
      <c r="D3127" t="s">
        <v>3398</v>
      </c>
      <c r="E3127" t="s">
        <v>9538</v>
      </c>
      <c r="F3127" t="s">
        <v>3396</v>
      </c>
      <c r="G3127" t="s">
        <v>212</v>
      </c>
      <c r="H3127" t="s">
        <v>9787</v>
      </c>
      <c r="I3127" t="s">
        <v>9788</v>
      </c>
      <c r="J3127" t="s">
        <v>215</v>
      </c>
      <c r="K3127" t="s">
        <v>55</v>
      </c>
      <c r="L3127" t="s">
        <v>2419</v>
      </c>
      <c r="M3127" t="s">
        <v>57</v>
      </c>
      <c r="N3127" t="str">
        <f>"052514"</f>
        <v>052514</v>
      </c>
      <c r="O3127" t="s">
        <v>2465</v>
      </c>
      <c r="P3127" t="s">
        <v>68</v>
      </c>
      <c r="Q3127" t="s">
        <v>68</v>
      </c>
      <c r="R3127" t="s">
        <v>68</v>
      </c>
      <c r="S3127" t="s">
        <v>217</v>
      </c>
    </row>
    <row r="3128" spans="1:19" x14ac:dyDescent="0.35">
      <c r="A3128">
        <v>53975</v>
      </c>
      <c r="B3128" t="str">
        <f>"053975"</f>
        <v>053975</v>
      </c>
      <c r="C3128" t="s">
        <v>9789</v>
      </c>
      <c r="D3128" t="s">
        <v>3398</v>
      </c>
      <c r="E3128" t="s">
        <v>9538</v>
      </c>
      <c r="F3128" t="s">
        <v>3396</v>
      </c>
      <c r="G3128" t="s">
        <v>264</v>
      </c>
      <c r="H3128" t="s">
        <v>9790</v>
      </c>
      <c r="I3128" t="s">
        <v>9791</v>
      </c>
      <c r="J3128" t="s">
        <v>800</v>
      </c>
      <c r="K3128" t="s">
        <v>55</v>
      </c>
      <c r="L3128" t="s">
        <v>801</v>
      </c>
      <c r="M3128" t="s">
        <v>57</v>
      </c>
      <c r="N3128" t="str">
        <f>"000136"</f>
        <v>000136</v>
      </c>
      <c r="O3128" t="s">
        <v>2853</v>
      </c>
      <c r="P3128" t="s">
        <v>68</v>
      </c>
      <c r="Q3128" t="s">
        <v>68</v>
      </c>
      <c r="R3128" t="s">
        <v>68</v>
      </c>
      <c r="S3128" t="s">
        <v>77</v>
      </c>
    </row>
    <row r="3129" spans="1:19" x14ac:dyDescent="0.35">
      <c r="A3129">
        <v>53975</v>
      </c>
      <c r="B3129" t="str">
        <f>"053975"</f>
        <v>053975</v>
      </c>
      <c r="C3129" t="s">
        <v>9789</v>
      </c>
      <c r="D3129" t="s">
        <v>9541</v>
      </c>
      <c r="E3129" t="s">
        <v>9538</v>
      </c>
      <c r="F3129" t="s">
        <v>3396</v>
      </c>
      <c r="G3129" t="s">
        <v>264</v>
      </c>
      <c r="H3129" t="s">
        <v>9790</v>
      </c>
      <c r="I3129" t="s">
        <v>9791</v>
      </c>
      <c r="J3129" t="s">
        <v>800</v>
      </c>
      <c r="K3129" t="s">
        <v>55</v>
      </c>
      <c r="L3129" t="s">
        <v>801</v>
      </c>
      <c r="M3129" t="s">
        <v>57</v>
      </c>
      <c r="N3129" t="str">
        <f>"000136"</f>
        <v>000136</v>
      </c>
      <c r="O3129" t="s">
        <v>2853</v>
      </c>
      <c r="P3129" t="s">
        <v>68</v>
      </c>
      <c r="Q3129" t="s">
        <v>68</v>
      </c>
      <c r="R3129" t="s">
        <v>68</v>
      </c>
      <c r="S3129" t="s">
        <v>77</v>
      </c>
    </row>
    <row r="3130" spans="1:19" x14ac:dyDescent="0.35">
      <c r="A3130">
        <v>53983</v>
      </c>
      <c r="B3130" t="str">
        <f>"053983"</f>
        <v>053983</v>
      </c>
      <c r="C3130" t="s">
        <v>9792</v>
      </c>
      <c r="D3130" t="s">
        <v>3398</v>
      </c>
      <c r="E3130" t="s">
        <v>9538</v>
      </c>
      <c r="F3130" t="s">
        <v>3396</v>
      </c>
      <c r="G3130" t="s">
        <v>63</v>
      </c>
      <c r="H3130" t="s">
        <v>9793</v>
      </c>
      <c r="I3130" t="s">
        <v>9794</v>
      </c>
      <c r="J3130" t="s">
        <v>285</v>
      </c>
      <c r="K3130" t="s">
        <v>55</v>
      </c>
      <c r="L3130" t="s">
        <v>4335</v>
      </c>
      <c r="M3130" t="s">
        <v>57</v>
      </c>
      <c r="N3130" t="str">
        <f>"052522"</f>
        <v>052522</v>
      </c>
      <c r="O3130" t="s">
        <v>605</v>
      </c>
      <c r="P3130" t="s">
        <v>68</v>
      </c>
      <c r="Q3130" t="s">
        <v>68</v>
      </c>
      <c r="R3130" t="s">
        <v>68</v>
      </c>
      <c r="S3130" t="s">
        <v>69</v>
      </c>
    </row>
    <row r="3131" spans="1:19" x14ac:dyDescent="0.35">
      <c r="A3131">
        <v>54015</v>
      </c>
      <c r="B3131" t="str">
        <f>"054015"</f>
        <v>054015</v>
      </c>
      <c r="C3131" t="s">
        <v>9795</v>
      </c>
      <c r="D3131" t="s">
        <v>3398</v>
      </c>
      <c r="E3131" t="s">
        <v>9538</v>
      </c>
      <c r="F3131" t="s">
        <v>3396</v>
      </c>
      <c r="G3131" t="s">
        <v>200</v>
      </c>
      <c r="H3131" t="s">
        <v>9796</v>
      </c>
      <c r="I3131" t="s">
        <v>9797</v>
      </c>
      <c r="J3131" t="s">
        <v>304</v>
      </c>
      <c r="K3131" t="s">
        <v>55</v>
      </c>
      <c r="L3131" t="s">
        <v>5763</v>
      </c>
      <c r="M3131" t="s">
        <v>57</v>
      </c>
      <c r="N3131" t="str">
        <f>"052555"</f>
        <v>052555</v>
      </c>
      <c r="O3131" t="s">
        <v>3167</v>
      </c>
      <c r="P3131" t="s">
        <v>68</v>
      </c>
      <c r="Q3131" t="s">
        <v>68</v>
      </c>
      <c r="R3131" t="s">
        <v>68</v>
      </c>
      <c r="S3131" t="s">
        <v>156</v>
      </c>
    </row>
    <row r="3132" spans="1:19" x14ac:dyDescent="0.35">
      <c r="A3132">
        <v>54031</v>
      </c>
      <c r="B3132" t="str">
        <f>"054031"</f>
        <v>054031</v>
      </c>
      <c r="C3132" t="s">
        <v>9798</v>
      </c>
      <c r="D3132" t="s">
        <v>3394</v>
      </c>
      <c r="E3132" t="s">
        <v>9538</v>
      </c>
      <c r="F3132" t="s">
        <v>3396</v>
      </c>
      <c r="G3132" t="s">
        <v>212</v>
      </c>
      <c r="H3132" t="s">
        <v>9799</v>
      </c>
      <c r="I3132" t="s">
        <v>9800</v>
      </c>
      <c r="J3132" t="s">
        <v>215</v>
      </c>
      <c r="K3132" t="s">
        <v>55</v>
      </c>
      <c r="L3132" t="s">
        <v>5151</v>
      </c>
      <c r="M3132" t="s">
        <v>57</v>
      </c>
      <c r="N3132" t="str">
        <f>"052571"</f>
        <v>052571</v>
      </c>
      <c r="O3132" t="s">
        <v>2843</v>
      </c>
      <c r="P3132" t="s">
        <v>68</v>
      </c>
      <c r="Q3132" t="s">
        <v>68</v>
      </c>
      <c r="R3132" t="s">
        <v>68</v>
      </c>
      <c r="S3132" t="s">
        <v>217</v>
      </c>
    </row>
    <row r="3133" spans="1:19" x14ac:dyDescent="0.35">
      <c r="A3133">
        <v>54148</v>
      </c>
      <c r="B3133" t="str">
        <f>"054148"</f>
        <v>054148</v>
      </c>
      <c r="C3133" t="s">
        <v>9801</v>
      </c>
      <c r="D3133" t="s">
        <v>3394</v>
      </c>
      <c r="E3133" t="s">
        <v>9538</v>
      </c>
      <c r="F3133" t="s">
        <v>3396</v>
      </c>
      <c r="G3133" t="s">
        <v>901</v>
      </c>
      <c r="H3133" t="s">
        <v>9802</v>
      </c>
      <c r="I3133" t="s">
        <v>9803</v>
      </c>
      <c r="J3133" t="s">
        <v>904</v>
      </c>
      <c r="K3133" t="s">
        <v>55</v>
      </c>
      <c r="L3133" t="s">
        <v>905</v>
      </c>
      <c r="M3133" t="s">
        <v>57</v>
      </c>
      <c r="N3133" t="str">
        <f>"052571"</f>
        <v>052571</v>
      </c>
      <c r="O3133" t="s">
        <v>2843</v>
      </c>
      <c r="P3133" t="s">
        <v>68</v>
      </c>
      <c r="Q3133" t="s">
        <v>68</v>
      </c>
      <c r="R3133" t="s">
        <v>68</v>
      </c>
      <c r="S3133" t="s">
        <v>60</v>
      </c>
    </row>
    <row r="3134" spans="1:19" x14ac:dyDescent="0.35">
      <c r="A3134">
        <v>54163</v>
      </c>
      <c r="B3134" t="str">
        <f>"054163"</f>
        <v>054163</v>
      </c>
      <c r="C3134" t="s">
        <v>9804</v>
      </c>
      <c r="D3134" t="s">
        <v>3394</v>
      </c>
      <c r="E3134" t="s">
        <v>9538</v>
      </c>
      <c r="F3134" t="s">
        <v>3396</v>
      </c>
      <c r="G3134" t="s">
        <v>200</v>
      </c>
      <c r="H3134" t="s">
        <v>9805</v>
      </c>
      <c r="I3134" t="s">
        <v>9806</v>
      </c>
      <c r="J3134" t="s">
        <v>304</v>
      </c>
      <c r="K3134" t="s">
        <v>55</v>
      </c>
      <c r="L3134" t="s">
        <v>6788</v>
      </c>
      <c r="M3134" t="s">
        <v>57</v>
      </c>
      <c r="N3134" t="str">
        <f>"052571"</f>
        <v>052571</v>
      </c>
      <c r="O3134" t="s">
        <v>2843</v>
      </c>
      <c r="P3134" t="s">
        <v>68</v>
      </c>
      <c r="Q3134" t="s">
        <v>68</v>
      </c>
      <c r="R3134" t="s">
        <v>68</v>
      </c>
      <c r="S3134" t="s">
        <v>156</v>
      </c>
    </row>
    <row r="3135" spans="1:19" x14ac:dyDescent="0.35">
      <c r="A3135">
        <v>54171</v>
      </c>
      <c r="B3135" t="str">
        <f>"054171"</f>
        <v>054171</v>
      </c>
      <c r="C3135" t="s">
        <v>9807</v>
      </c>
      <c r="D3135" t="s">
        <v>3394</v>
      </c>
      <c r="E3135" t="s">
        <v>9538</v>
      </c>
      <c r="F3135" t="s">
        <v>3396</v>
      </c>
      <c r="G3135" t="s">
        <v>264</v>
      </c>
      <c r="H3135" t="s">
        <v>9808</v>
      </c>
      <c r="I3135" t="s">
        <v>9809</v>
      </c>
      <c r="J3135" t="s">
        <v>160</v>
      </c>
      <c r="K3135" t="s">
        <v>55</v>
      </c>
      <c r="L3135" t="s">
        <v>161</v>
      </c>
      <c r="M3135" t="s">
        <v>57</v>
      </c>
      <c r="N3135" t="str">
        <f>"052571"</f>
        <v>052571</v>
      </c>
      <c r="O3135" t="s">
        <v>2843</v>
      </c>
      <c r="P3135" t="s">
        <v>68</v>
      </c>
      <c r="Q3135" t="s">
        <v>68</v>
      </c>
      <c r="R3135" t="s">
        <v>68</v>
      </c>
      <c r="S3135" t="s">
        <v>77</v>
      </c>
    </row>
    <row r="3136" spans="1:19" x14ac:dyDescent="0.35">
      <c r="A3136">
        <v>54205</v>
      </c>
      <c r="B3136" t="str">
        <f>"054205"</f>
        <v>054205</v>
      </c>
      <c r="C3136" t="s">
        <v>9810</v>
      </c>
      <c r="D3136" t="s">
        <v>3394</v>
      </c>
      <c r="E3136" t="s">
        <v>9538</v>
      </c>
      <c r="F3136" t="s">
        <v>3396</v>
      </c>
      <c r="G3136" t="s">
        <v>212</v>
      </c>
      <c r="H3136" t="s">
        <v>9811</v>
      </c>
      <c r="I3136" t="s">
        <v>9812</v>
      </c>
      <c r="J3136" t="s">
        <v>215</v>
      </c>
      <c r="K3136" t="s">
        <v>55</v>
      </c>
      <c r="L3136" t="s">
        <v>1405</v>
      </c>
      <c r="M3136" t="s">
        <v>57</v>
      </c>
      <c r="N3136" t="str">
        <f t="shared" ref="N3136:N3161" si="2">"052514"</f>
        <v>052514</v>
      </c>
      <c r="O3136" t="s">
        <v>2465</v>
      </c>
      <c r="P3136" t="s">
        <v>68</v>
      </c>
      <c r="Q3136" t="s">
        <v>68</v>
      </c>
      <c r="R3136" t="s">
        <v>68</v>
      </c>
      <c r="S3136" t="s">
        <v>217</v>
      </c>
    </row>
    <row r="3137" spans="1:19" x14ac:dyDescent="0.35">
      <c r="A3137">
        <v>54213</v>
      </c>
      <c r="B3137" t="str">
        <f>"054213"</f>
        <v>054213</v>
      </c>
      <c r="C3137" t="s">
        <v>9813</v>
      </c>
      <c r="D3137" t="s">
        <v>3394</v>
      </c>
      <c r="E3137" t="s">
        <v>9538</v>
      </c>
      <c r="F3137" t="s">
        <v>3396</v>
      </c>
      <c r="G3137" t="s">
        <v>212</v>
      </c>
      <c r="H3137" t="s">
        <v>9814</v>
      </c>
      <c r="I3137" t="s">
        <v>9815</v>
      </c>
      <c r="J3137" t="s">
        <v>215</v>
      </c>
      <c r="K3137" t="s">
        <v>55</v>
      </c>
      <c r="L3137" t="s">
        <v>5151</v>
      </c>
      <c r="M3137" t="s">
        <v>57</v>
      </c>
      <c r="N3137" t="str">
        <f t="shared" si="2"/>
        <v>052514</v>
      </c>
      <c r="O3137" t="s">
        <v>2465</v>
      </c>
      <c r="P3137" t="s">
        <v>68</v>
      </c>
      <c r="Q3137" t="s">
        <v>68</v>
      </c>
      <c r="R3137" t="s">
        <v>68</v>
      </c>
      <c r="S3137" t="s">
        <v>217</v>
      </c>
    </row>
    <row r="3138" spans="1:19" x14ac:dyDescent="0.35">
      <c r="A3138">
        <v>54239</v>
      </c>
      <c r="B3138" t="str">
        <f>"054239"</f>
        <v>054239</v>
      </c>
      <c r="C3138" t="s">
        <v>9816</v>
      </c>
      <c r="D3138" t="s">
        <v>3394</v>
      </c>
      <c r="E3138" t="s">
        <v>9538</v>
      </c>
      <c r="F3138" t="s">
        <v>3396</v>
      </c>
      <c r="G3138" t="s">
        <v>543</v>
      </c>
      <c r="H3138" t="s">
        <v>9817</v>
      </c>
      <c r="I3138" t="s">
        <v>9818</v>
      </c>
      <c r="J3138" t="s">
        <v>1961</v>
      </c>
      <c r="K3138" t="s">
        <v>55</v>
      </c>
      <c r="L3138" t="s">
        <v>3787</v>
      </c>
      <c r="M3138" t="s">
        <v>57</v>
      </c>
      <c r="N3138" t="str">
        <f t="shared" si="2"/>
        <v>052514</v>
      </c>
      <c r="O3138" t="s">
        <v>2465</v>
      </c>
      <c r="P3138" t="s">
        <v>68</v>
      </c>
      <c r="Q3138" t="s">
        <v>68</v>
      </c>
      <c r="R3138" t="s">
        <v>68</v>
      </c>
      <c r="S3138" t="s">
        <v>180</v>
      </c>
    </row>
    <row r="3139" spans="1:19" x14ac:dyDescent="0.35">
      <c r="A3139">
        <v>54270</v>
      </c>
      <c r="B3139" t="str">
        <f>"054270"</f>
        <v>054270</v>
      </c>
      <c r="C3139" t="s">
        <v>9819</v>
      </c>
      <c r="D3139" t="s">
        <v>3394</v>
      </c>
      <c r="E3139" t="s">
        <v>9538</v>
      </c>
      <c r="F3139" t="s">
        <v>3396</v>
      </c>
      <c r="G3139" t="s">
        <v>212</v>
      </c>
      <c r="H3139" t="s">
        <v>9820</v>
      </c>
      <c r="I3139" t="s">
        <v>9821</v>
      </c>
      <c r="J3139" t="s">
        <v>215</v>
      </c>
      <c r="K3139" t="s">
        <v>55</v>
      </c>
      <c r="L3139" t="s">
        <v>9822</v>
      </c>
      <c r="M3139" t="s">
        <v>57</v>
      </c>
      <c r="N3139" t="str">
        <f t="shared" si="2"/>
        <v>052514</v>
      </c>
      <c r="O3139" t="s">
        <v>2465</v>
      </c>
      <c r="P3139" t="s">
        <v>68</v>
      </c>
      <c r="Q3139" t="s">
        <v>68</v>
      </c>
      <c r="R3139" t="s">
        <v>68</v>
      </c>
      <c r="S3139" t="s">
        <v>217</v>
      </c>
    </row>
    <row r="3140" spans="1:19" x14ac:dyDescent="0.35">
      <c r="A3140">
        <v>54288</v>
      </c>
      <c r="B3140" t="str">
        <f>"054288"</f>
        <v>054288</v>
      </c>
      <c r="C3140" t="s">
        <v>9823</v>
      </c>
      <c r="D3140" t="s">
        <v>3394</v>
      </c>
      <c r="E3140" t="s">
        <v>9538</v>
      </c>
      <c r="F3140" t="s">
        <v>3396</v>
      </c>
      <c r="G3140" t="s">
        <v>543</v>
      </c>
      <c r="H3140" t="s">
        <v>9824</v>
      </c>
      <c r="I3140" t="s">
        <v>9825</v>
      </c>
      <c r="J3140" t="s">
        <v>687</v>
      </c>
      <c r="K3140" t="s">
        <v>55</v>
      </c>
      <c r="L3140" t="s">
        <v>1990</v>
      </c>
      <c r="M3140" t="s">
        <v>57</v>
      </c>
      <c r="N3140" t="str">
        <f t="shared" si="2"/>
        <v>052514</v>
      </c>
      <c r="O3140" t="s">
        <v>2465</v>
      </c>
      <c r="P3140" t="s">
        <v>68</v>
      </c>
      <c r="Q3140" t="s">
        <v>68</v>
      </c>
      <c r="R3140" t="s">
        <v>68</v>
      </c>
      <c r="S3140" t="s">
        <v>180</v>
      </c>
    </row>
    <row r="3141" spans="1:19" x14ac:dyDescent="0.35">
      <c r="A3141">
        <v>54312</v>
      </c>
      <c r="B3141" t="str">
        <f>"054312"</f>
        <v>054312</v>
      </c>
      <c r="C3141" t="s">
        <v>9826</v>
      </c>
      <c r="D3141" t="s">
        <v>3394</v>
      </c>
      <c r="E3141" t="s">
        <v>9538</v>
      </c>
      <c r="F3141" t="s">
        <v>3396</v>
      </c>
      <c r="G3141" t="s">
        <v>1041</v>
      </c>
      <c r="H3141" t="s">
        <v>9827</v>
      </c>
      <c r="I3141" t="s">
        <v>9828</v>
      </c>
      <c r="J3141" t="s">
        <v>1115</v>
      </c>
      <c r="K3141" t="s">
        <v>55</v>
      </c>
      <c r="L3141" t="s">
        <v>1116</v>
      </c>
      <c r="M3141" t="s">
        <v>57</v>
      </c>
      <c r="N3141" t="str">
        <f t="shared" si="2"/>
        <v>052514</v>
      </c>
      <c r="O3141" t="s">
        <v>2465</v>
      </c>
      <c r="P3141" t="s">
        <v>68</v>
      </c>
      <c r="Q3141" t="s">
        <v>68</v>
      </c>
      <c r="R3141" t="s">
        <v>68</v>
      </c>
      <c r="S3141" t="s">
        <v>217</v>
      </c>
    </row>
    <row r="3142" spans="1:19" x14ac:dyDescent="0.35">
      <c r="A3142">
        <v>54320</v>
      </c>
      <c r="B3142" t="str">
        <f>"054320"</f>
        <v>054320</v>
      </c>
      <c r="C3142" t="s">
        <v>9829</v>
      </c>
      <c r="D3142" t="s">
        <v>3394</v>
      </c>
      <c r="E3142" t="s">
        <v>9538</v>
      </c>
      <c r="F3142" t="s">
        <v>3396</v>
      </c>
      <c r="G3142" t="s">
        <v>212</v>
      </c>
      <c r="H3142" t="s">
        <v>9830</v>
      </c>
      <c r="I3142" t="s">
        <v>9831</v>
      </c>
      <c r="J3142" t="s">
        <v>215</v>
      </c>
      <c r="K3142" t="s">
        <v>55</v>
      </c>
      <c r="L3142" t="s">
        <v>6589</v>
      </c>
      <c r="M3142" t="s">
        <v>57</v>
      </c>
      <c r="N3142" t="str">
        <f t="shared" si="2"/>
        <v>052514</v>
      </c>
      <c r="O3142" t="s">
        <v>2465</v>
      </c>
      <c r="P3142" t="s">
        <v>68</v>
      </c>
      <c r="Q3142" t="s">
        <v>68</v>
      </c>
      <c r="R3142" t="s">
        <v>68</v>
      </c>
      <c r="S3142" t="s">
        <v>217</v>
      </c>
    </row>
    <row r="3143" spans="1:19" x14ac:dyDescent="0.35">
      <c r="A3143">
        <v>54338</v>
      </c>
      <c r="B3143" t="str">
        <f>"054338"</f>
        <v>054338</v>
      </c>
      <c r="C3143" t="s">
        <v>9832</v>
      </c>
      <c r="D3143" t="s">
        <v>3394</v>
      </c>
      <c r="E3143" t="s">
        <v>9538</v>
      </c>
      <c r="F3143" t="s">
        <v>3396</v>
      </c>
      <c r="G3143" t="s">
        <v>543</v>
      </c>
      <c r="H3143" t="s">
        <v>9833</v>
      </c>
      <c r="I3143" t="s">
        <v>9834</v>
      </c>
      <c r="J3143" t="s">
        <v>687</v>
      </c>
      <c r="K3143" t="s">
        <v>55</v>
      </c>
      <c r="L3143" t="s">
        <v>1370</v>
      </c>
      <c r="M3143" t="s">
        <v>57</v>
      </c>
      <c r="N3143" t="str">
        <f t="shared" si="2"/>
        <v>052514</v>
      </c>
      <c r="O3143" t="s">
        <v>2465</v>
      </c>
      <c r="P3143" t="s">
        <v>68</v>
      </c>
      <c r="Q3143" t="s">
        <v>68</v>
      </c>
      <c r="R3143" t="s">
        <v>68</v>
      </c>
      <c r="S3143" t="s">
        <v>180</v>
      </c>
    </row>
    <row r="3144" spans="1:19" x14ac:dyDescent="0.35">
      <c r="A3144">
        <v>54346</v>
      </c>
      <c r="B3144" t="str">
        <f>"054346"</f>
        <v>054346</v>
      </c>
      <c r="C3144" t="s">
        <v>9832</v>
      </c>
      <c r="D3144" t="s">
        <v>3394</v>
      </c>
      <c r="E3144" t="s">
        <v>9538</v>
      </c>
      <c r="F3144" t="s">
        <v>3396</v>
      </c>
      <c r="G3144" t="s">
        <v>572</v>
      </c>
      <c r="H3144" t="s">
        <v>9835</v>
      </c>
      <c r="I3144" t="s">
        <v>9836</v>
      </c>
      <c r="J3144" t="s">
        <v>2954</v>
      </c>
      <c r="K3144" t="s">
        <v>55</v>
      </c>
      <c r="L3144" t="s">
        <v>2955</v>
      </c>
      <c r="M3144" t="s">
        <v>57</v>
      </c>
      <c r="N3144" t="str">
        <f t="shared" si="2"/>
        <v>052514</v>
      </c>
      <c r="O3144" t="s">
        <v>2465</v>
      </c>
      <c r="P3144" t="s">
        <v>68</v>
      </c>
      <c r="Q3144" t="s">
        <v>68</v>
      </c>
      <c r="R3144" t="s">
        <v>68</v>
      </c>
      <c r="S3144" t="s">
        <v>180</v>
      </c>
    </row>
    <row r="3145" spans="1:19" x14ac:dyDescent="0.35">
      <c r="A3145">
        <v>54361</v>
      </c>
      <c r="B3145" t="str">
        <f>"054361"</f>
        <v>054361</v>
      </c>
      <c r="C3145" t="s">
        <v>9837</v>
      </c>
      <c r="D3145" t="s">
        <v>3394</v>
      </c>
      <c r="E3145" t="s">
        <v>9538</v>
      </c>
      <c r="F3145" t="s">
        <v>3396</v>
      </c>
      <c r="G3145" t="s">
        <v>212</v>
      </c>
      <c r="H3145" t="s">
        <v>9838</v>
      </c>
      <c r="I3145" t="s">
        <v>9839</v>
      </c>
      <c r="J3145" t="s">
        <v>215</v>
      </c>
      <c r="K3145" t="s">
        <v>55</v>
      </c>
      <c r="L3145" t="s">
        <v>9621</v>
      </c>
      <c r="M3145" t="s">
        <v>57</v>
      </c>
      <c r="N3145" t="str">
        <f t="shared" si="2"/>
        <v>052514</v>
      </c>
      <c r="O3145" t="s">
        <v>2465</v>
      </c>
      <c r="P3145" t="s">
        <v>68</v>
      </c>
      <c r="Q3145" t="s">
        <v>68</v>
      </c>
      <c r="R3145" t="s">
        <v>68</v>
      </c>
      <c r="S3145" t="s">
        <v>217</v>
      </c>
    </row>
    <row r="3146" spans="1:19" x14ac:dyDescent="0.35">
      <c r="A3146">
        <v>54387</v>
      </c>
      <c r="B3146" t="str">
        <f>"054387"</f>
        <v>054387</v>
      </c>
      <c r="C3146" t="s">
        <v>9840</v>
      </c>
      <c r="D3146" t="s">
        <v>3394</v>
      </c>
      <c r="E3146" t="s">
        <v>9538</v>
      </c>
      <c r="F3146" t="s">
        <v>3396</v>
      </c>
      <c r="G3146" t="s">
        <v>554</v>
      </c>
      <c r="H3146" t="s">
        <v>9841</v>
      </c>
      <c r="I3146" t="s">
        <v>9842</v>
      </c>
      <c r="J3146" t="s">
        <v>2223</v>
      </c>
      <c r="K3146" t="s">
        <v>55</v>
      </c>
      <c r="L3146" t="s">
        <v>2224</v>
      </c>
      <c r="M3146" t="s">
        <v>57</v>
      </c>
      <c r="N3146" t="str">
        <f t="shared" si="2"/>
        <v>052514</v>
      </c>
      <c r="O3146" t="s">
        <v>2465</v>
      </c>
      <c r="P3146" t="s">
        <v>68</v>
      </c>
      <c r="Q3146" t="s">
        <v>68</v>
      </c>
      <c r="R3146" t="s">
        <v>68</v>
      </c>
      <c r="S3146" t="s">
        <v>156</v>
      </c>
    </row>
    <row r="3147" spans="1:19" x14ac:dyDescent="0.35">
      <c r="A3147">
        <v>54411</v>
      </c>
      <c r="B3147" t="str">
        <f>"054411"</f>
        <v>054411</v>
      </c>
      <c r="C3147" t="s">
        <v>9843</v>
      </c>
      <c r="D3147" t="s">
        <v>3394</v>
      </c>
      <c r="E3147" t="s">
        <v>9538</v>
      </c>
      <c r="F3147" t="s">
        <v>3396</v>
      </c>
      <c r="G3147" t="s">
        <v>423</v>
      </c>
      <c r="H3147" t="s">
        <v>9844</v>
      </c>
      <c r="I3147" t="s">
        <v>9845</v>
      </c>
      <c r="J3147" t="s">
        <v>426</v>
      </c>
      <c r="K3147" t="s">
        <v>55</v>
      </c>
      <c r="L3147" t="s">
        <v>427</v>
      </c>
      <c r="M3147" t="s">
        <v>57</v>
      </c>
      <c r="N3147" t="str">
        <f t="shared" si="2"/>
        <v>052514</v>
      </c>
      <c r="O3147" t="s">
        <v>2465</v>
      </c>
      <c r="P3147" t="s">
        <v>68</v>
      </c>
      <c r="Q3147" t="s">
        <v>68</v>
      </c>
      <c r="R3147" t="s">
        <v>68</v>
      </c>
      <c r="S3147" t="s">
        <v>156</v>
      </c>
    </row>
    <row r="3148" spans="1:19" x14ac:dyDescent="0.35">
      <c r="A3148">
        <v>54429</v>
      </c>
      <c r="B3148" t="str">
        <f>"054429"</f>
        <v>054429</v>
      </c>
      <c r="C3148" t="s">
        <v>9843</v>
      </c>
      <c r="D3148" t="s">
        <v>3394</v>
      </c>
      <c r="E3148" t="s">
        <v>9538</v>
      </c>
      <c r="F3148" t="s">
        <v>3396</v>
      </c>
      <c r="G3148" t="s">
        <v>543</v>
      </c>
      <c r="H3148" t="s">
        <v>9846</v>
      </c>
      <c r="I3148" t="s">
        <v>9847</v>
      </c>
      <c r="J3148" t="s">
        <v>687</v>
      </c>
      <c r="K3148" t="s">
        <v>55</v>
      </c>
      <c r="L3148" t="s">
        <v>3787</v>
      </c>
      <c r="M3148" t="s">
        <v>57</v>
      </c>
      <c r="N3148" t="str">
        <f t="shared" si="2"/>
        <v>052514</v>
      </c>
      <c r="O3148" t="s">
        <v>2465</v>
      </c>
      <c r="P3148" t="s">
        <v>68</v>
      </c>
      <c r="Q3148" t="s">
        <v>68</v>
      </c>
      <c r="R3148" t="s">
        <v>68</v>
      </c>
      <c r="S3148" t="s">
        <v>180</v>
      </c>
    </row>
    <row r="3149" spans="1:19" x14ac:dyDescent="0.35">
      <c r="A3149">
        <v>54437</v>
      </c>
      <c r="B3149" t="str">
        <f>"054437"</f>
        <v>054437</v>
      </c>
      <c r="C3149" t="s">
        <v>9848</v>
      </c>
      <c r="D3149" t="s">
        <v>3394</v>
      </c>
      <c r="E3149" t="s">
        <v>9538</v>
      </c>
      <c r="F3149" t="s">
        <v>3396</v>
      </c>
      <c r="G3149" t="s">
        <v>212</v>
      </c>
      <c r="H3149" t="s">
        <v>9849</v>
      </c>
      <c r="I3149" t="s">
        <v>9850</v>
      </c>
      <c r="J3149" t="s">
        <v>215</v>
      </c>
      <c r="K3149" t="s">
        <v>55</v>
      </c>
      <c r="L3149" t="s">
        <v>2514</v>
      </c>
      <c r="M3149" t="s">
        <v>57</v>
      </c>
      <c r="N3149" t="str">
        <f t="shared" si="2"/>
        <v>052514</v>
      </c>
      <c r="O3149" t="s">
        <v>2465</v>
      </c>
      <c r="P3149" t="s">
        <v>68</v>
      </c>
      <c r="Q3149" t="s">
        <v>68</v>
      </c>
      <c r="R3149" t="s">
        <v>68</v>
      </c>
      <c r="S3149" t="s">
        <v>217</v>
      </c>
    </row>
    <row r="3150" spans="1:19" x14ac:dyDescent="0.35">
      <c r="A3150">
        <v>54445</v>
      </c>
      <c r="B3150" t="str">
        <f>"054445"</f>
        <v>054445</v>
      </c>
      <c r="C3150" t="s">
        <v>9851</v>
      </c>
      <c r="D3150" t="s">
        <v>3394</v>
      </c>
      <c r="E3150" t="s">
        <v>9538</v>
      </c>
      <c r="F3150" t="s">
        <v>3396</v>
      </c>
      <c r="G3150" t="s">
        <v>543</v>
      </c>
      <c r="H3150" t="s">
        <v>9852</v>
      </c>
      <c r="I3150" t="s">
        <v>9853</v>
      </c>
      <c r="J3150" t="s">
        <v>1858</v>
      </c>
      <c r="K3150" t="s">
        <v>55</v>
      </c>
      <c r="L3150" t="s">
        <v>4246</v>
      </c>
      <c r="M3150" t="s">
        <v>57</v>
      </c>
      <c r="N3150" t="str">
        <f t="shared" si="2"/>
        <v>052514</v>
      </c>
      <c r="O3150" t="s">
        <v>2465</v>
      </c>
      <c r="P3150" t="s">
        <v>68</v>
      </c>
      <c r="Q3150" t="s">
        <v>68</v>
      </c>
      <c r="R3150" t="s">
        <v>68</v>
      </c>
      <c r="S3150" t="s">
        <v>180</v>
      </c>
    </row>
    <row r="3151" spans="1:19" x14ac:dyDescent="0.35">
      <c r="A3151">
        <v>54486</v>
      </c>
      <c r="B3151" t="str">
        <f>"054486"</f>
        <v>054486</v>
      </c>
      <c r="C3151" t="s">
        <v>9854</v>
      </c>
      <c r="D3151" t="s">
        <v>3394</v>
      </c>
      <c r="E3151" t="s">
        <v>9538</v>
      </c>
      <c r="F3151" t="s">
        <v>3396</v>
      </c>
      <c r="G3151" t="s">
        <v>212</v>
      </c>
      <c r="H3151" t="s">
        <v>9855</v>
      </c>
      <c r="I3151" t="s">
        <v>9856</v>
      </c>
      <c r="J3151" t="s">
        <v>215</v>
      </c>
      <c r="K3151" t="s">
        <v>55</v>
      </c>
      <c r="L3151" t="s">
        <v>7782</v>
      </c>
      <c r="M3151" t="s">
        <v>57</v>
      </c>
      <c r="N3151" t="str">
        <f t="shared" si="2"/>
        <v>052514</v>
      </c>
      <c r="O3151" t="s">
        <v>2465</v>
      </c>
      <c r="P3151" t="s">
        <v>68</v>
      </c>
      <c r="Q3151" t="s">
        <v>68</v>
      </c>
      <c r="R3151" t="s">
        <v>68</v>
      </c>
      <c r="S3151" t="s">
        <v>217</v>
      </c>
    </row>
    <row r="3152" spans="1:19" x14ac:dyDescent="0.35">
      <c r="A3152">
        <v>54510</v>
      </c>
      <c r="B3152" t="str">
        <f>"054510"</f>
        <v>054510</v>
      </c>
      <c r="C3152" t="s">
        <v>9857</v>
      </c>
      <c r="D3152" t="s">
        <v>3394</v>
      </c>
      <c r="E3152" t="s">
        <v>9538</v>
      </c>
      <c r="F3152" t="s">
        <v>3396</v>
      </c>
      <c r="G3152" t="s">
        <v>212</v>
      </c>
      <c r="H3152" t="s">
        <v>9858</v>
      </c>
      <c r="I3152" t="s">
        <v>9859</v>
      </c>
      <c r="J3152" t="s">
        <v>215</v>
      </c>
      <c r="K3152" t="s">
        <v>55</v>
      </c>
      <c r="L3152" t="s">
        <v>4199</v>
      </c>
      <c r="M3152" t="s">
        <v>57</v>
      </c>
      <c r="N3152" t="str">
        <f t="shared" si="2"/>
        <v>052514</v>
      </c>
      <c r="O3152" t="s">
        <v>2465</v>
      </c>
      <c r="P3152" t="s">
        <v>68</v>
      </c>
      <c r="Q3152" t="s">
        <v>68</v>
      </c>
      <c r="R3152" t="s">
        <v>68</v>
      </c>
      <c r="S3152" t="s">
        <v>217</v>
      </c>
    </row>
    <row r="3153" spans="1:19" x14ac:dyDescent="0.35">
      <c r="A3153">
        <v>54544</v>
      </c>
      <c r="B3153" t="str">
        <f>"054544"</f>
        <v>054544</v>
      </c>
      <c r="C3153" t="s">
        <v>9860</v>
      </c>
      <c r="D3153" t="s">
        <v>3394</v>
      </c>
      <c r="E3153" t="s">
        <v>9538</v>
      </c>
      <c r="F3153" t="s">
        <v>3396</v>
      </c>
      <c r="G3153" t="s">
        <v>543</v>
      </c>
      <c r="H3153" t="s">
        <v>9861</v>
      </c>
      <c r="I3153" t="s">
        <v>9862</v>
      </c>
      <c r="J3153" t="s">
        <v>687</v>
      </c>
      <c r="K3153" t="s">
        <v>55</v>
      </c>
      <c r="L3153" t="s">
        <v>3956</v>
      </c>
      <c r="M3153" t="s">
        <v>57</v>
      </c>
      <c r="N3153" t="str">
        <f t="shared" si="2"/>
        <v>052514</v>
      </c>
      <c r="O3153" t="s">
        <v>2465</v>
      </c>
      <c r="P3153" t="s">
        <v>68</v>
      </c>
      <c r="Q3153" t="s">
        <v>68</v>
      </c>
      <c r="R3153" t="s">
        <v>68</v>
      </c>
      <c r="S3153" t="s">
        <v>180</v>
      </c>
    </row>
    <row r="3154" spans="1:19" x14ac:dyDescent="0.35">
      <c r="A3154">
        <v>54577</v>
      </c>
      <c r="B3154" t="str">
        <f>"054577"</f>
        <v>054577</v>
      </c>
      <c r="C3154" t="s">
        <v>9863</v>
      </c>
      <c r="D3154" t="s">
        <v>3394</v>
      </c>
      <c r="E3154" t="s">
        <v>9538</v>
      </c>
      <c r="F3154" t="s">
        <v>3396</v>
      </c>
      <c r="G3154" t="s">
        <v>212</v>
      </c>
      <c r="H3154" t="s">
        <v>9864</v>
      </c>
      <c r="I3154" t="s">
        <v>9865</v>
      </c>
      <c r="J3154" t="s">
        <v>215</v>
      </c>
      <c r="K3154" t="s">
        <v>55</v>
      </c>
      <c r="L3154" t="s">
        <v>1512</v>
      </c>
      <c r="M3154" t="s">
        <v>57</v>
      </c>
      <c r="N3154" t="str">
        <f t="shared" si="2"/>
        <v>052514</v>
      </c>
      <c r="O3154" t="s">
        <v>2465</v>
      </c>
      <c r="P3154" t="s">
        <v>68</v>
      </c>
      <c r="Q3154" t="s">
        <v>68</v>
      </c>
      <c r="R3154" t="s">
        <v>68</v>
      </c>
      <c r="S3154" t="s">
        <v>217</v>
      </c>
    </row>
    <row r="3155" spans="1:19" x14ac:dyDescent="0.35">
      <c r="A3155">
        <v>54585</v>
      </c>
      <c r="B3155" t="str">
        <f>"054585"</f>
        <v>054585</v>
      </c>
      <c r="C3155" t="s">
        <v>9866</v>
      </c>
      <c r="D3155" t="s">
        <v>3394</v>
      </c>
      <c r="E3155" t="s">
        <v>9538</v>
      </c>
      <c r="F3155" t="s">
        <v>3396</v>
      </c>
      <c r="G3155" t="s">
        <v>212</v>
      </c>
      <c r="H3155" t="s">
        <v>9867</v>
      </c>
      <c r="I3155" t="s">
        <v>9868</v>
      </c>
      <c r="J3155" t="s">
        <v>215</v>
      </c>
      <c r="K3155" t="s">
        <v>55</v>
      </c>
      <c r="L3155" t="s">
        <v>4346</v>
      </c>
      <c r="M3155" t="s">
        <v>57</v>
      </c>
      <c r="N3155" t="str">
        <f t="shared" si="2"/>
        <v>052514</v>
      </c>
      <c r="O3155" t="s">
        <v>2465</v>
      </c>
      <c r="P3155" t="s">
        <v>68</v>
      </c>
      <c r="Q3155" t="s">
        <v>68</v>
      </c>
      <c r="R3155" t="s">
        <v>68</v>
      </c>
      <c r="S3155" t="s">
        <v>217</v>
      </c>
    </row>
    <row r="3156" spans="1:19" x14ac:dyDescent="0.35">
      <c r="A3156">
        <v>54601</v>
      </c>
      <c r="B3156" t="str">
        <f>"054601"</f>
        <v>054601</v>
      </c>
      <c r="C3156" t="s">
        <v>9869</v>
      </c>
      <c r="D3156" t="s">
        <v>3394</v>
      </c>
      <c r="E3156" t="s">
        <v>9538</v>
      </c>
      <c r="F3156" t="s">
        <v>3396</v>
      </c>
      <c r="G3156" t="s">
        <v>543</v>
      </c>
      <c r="H3156" t="s">
        <v>9870</v>
      </c>
      <c r="I3156" t="s">
        <v>9871</v>
      </c>
      <c r="J3156" t="s">
        <v>687</v>
      </c>
      <c r="K3156" t="s">
        <v>55</v>
      </c>
      <c r="L3156" t="s">
        <v>547</v>
      </c>
      <c r="M3156" t="s">
        <v>57</v>
      </c>
      <c r="N3156" t="str">
        <f t="shared" si="2"/>
        <v>052514</v>
      </c>
      <c r="O3156" t="s">
        <v>2465</v>
      </c>
      <c r="P3156" t="s">
        <v>68</v>
      </c>
      <c r="Q3156" t="s">
        <v>68</v>
      </c>
      <c r="R3156" t="s">
        <v>68</v>
      </c>
      <c r="S3156" t="s">
        <v>180</v>
      </c>
    </row>
    <row r="3157" spans="1:19" x14ac:dyDescent="0.35">
      <c r="A3157">
        <v>54627</v>
      </c>
      <c r="B3157" t="str">
        <f>"054627"</f>
        <v>054627</v>
      </c>
      <c r="C3157" t="s">
        <v>9872</v>
      </c>
      <c r="D3157" t="s">
        <v>3394</v>
      </c>
      <c r="E3157" t="s">
        <v>9538</v>
      </c>
      <c r="F3157" t="s">
        <v>3396</v>
      </c>
      <c r="G3157" t="s">
        <v>244</v>
      </c>
      <c r="H3157" t="s">
        <v>9873</v>
      </c>
      <c r="I3157" t="s">
        <v>9874</v>
      </c>
      <c r="J3157" t="s">
        <v>212</v>
      </c>
      <c r="K3157" t="s">
        <v>55</v>
      </c>
      <c r="L3157" t="s">
        <v>2312</v>
      </c>
      <c r="M3157" t="s">
        <v>57</v>
      </c>
      <c r="N3157" t="str">
        <f t="shared" si="2"/>
        <v>052514</v>
      </c>
      <c r="O3157" t="s">
        <v>2465</v>
      </c>
      <c r="P3157" t="s">
        <v>68</v>
      </c>
      <c r="Q3157" t="s">
        <v>68</v>
      </c>
      <c r="R3157" t="s">
        <v>68</v>
      </c>
      <c r="S3157" t="s">
        <v>217</v>
      </c>
    </row>
    <row r="3158" spans="1:19" x14ac:dyDescent="0.35">
      <c r="A3158">
        <v>54635</v>
      </c>
      <c r="B3158" t="str">
        <f>"054635"</f>
        <v>054635</v>
      </c>
      <c r="C3158" t="s">
        <v>9875</v>
      </c>
      <c r="D3158" t="s">
        <v>3394</v>
      </c>
      <c r="E3158" t="s">
        <v>9538</v>
      </c>
      <c r="F3158" t="s">
        <v>3396</v>
      </c>
      <c r="G3158" t="s">
        <v>212</v>
      </c>
      <c r="H3158" t="s">
        <v>9876</v>
      </c>
      <c r="I3158" t="s">
        <v>9877</v>
      </c>
      <c r="J3158" t="s">
        <v>215</v>
      </c>
      <c r="K3158" t="s">
        <v>55</v>
      </c>
      <c r="L3158" t="s">
        <v>9621</v>
      </c>
      <c r="M3158" t="s">
        <v>57</v>
      </c>
      <c r="N3158" t="str">
        <f t="shared" si="2"/>
        <v>052514</v>
      </c>
      <c r="O3158" t="s">
        <v>2465</v>
      </c>
      <c r="P3158" t="s">
        <v>68</v>
      </c>
      <c r="Q3158" t="s">
        <v>68</v>
      </c>
      <c r="R3158" t="s">
        <v>68</v>
      </c>
      <c r="S3158" t="s">
        <v>217</v>
      </c>
    </row>
    <row r="3159" spans="1:19" x14ac:dyDescent="0.35">
      <c r="A3159">
        <v>54650</v>
      </c>
      <c r="B3159" t="str">
        <f>"054650"</f>
        <v>054650</v>
      </c>
      <c r="C3159" t="s">
        <v>9878</v>
      </c>
      <c r="D3159" t="s">
        <v>3394</v>
      </c>
      <c r="E3159" t="s">
        <v>9538</v>
      </c>
      <c r="F3159" t="s">
        <v>3396</v>
      </c>
      <c r="G3159" t="s">
        <v>244</v>
      </c>
      <c r="H3159" t="s">
        <v>9879</v>
      </c>
      <c r="I3159" t="s">
        <v>9880</v>
      </c>
      <c r="J3159" t="s">
        <v>92</v>
      </c>
      <c r="K3159" t="s">
        <v>55</v>
      </c>
      <c r="L3159" t="s">
        <v>2423</v>
      </c>
      <c r="M3159" t="s">
        <v>57</v>
      </c>
      <c r="N3159" t="str">
        <f t="shared" si="2"/>
        <v>052514</v>
      </c>
      <c r="O3159" t="s">
        <v>2465</v>
      </c>
      <c r="P3159" t="s">
        <v>68</v>
      </c>
      <c r="Q3159" t="s">
        <v>68</v>
      </c>
      <c r="R3159" t="s">
        <v>68</v>
      </c>
      <c r="S3159" t="s">
        <v>217</v>
      </c>
    </row>
    <row r="3160" spans="1:19" x14ac:dyDescent="0.35">
      <c r="A3160">
        <v>54692</v>
      </c>
      <c r="B3160" t="str">
        <f>"054692"</f>
        <v>054692</v>
      </c>
      <c r="C3160" t="s">
        <v>9881</v>
      </c>
      <c r="D3160" t="s">
        <v>3394</v>
      </c>
      <c r="E3160" t="s">
        <v>9538</v>
      </c>
      <c r="F3160" t="s">
        <v>3396</v>
      </c>
      <c r="G3160" t="s">
        <v>543</v>
      </c>
      <c r="H3160" t="s">
        <v>9882</v>
      </c>
      <c r="I3160" t="s">
        <v>9883</v>
      </c>
      <c r="J3160" t="s">
        <v>687</v>
      </c>
      <c r="K3160" t="s">
        <v>55</v>
      </c>
      <c r="L3160" t="s">
        <v>1962</v>
      </c>
      <c r="M3160" t="s">
        <v>57</v>
      </c>
      <c r="N3160" t="str">
        <f t="shared" si="2"/>
        <v>052514</v>
      </c>
      <c r="O3160" t="s">
        <v>2465</v>
      </c>
      <c r="P3160" t="s">
        <v>68</v>
      </c>
      <c r="Q3160" t="s">
        <v>68</v>
      </c>
      <c r="R3160" t="s">
        <v>68</v>
      </c>
      <c r="S3160" t="s">
        <v>180</v>
      </c>
    </row>
    <row r="3161" spans="1:19" x14ac:dyDescent="0.35">
      <c r="A3161">
        <v>54718</v>
      </c>
      <c r="B3161" t="str">
        <f>"054718"</f>
        <v>054718</v>
      </c>
      <c r="C3161" t="s">
        <v>9884</v>
      </c>
      <c r="D3161" t="s">
        <v>3394</v>
      </c>
      <c r="E3161" t="s">
        <v>9538</v>
      </c>
      <c r="F3161" t="s">
        <v>3396</v>
      </c>
      <c r="G3161" t="s">
        <v>212</v>
      </c>
      <c r="H3161" t="s">
        <v>9885</v>
      </c>
      <c r="I3161" t="s">
        <v>9886</v>
      </c>
      <c r="J3161" t="s">
        <v>215</v>
      </c>
      <c r="K3161" t="s">
        <v>55</v>
      </c>
      <c r="L3161" t="s">
        <v>3974</v>
      </c>
      <c r="M3161" t="s">
        <v>57</v>
      </c>
      <c r="N3161" t="str">
        <f t="shared" si="2"/>
        <v>052514</v>
      </c>
      <c r="O3161" t="s">
        <v>2465</v>
      </c>
      <c r="P3161" t="s">
        <v>68</v>
      </c>
      <c r="Q3161" t="s">
        <v>68</v>
      </c>
      <c r="R3161" t="s">
        <v>68</v>
      </c>
      <c r="S3161" t="s">
        <v>217</v>
      </c>
    </row>
    <row r="3162" spans="1:19" x14ac:dyDescent="0.35">
      <c r="A3162">
        <v>54726</v>
      </c>
      <c r="B3162" t="str">
        <f>"054726"</f>
        <v>054726</v>
      </c>
      <c r="C3162" t="s">
        <v>9887</v>
      </c>
      <c r="D3162" t="s">
        <v>3398</v>
      </c>
      <c r="E3162" t="s">
        <v>9538</v>
      </c>
      <c r="F3162" t="s">
        <v>3396</v>
      </c>
      <c r="G3162" t="s">
        <v>212</v>
      </c>
      <c r="H3162" t="s">
        <v>9888</v>
      </c>
      <c r="I3162" t="s">
        <v>9889</v>
      </c>
      <c r="J3162" t="s">
        <v>215</v>
      </c>
      <c r="K3162" t="s">
        <v>55</v>
      </c>
      <c r="L3162" t="s">
        <v>3919</v>
      </c>
      <c r="M3162" t="s">
        <v>57</v>
      </c>
      <c r="N3162" t="str">
        <f>"054726"</f>
        <v>054726</v>
      </c>
      <c r="O3162" t="s">
        <v>9887</v>
      </c>
      <c r="P3162" t="s">
        <v>68</v>
      </c>
      <c r="Q3162" t="s">
        <v>68</v>
      </c>
      <c r="R3162" t="s">
        <v>68</v>
      </c>
      <c r="S3162" t="s">
        <v>217</v>
      </c>
    </row>
    <row r="3163" spans="1:19" x14ac:dyDescent="0.35">
      <c r="A3163">
        <v>54726</v>
      </c>
      <c r="B3163" t="str">
        <f>"054726"</f>
        <v>054726</v>
      </c>
      <c r="C3163" t="s">
        <v>9887</v>
      </c>
      <c r="D3163" t="s">
        <v>9541</v>
      </c>
      <c r="E3163" t="s">
        <v>9538</v>
      </c>
      <c r="F3163" t="s">
        <v>3396</v>
      </c>
      <c r="G3163" t="s">
        <v>212</v>
      </c>
      <c r="H3163" t="s">
        <v>9888</v>
      </c>
      <c r="I3163" t="s">
        <v>9889</v>
      </c>
      <c r="J3163" t="s">
        <v>215</v>
      </c>
      <c r="K3163" t="s">
        <v>55</v>
      </c>
      <c r="L3163" t="s">
        <v>3919</v>
      </c>
      <c r="M3163" t="s">
        <v>57</v>
      </c>
      <c r="N3163" t="str">
        <f>"054726"</f>
        <v>054726</v>
      </c>
      <c r="O3163" t="s">
        <v>9887</v>
      </c>
      <c r="P3163" t="s">
        <v>68</v>
      </c>
      <c r="Q3163" t="s">
        <v>68</v>
      </c>
      <c r="R3163" t="s">
        <v>68</v>
      </c>
      <c r="S3163" t="s">
        <v>217</v>
      </c>
    </row>
    <row r="3164" spans="1:19" x14ac:dyDescent="0.35">
      <c r="A3164">
        <v>54742</v>
      </c>
      <c r="B3164" t="str">
        <f>"054742"</f>
        <v>054742</v>
      </c>
      <c r="C3164" t="s">
        <v>9890</v>
      </c>
      <c r="D3164" t="s">
        <v>3394</v>
      </c>
      <c r="E3164" t="s">
        <v>9538</v>
      </c>
      <c r="F3164" t="s">
        <v>3396</v>
      </c>
      <c r="G3164" t="s">
        <v>212</v>
      </c>
      <c r="H3164" t="s">
        <v>9891</v>
      </c>
      <c r="I3164" t="s">
        <v>9892</v>
      </c>
      <c r="J3164" t="s">
        <v>215</v>
      </c>
      <c r="K3164" t="s">
        <v>55</v>
      </c>
      <c r="L3164" t="s">
        <v>614</v>
      </c>
      <c r="M3164" t="s">
        <v>57</v>
      </c>
      <c r="N3164" t="str">
        <f t="shared" ref="N3164:N3212" si="3">"052514"</f>
        <v>052514</v>
      </c>
      <c r="O3164" t="s">
        <v>2465</v>
      </c>
      <c r="P3164" t="s">
        <v>68</v>
      </c>
      <c r="Q3164" t="s">
        <v>68</v>
      </c>
      <c r="R3164" t="s">
        <v>68</v>
      </c>
      <c r="S3164" t="s">
        <v>217</v>
      </c>
    </row>
    <row r="3165" spans="1:19" x14ac:dyDescent="0.35">
      <c r="A3165">
        <v>54759</v>
      </c>
      <c r="B3165" t="str">
        <f>"054759"</f>
        <v>054759</v>
      </c>
      <c r="C3165" t="s">
        <v>9893</v>
      </c>
      <c r="D3165" t="s">
        <v>3394</v>
      </c>
      <c r="E3165" t="s">
        <v>9538</v>
      </c>
      <c r="F3165" t="s">
        <v>3396</v>
      </c>
      <c r="G3165" t="s">
        <v>244</v>
      </c>
      <c r="H3165" t="s">
        <v>9894</v>
      </c>
      <c r="I3165" t="s">
        <v>9895</v>
      </c>
      <c r="J3165" t="s">
        <v>212</v>
      </c>
      <c r="K3165" t="s">
        <v>55</v>
      </c>
      <c r="L3165" t="s">
        <v>9896</v>
      </c>
      <c r="M3165" t="s">
        <v>57</v>
      </c>
      <c r="N3165" t="str">
        <f t="shared" si="3"/>
        <v>052514</v>
      </c>
      <c r="O3165" t="s">
        <v>2465</v>
      </c>
      <c r="P3165" t="s">
        <v>68</v>
      </c>
      <c r="Q3165" t="s">
        <v>68</v>
      </c>
      <c r="R3165" t="s">
        <v>68</v>
      </c>
      <c r="S3165" t="s">
        <v>217</v>
      </c>
    </row>
    <row r="3166" spans="1:19" x14ac:dyDescent="0.35">
      <c r="A3166">
        <v>54775</v>
      </c>
      <c r="B3166" t="str">
        <f>"054775"</f>
        <v>054775</v>
      </c>
      <c r="C3166" t="s">
        <v>9897</v>
      </c>
      <c r="D3166" t="s">
        <v>3394</v>
      </c>
      <c r="E3166" t="s">
        <v>9538</v>
      </c>
      <c r="F3166" t="s">
        <v>3396</v>
      </c>
      <c r="G3166" t="s">
        <v>543</v>
      </c>
      <c r="H3166" t="s">
        <v>9898</v>
      </c>
      <c r="I3166" t="s">
        <v>9899</v>
      </c>
      <c r="J3166" t="s">
        <v>687</v>
      </c>
      <c r="K3166" t="s">
        <v>55</v>
      </c>
      <c r="L3166" t="s">
        <v>9900</v>
      </c>
      <c r="M3166" t="s">
        <v>57</v>
      </c>
      <c r="N3166" t="str">
        <f t="shared" si="3"/>
        <v>052514</v>
      </c>
      <c r="O3166" t="s">
        <v>2465</v>
      </c>
      <c r="P3166" t="s">
        <v>68</v>
      </c>
      <c r="Q3166" t="s">
        <v>68</v>
      </c>
      <c r="R3166" t="s">
        <v>68</v>
      </c>
      <c r="S3166" t="s">
        <v>180</v>
      </c>
    </row>
    <row r="3167" spans="1:19" x14ac:dyDescent="0.35">
      <c r="A3167">
        <v>54783</v>
      </c>
      <c r="B3167" t="str">
        <f>"054783"</f>
        <v>054783</v>
      </c>
      <c r="C3167" t="s">
        <v>9901</v>
      </c>
      <c r="D3167" t="s">
        <v>3394</v>
      </c>
      <c r="E3167" t="s">
        <v>9538</v>
      </c>
      <c r="F3167" t="s">
        <v>3396</v>
      </c>
      <c r="G3167" t="s">
        <v>212</v>
      </c>
      <c r="H3167" t="s">
        <v>9902</v>
      </c>
      <c r="I3167" t="s">
        <v>9903</v>
      </c>
      <c r="J3167" t="s">
        <v>215</v>
      </c>
      <c r="K3167" t="s">
        <v>55</v>
      </c>
      <c r="L3167" t="s">
        <v>4199</v>
      </c>
      <c r="M3167" t="s">
        <v>57</v>
      </c>
      <c r="N3167" t="str">
        <f t="shared" si="3"/>
        <v>052514</v>
      </c>
      <c r="O3167" t="s">
        <v>2465</v>
      </c>
      <c r="P3167" t="s">
        <v>68</v>
      </c>
      <c r="Q3167" t="s">
        <v>68</v>
      </c>
      <c r="R3167" t="s">
        <v>68</v>
      </c>
      <c r="S3167" t="s">
        <v>217</v>
      </c>
    </row>
    <row r="3168" spans="1:19" x14ac:dyDescent="0.35">
      <c r="A3168">
        <v>54809</v>
      </c>
      <c r="B3168" t="str">
        <f>"054809"</f>
        <v>054809</v>
      </c>
      <c r="C3168" t="s">
        <v>9904</v>
      </c>
      <c r="D3168" t="s">
        <v>3394</v>
      </c>
      <c r="E3168" t="s">
        <v>9538</v>
      </c>
      <c r="F3168" t="s">
        <v>3396</v>
      </c>
      <c r="G3168" t="s">
        <v>212</v>
      </c>
      <c r="H3168" t="s">
        <v>9905</v>
      </c>
      <c r="I3168" t="s">
        <v>9906</v>
      </c>
      <c r="J3168" t="s">
        <v>215</v>
      </c>
      <c r="K3168" t="s">
        <v>55</v>
      </c>
      <c r="L3168" t="s">
        <v>914</v>
      </c>
      <c r="M3168" t="s">
        <v>57</v>
      </c>
      <c r="N3168" t="str">
        <f t="shared" si="3"/>
        <v>052514</v>
      </c>
      <c r="O3168" t="s">
        <v>2465</v>
      </c>
      <c r="P3168" t="s">
        <v>68</v>
      </c>
      <c r="Q3168" t="s">
        <v>68</v>
      </c>
      <c r="R3168" t="s">
        <v>68</v>
      </c>
      <c r="S3168" t="s">
        <v>217</v>
      </c>
    </row>
    <row r="3169" spans="1:19" x14ac:dyDescent="0.35">
      <c r="A3169">
        <v>54817</v>
      </c>
      <c r="B3169" t="str">
        <f>"054817"</f>
        <v>054817</v>
      </c>
      <c r="C3169" t="s">
        <v>9907</v>
      </c>
      <c r="D3169" t="s">
        <v>3394</v>
      </c>
      <c r="E3169" t="s">
        <v>9538</v>
      </c>
      <c r="F3169" t="s">
        <v>3396</v>
      </c>
      <c r="G3169" t="s">
        <v>1041</v>
      </c>
      <c r="H3169" t="s">
        <v>9908</v>
      </c>
      <c r="I3169" t="s">
        <v>9909</v>
      </c>
      <c r="J3169" t="s">
        <v>3480</v>
      </c>
      <c r="K3169" t="s">
        <v>55</v>
      </c>
      <c r="L3169" t="s">
        <v>3481</v>
      </c>
      <c r="M3169" t="s">
        <v>57</v>
      </c>
      <c r="N3169" t="str">
        <f t="shared" si="3"/>
        <v>052514</v>
      </c>
      <c r="O3169" t="s">
        <v>2465</v>
      </c>
      <c r="P3169" t="s">
        <v>68</v>
      </c>
      <c r="Q3169" t="s">
        <v>68</v>
      </c>
      <c r="R3169" t="s">
        <v>68</v>
      </c>
      <c r="S3169" t="s">
        <v>217</v>
      </c>
    </row>
    <row r="3170" spans="1:19" x14ac:dyDescent="0.35">
      <c r="A3170">
        <v>54833</v>
      </c>
      <c r="B3170" t="str">
        <f>"054833"</f>
        <v>054833</v>
      </c>
      <c r="C3170" t="s">
        <v>9910</v>
      </c>
      <c r="D3170" t="s">
        <v>3394</v>
      </c>
      <c r="E3170" t="s">
        <v>9538</v>
      </c>
      <c r="F3170" t="s">
        <v>3396</v>
      </c>
      <c r="G3170" t="s">
        <v>212</v>
      </c>
      <c r="H3170" t="s">
        <v>9911</v>
      </c>
      <c r="I3170" t="s">
        <v>9912</v>
      </c>
      <c r="J3170" t="s">
        <v>215</v>
      </c>
      <c r="K3170" t="s">
        <v>55</v>
      </c>
      <c r="L3170" t="s">
        <v>7059</v>
      </c>
      <c r="M3170" t="s">
        <v>57</v>
      </c>
      <c r="N3170" t="str">
        <f t="shared" si="3"/>
        <v>052514</v>
      </c>
      <c r="O3170" t="s">
        <v>2465</v>
      </c>
      <c r="P3170" t="s">
        <v>68</v>
      </c>
      <c r="Q3170" t="s">
        <v>68</v>
      </c>
      <c r="R3170" t="s">
        <v>68</v>
      </c>
      <c r="S3170" t="s">
        <v>217</v>
      </c>
    </row>
    <row r="3171" spans="1:19" x14ac:dyDescent="0.35">
      <c r="A3171">
        <v>54866</v>
      </c>
      <c r="B3171" t="str">
        <f>"054866"</f>
        <v>054866</v>
      </c>
      <c r="C3171" t="s">
        <v>9913</v>
      </c>
      <c r="D3171" t="s">
        <v>3394</v>
      </c>
      <c r="E3171" t="s">
        <v>9538</v>
      </c>
      <c r="F3171" t="s">
        <v>3396</v>
      </c>
      <c r="G3171" t="s">
        <v>212</v>
      </c>
      <c r="H3171" t="s">
        <v>9914</v>
      </c>
      <c r="I3171" t="s">
        <v>9915</v>
      </c>
      <c r="J3171" t="s">
        <v>215</v>
      </c>
      <c r="K3171" t="s">
        <v>55</v>
      </c>
      <c r="L3171" t="s">
        <v>2795</v>
      </c>
      <c r="M3171" t="s">
        <v>57</v>
      </c>
      <c r="N3171" t="str">
        <f t="shared" si="3"/>
        <v>052514</v>
      </c>
      <c r="O3171" t="s">
        <v>2465</v>
      </c>
      <c r="P3171" t="s">
        <v>68</v>
      </c>
      <c r="Q3171" t="s">
        <v>68</v>
      </c>
      <c r="R3171" t="s">
        <v>68</v>
      </c>
      <c r="S3171" t="s">
        <v>217</v>
      </c>
    </row>
    <row r="3172" spans="1:19" x14ac:dyDescent="0.35">
      <c r="A3172">
        <v>54882</v>
      </c>
      <c r="B3172" t="str">
        <f>"054882"</f>
        <v>054882</v>
      </c>
      <c r="C3172" t="s">
        <v>9916</v>
      </c>
      <c r="D3172" t="s">
        <v>3394</v>
      </c>
      <c r="E3172" t="s">
        <v>9538</v>
      </c>
      <c r="F3172" t="s">
        <v>3396</v>
      </c>
      <c r="G3172" t="s">
        <v>642</v>
      </c>
      <c r="H3172" t="s">
        <v>9917</v>
      </c>
      <c r="I3172" t="s">
        <v>9918</v>
      </c>
      <c r="J3172" t="s">
        <v>1469</v>
      </c>
      <c r="K3172" t="s">
        <v>55</v>
      </c>
      <c r="L3172" t="s">
        <v>1470</v>
      </c>
      <c r="M3172" t="s">
        <v>57</v>
      </c>
      <c r="N3172" t="str">
        <f t="shared" si="3"/>
        <v>052514</v>
      </c>
      <c r="O3172" t="s">
        <v>2465</v>
      </c>
      <c r="P3172" t="s">
        <v>68</v>
      </c>
      <c r="Q3172" t="s">
        <v>68</v>
      </c>
      <c r="R3172" t="s">
        <v>68</v>
      </c>
      <c r="S3172" t="s">
        <v>180</v>
      </c>
    </row>
    <row r="3173" spans="1:19" x14ac:dyDescent="0.35">
      <c r="A3173">
        <v>54890</v>
      </c>
      <c r="B3173" t="str">
        <f>"054890"</f>
        <v>054890</v>
      </c>
      <c r="C3173" t="s">
        <v>9919</v>
      </c>
      <c r="D3173" t="s">
        <v>3394</v>
      </c>
      <c r="E3173" t="s">
        <v>9538</v>
      </c>
      <c r="F3173" t="s">
        <v>3396</v>
      </c>
      <c r="G3173" t="s">
        <v>212</v>
      </c>
      <c r="H3173" t="s">
        <v>9920</v>
      </c>
      <c r="I3173" t="s">
        <v>9921</v>
      </c>
      <c r="J3173" t="s">
        <v>215</v>
      </c>
      <c r="K3173" t="s">
        <v>55</v>
      </c>
      <c r="L3173" t="s">
        <v>3974</v>
      </c>
      <c r="M3173" t="s">
        <v>57</v>
      </c>
      <c r="N3173" t="str">
        <f t="shared" si="3"/>
        <v>052514</v>
      </c>
      <c r="O3173" t="s">
        <v>2465</v>
      </c>
      <c r="P3173" t="s">
        <v>68</v>
      </c>
      <c r="Q3173" t="s">
        <v>68</v>
      </c>
      <c r="R3173" t="s">
        <v>68</v>
      </c>
      <c r="S3173" t="s">
        <v>217</v>
      </c>
    </row>
    <row r="3174" spans="1:19" x14ac:dyDescent="0.35">
      <c r="A3174">
        <v>54908</v>
      </c>
      <c r="B3174" t="str">
        <f>"054908"</f>
        <v>054908</v>
      </c>
      <c r="C3174" t="s">
        <v>9922</v>
      </c>
      <c r="D3174" t="s">
        <v>3394</v>
      </c>
      <c r="E3174" t="s">
        <v>9538</v>
      </c>
      <c r="F3174" t="s">
        <v>3396</v>
      </c>
      <c r="G3174" t="s">
        <v>212</v>
      </c>
      <c r="H3174" t="s">
        <v>9923</v>
      </c>
      <c r="I3174" t="s">
        <v>9924</v>
      </c>
      <c r="J3174" t="s">
        <v>215</v>
      </c>
      <c r="K3174" t="s">
        <v>55</v>
      </c>
      <c r="L3174" t="s">
        <v>9925</v>
      </c>
      <c r="M3174" t="s">
        <v>57</v>
      </c>
      <c r="N3174" t="str">
        <f t="shared" si="3"/>
        <v>052514</v>
      </c>
      <c r="O3174" t="s">
        <v>2465</v>
      </c>
      <c r="P3174" t="s">
        <v>68</v>
      </c>
      <c r="Q3174" t="s">
        <v>68</v>
      </c>
      <c r="R3174" t="s">
        <v>68</v>
      </c>
      <c r="S3174" t="s">
        <v>217</v>
      </c>
    </row>
    <row r="3175" spans="1:19" x14ac:dyDescent="0.35">
      <c r="A3175">
        <v>54916</v>
      </c>
      <c r="B3175" t="str">
        <f>"054916"</f>
        <v>054916</v>
      </c>
      <c r="C3175" t="s">
        <v>9926</v>
      </c>
      <c r="D3175" t="s">
        <v>3394</v>
      </c>
      <c r="E3175" t="s">
        <v>9538</v>
      </c>
      <c r="F3175" t="s">
        <v>3396</v>
      </c>
      <c r="G3175" t="s">
        <v>543</v>
      </c>
      <c r="H3175" t="s">
        <v>9927</v>
      </c>
      <c r="I3175" t="s">
        <v>9928</v>
      </c>
      <c r="J3175" t="s">
        <v>1961</v>
      </c>
      <c r="K3175" t="s">
        <v>55</v>
      </c>
      <c r="L3175" t="s">
        <v>1962</v>
      </c>
      <c r="M3175" t="s">
        <v>57</v>
      </c>
      <c r="N3175" t="str">
        <f t="shared" si="3"/>
        <v>052514</v>
      </c>
      <c r="O3175" t="s">
        <v>2465</v>
      </c>
      <c r="P3175" t="s">
        <v>68</v>
      </c>
      <c r="Q3175" t="s">
        <v>68</v>
      </c>
      <c r="R3175" t="s">
        <v>68</v>
      </c>
      <c r="S3175" t="s">
        <v>180</v>
      </c>
    </row>
    <row r="3176" spans="1:19" x14ac:dyDescent="0.35">
      <c r="A3176">
        <v>54932</v>
      </c>
      <c r="B3176" t="str">
        <f>"054932"</f>
        <v>054932</v>
      </c>
      <c r="C3176" t="s">
        <v>9929</v>
      </c>
      <c r="D3176" t="s">
        <v>3394</v>
      </c>
      <c r="E3176" t="s">
        <v>9538</v>
      </c>
      <c r="F3176" t="s">
        <v>3396</v>
      </c>
      <c r="G3176" t="s">
        <v>543</v>
      </c>
      <c r="H3176" t="s">
        <v>9930</v>
      </c>
      <c r="I3176" t="s">
        <v>9931</v>
      </c>
      <c r="J3176" t="s">
        <v>3061</v>
      </c>
      <c r="K3176" t="s">
        <v>55</v>
      </c>
      <c r="L3176" t="s">
        <v>3062</v>
      </c>
      <c r="M3176" t="s">
        <v>57</v>
      </c>
      <c r="N3176" t="str">
        <f t="shared" si="3"/>
        <v>052514</v>
      </c>
      <c r="O3176" t="s">
        <v>2465</v>
      </c>
      <c r="P3176" t="s">
        <v>68</v>
      </c>
      <c r="Q3176" t="s">
        <v>68</v>
      </c>
      <c r="R3176" t="s">
        <v>68</v>
      </c>
      <c r="S3176" t="s">
        <v>180</v>
      </c>
    </row>
    <row r="3177" spans="1:19" x14ac:dyDescent="0.35">
      <c r="A3177">
        <v>54957</v>
      </c>
      <c r="B3177" t="str">
        <f>"054957"</f>
        <v>054957</v>
      </c>
      <c r="C3177" t="s">
        <v>9932</v>
      </c>
      <c r="D3177" t="s">
        <v>3394</v>
      </c>
      <c r="E3177" t="s">
        <v>9538</v>
      </c>
      <c r="F3177" t="s">
        <v>3396</v>
      </c>
      <c r="G3177" t="s">
        <v>212</v>
      </c>
      <c r="H3177" t="s">
        <v>9933</v>
      </c>
      <c r="I3177" t="s">
        <v>9934</v>
      </c>
      <c r="J3177" t="s">
        <v>215</v>
      </c>
      <c r="K3177" t="s">
        <v>55</v>
      </c>
      <c r="L3177" t="s">
        <v>736</v>
      </c>
      <c r="M3177" t="s">
        <v>57</v>
      </c>
      <c r="N3177" t="str">
        <f t="shared" si="3"/>
        <v>052514</v>
      </c>
      <c r="O3177" t="s">
        <v>2465</v>
      </c>
      <c r="P3177" t="s">
        <v>68</v>
      </c>
      <c r="Q3177" t="s">
        <v>68</v>
      </c>
      <c r="R3177" t="s">
        <v>68</v>
      </c>
      <c r="S3177" t="s">
        <v>217</v>
      </c>
    </row>
    <row r="3178" spans="1:19" x14ac:dyDescent="0.35">
      <c r="A3178">
        <v>54965</v>
      </c>
      <c r="B3178" t="str">
        <f>"054965"</f>
        <v>054965</v>
      </c>
      <c r="C3178" t="s">
        <v>9935</v>
      </c>
      <c r="D3178" t="s">
        <v>3394</v>
      </c>
      <c r="E3178" t="s">
        <v>9538</v>
      </c>
      <c r="F3178" t="s">
        <v>3396</v>
      </c>
      <c r="G3178" t="s">
        <v>1041</v>
      </c>
      <c r="H3178" t="s">
        <v>9936</v>
      </c>
      <c r="I3178" t="s">
        <v>9937</v>
      </c>
      <c r="J3178" t="s">
        <v>3371</v>
      </c>
      <c r="K3178" t="s">
        <v>55</v>
      </c>
      <c r="L3178" t="s">
        <v>3372</v>
      </c>
      <c r="M3178" t="s">
        <v>57</v>
      </c>
      <c r="N3178" t="str">
        <f t="shared" si="3"/>
        <v>052514</v>
      </c>
      <c r="O3178" t="s">
        <v>2465</v>
      </c>
      <c r="P3178" t="s">
        <v>68</v>
      </c>
      <c r="Q3178" t="s">
        <v>68</v>
      </c>
      <c r="R3178" t="s">
        <v>68</v>
      </c>
      <c r="S3178" t="s">
        <v>217</v>
      </c>
    </row>
    <row r="3179" spans="1:19" x14ac:dyDescent="0.35">
      <c r="A3179">
        <v>54973</v>
      </c>
      <c r="B3179" t="str">
        <f>"054973"</f>
        <v>054973</v>
      </c>
      <c r="C3179" t="s">
        <v>9938</v>
      </c>
      <c r="D3179" t="s">
        <v>3394</v>
      </c>
      <c r="E3179" t="s">
        <v>9538</v>
      </c>
      <c r="F3179" t="s">
        <v>3396</v>
      </c>
      <c r="G3179" t="s">
        <v>212</v>
      </c>
      <c r="H3179" t="s">
        <v>9939</v>
      </c>
      <c r="I3179" t="s">
        <v>9940</v>
      </c>
      <c r="J3179" t="s">
        <v>215</v>
      </c>
      <c r="K3179" t="s">
        <v>55</v>
      </c>
      <c r="L3179" t="s">
        <v>4199</v>
      </c>
      <c r="M3179" t="s">
        <v>57</v>
      </c>
      <c r="N3179" t="str">
        <f t="shared" si="3"/>
        <v>052514</v>
      </c>
      <c r="O3179" t="s">
        <v>2465</v>
      </c>
      <c r="P3179" t="s">
        <v>68</v>
      </c>
      <c r="Q3179" t="s">
        <v>68</v>
      </c>
      <c r="R3179" t="s">
        <v>68</v>
      </c>
      <c r="S3179" t="s">
        <v>217</v>
      </c>
    </row>
    <row r="3180" spans="1:19" x14ac:dyDescent="0.35">
      <c r="A3180">
        <v>54999</v>
      </c>
      <c r="B3180" t="str">
        <f>"054999"</f>
        <v>054999</v>
      </c>
      <c r="C3180" t="s">
        <v>9941</v>
      </c>
      <c r="D3180" t="s">
        <v>3394</v>
      </c>
      <c r="E3180" t="s">
        <v>9538</v>
      </c>
      <c r="F3180" t="s">
        <v>3396</v>
      </c>
      <c r="G3180" t="s">
        <v>212</v>
      </c>
      <c r="H3180" t="s">
        <v>9942</v>
      </c>
      <c r="I3180" t="s">
        <v>9943</v>
      </c>
      <c r="J3180" t="s">
        <v>215</v>
      </c>
      <c r="K3180" t="s">
        <v>55</v>
      </c>
      <c r="L3180" t="s">
        <v>4767</v>
      </c>
      <c r="M3180" t="s">
        <v>57</v>
      </c>
      <c r="N3180" t="str">
        <f t="shared" si="3"/>
        <v>052514</v>
      </c>
      <c r="O3180" t="s">
        <v>2465</v>
      </c>
      <c r="P3180" t="s">
        <v>68</v>
      </c>
      <c r="Q3180" t="s">
        <v>68</v>
      </c>
      <c r="R3180" t="s">
        <v>68</v>
      </c>
      <c r="S3180" t="s">
        <v>217</v>
      </c>
    </row>
    <row r="3181" spans="1:19" x14ac:dyDescent="0.35">
      <c r="A3181">
        <v>55004</v>
      </c>
      <c r="B3181" t="str">
        <f>"055004"</f>
        <v>055004</v>
      </c>
      <c r="C3181" t="s">
        <v>9941</v>
      </c>
      <c r="D3181" t="s">
        <v>3394</v>
      </c>
      <c r="E3181" t="s">
        <v>9538</v>
      </c>
      <c r="F3181" t="s">
        <v>3396</v>
      </c>
      <c r="G3181" t="s">
        <v>172</v>
      </c>
      <c r="H3181" t="s">
        <v>9944</v>
      </c>
      <c r="I3181" t="s">
        <v>9945</v>
      </c>
      <c r="J3181" t="s">
        <v>629</v>
      </c>
      <c r="K3181" t="s">
        <v>55</v>
      </c>
      <c r="L3181" t="s">
        <v>630</v>
      </c>
      <c r="M3181" t="s">
        <v>57</v>
      </c>
      <c r="N3181" t="str">
        <f t="shared" si="3"/>
        <v>052514</v>
      </c>
      <c r="O3181" t="s">
        <v>2465</v>
      </c>
      <c r="P3181" t="s">
        <v>68</v>
      </c>
      <c r="Q3181" t="s">
        <v>68</v>
      </c>
      <c r="R3181" t="s">
        <v>68</v>
      </c>
      <c r="S3181" t="s">
        <v>217</v>
      </c>
    </row>
    <row r="3182" spans="1:19" x14ac:dyDescent="0.35">
      <c r="A3182">
        <v>55012</v>
      </c>
      <c r="B3182" t="str">
        <f>"055012"</f>
        <v>055012</v>
      </c>
      <c r="C3182" t="s">
        <v>9946</v>
      </c>
      <c r="D3182" t="s">
        <v>3394</v>
      </c>
      <c r="E3182" t="s">
        <v>9538</v>
      </c>
      <c r="F3182" t="s">
        <v>3396</v>
      </c>
      <c r="G3182" t="s">
        <v>212</v>
      </c>
      <c r="H3182" t="s">
        <v>9947</v>
      </c>
      <c r="I3182" t="s">
        <v>9948</v>
      </c>
      <c r="J3182" t="s">
        <v>215</v>
      </c>
      <c r="K3182" t="s">
        <v>55</v>
      </c>
      <c r="L3182" t="s">
        <v>2468</v>
      </c>
      <c r="M3182" t="s">
        <v>57</v>
      </c>
      <c r="N3182" t="str">
        <f t="shared" si="3"/>
        <v>052514</v>
      </c>
      <c r="O3182" t="s">
        <v>2465</v>
      </c>
      <c r="P3182" t="s">
        <v>68</v>
      </c>
      <c r="Q3182" t="s">
        <v>68</v>
      </c>
      <c r="R3182" t="s">
        <v>68</v>
      </c>
      <c r="S3182" t="s">
        <v>217</v>
      </c>
    </row>
    <row r="3183" spans="1:19" x14ac:dyDescent="0.35">
      <c r="A3183">
        <v>55020</v>
      </c>
      <c r="B3183" t="str">
        <f>"055020"</f>
        <v>055020</v>
      </c>
      <c r="C3183" t="s">
        <v>9949</v>
      </c>
      <c r="D3183" t="s">
        <v>3394</v>
      </c>
      <c r="E3183" t="s">
        <v>9538</v>
      </c>
      <c r="F3183" t="s">
        <v>3396</v>
      </c>
      <c r="G3183" t="s">
        <v>212</v>
      </c>
      <c r="H3183" t="s">
        <v>9950</v>
      </c>
      <c r="I3183" t="s">
        <v>9951</v>
      </c>
      <c r="J3183" t="s">
        <v>215</v>
      </c>
      <c r="K3183" t="s">
        <v>55</v>
      </c>
      <c r="L3183" t="s">
        <v>5475</v>
      </c>
      <c r="M3183" t="s">
        <v>57</v>
      </c>
      <c r="N3183" t="str">
        <f t="shared" si="3"/>
        <v>052514</v>
      </c>
      <c r="O3183" t="s">
        <v>2465</v>
      </c>
      <c r="P3183" t="s">
        <v>68</v>
      </c>
      <c r="Q3183" t="s">
        <v>68</v>
      </c>
      <c r="R3183" t="s">
        <v>68</v>
      </c>
      <c r="S3183" t="s">
        <v>217</v>
      </c>
    </row>
    <row r="3184" spans="1:19" x14ac:dyDescent="0.35">
      <c r="A3184">
        <v>55038</v>
      </c>
      <c r="B3184" t="str">
        <f>"055038"</f>
        <v>055038</v>
      </c>
      <c r="C3184" t="s">
        <v>9952</v>
      </c>
      <c r="D3184" t="s">
        <v>3394</v>
      </c>
      <c r="E3184" t="s">
        <v>9538</v>
      </c>
      <c r="F3184" t="s">
        <v>3396</v>
      </c>
      <c r="G3184" t="s">
        <v>212</v>
      </c>
      <c r="H3184" t="s">
        <v>9953</v>
      </c>
      <c r="I3184" t="s">
        <v>9954</v>
      </c>
      <c r="J3184" t="s">
        <v>215</v>
      </c>
      <c r="K3184" t="s">
        <v>55</v>
      </c>
      <c r="L3184" t="s">
        <v>443</v>
      </c>
      <c r="M3184" t="s">
        <v>57</v>
      </c>
      <c r="N3184" t="str">
        <f t="shared" si="3"/>
        <v>052514</v>
      </c>
      <c r="O3184" t="s">
        <v>2465</v>
      </c>
      <c r="P3184" t="s">
        <v>68</v>
      </c>
      <c r="Q3184" t="s">
        <v>68</v>
      </c>
      <c r="R3184" t="s">
        <v>68</v>
      </c>
      <c r="S3184" t="s">
        <v>217</v>
      </c>
    </row>
    <row r="3185" spans="1:19" x14ac:dyDescent="0.35">
      <c r="A3185">
        <v>55046</v>
      </c>
      <c r="B3185" t="str">
        <f>"055046"</f>
        <v>055046</v>
      </c>
      <c r="C3185" t="s">
        <v>9955</v>
      </c>
      <c r="D3185" t="s">
        <v>3394</v>
      </c>
      <c r="E3185" t="s">
        <v>9538</v>
      </c>
      <c r="F3185" t="s">
        <v>3396</v>
      </c>
      <c r="G3185" t="s">
        <v>212</v>
      </c>
      <c r="H3185" t="s">
        <v>9956</v>
      </c>
      <c r="I3185" t="s">
        <v>9957</v>
      </c>
      <c r="J3185" t="s">
        <v>215</v>
      </c>
      <c r="K3185" t="s">
        <v>55</v>
      </c>
      <c r="L3185" t="s">
        <v>216</v>
      </c>
      <c r="M3185" t="s">
        <v>57</v>
      </c>
      <c r="N3185" t="str">
        <f t="shared" si="3"/>
        <v>052514</v>
      </c>
      <c r="O3185" t="s">
        <v>2465</v>
      </c>
      <c r="P3185" t="s">
        <v>68</v>
      </c>
      <c r="Q3185" t="s">
        <v>68</v>
      </c>
      <c r="R3185" t="s">
        <v>68</v>
      </c>
      <c r="S3185" t="s">
        <v>217</v>
      </c>
    </row>
    <row r="3186" spans="1:19" x14ac:dyDescent="0.35">
      <c r="A3186">
        <v>55053</v>
      </c>
      <c r="B3186" t="str">
        <f>"055053"</f>
        <v>055053</v>
      </c>
      <c r="C3186" t="s">
        <v>9958</v>
      </c>
      <c r="D3186" t="s">
        <v>3394</v>
      </c>
      <c r="E3186" t="s">
        <v>9538</v>
      </c>
      <c r="F3186" t="s">
        <v>3396</v>
      </c>
      <c r="G3186" t="s">
        <v>543</v>
      </c>
      <c r="H3186" t="s">
        <v>9959</v>
      </c>
      <c r="I3186" t="s">
        <v>9960</v>
      </c>
      <c r="J3186" t="s">
        <v>687</v>
      </c>
      <c r="K3186" t="s">
        <v>55</v>
      </c>
      <c r="L3186" t="s">
        <v>688</v>
      </c>
      <c r="M3186" t="s">
        <v>57</v>
      </c>
      <c r="N3186" t="str">
        <f t="shared" si="3"/>
        <v>052514</v>
      </c>
      <c r="O3186" t="s">
        <v>2465</v>
      </c>
      <c r="P3186" t="s">
        <v>68</v>
      </c>
      <c r="Q3186" t="s">
        <v>68</v>
      </c>
      <c r="R3186" t="s">
        <v>68</v>
      </c>
      <c r="S3186" t="s">
        <v>180</v>
      </c>
    </row>
    <row r="3187" spans="1:19" x14ac:dyDescent="0.35">
      <c r="A3187">
        <v>55087</v>
      </c>
      <c r="B3187" t="str">
        <f>"055087"</f>
        <v>055087</v>
      </c>
      <c r="C3187" t="s">
        <v>9961</v>
      </c>
      <c r="D3187" t="s">
        <v>3394</v>
      </c>
      <c r="E3187" t="s">
        <v>9538</v>
      </c>
      <c r="F3187" t="s">
        <v>3396</v>
      </c>
      <c r="G3187" t="s">
        <v>212</v>
      </c>
      <c r="H3187" t="s">
        <v>9962</v>
      </c>
      <c r="I3187" t="s">
        <v>9963</v>
      </c>
      <c r="J3187" t="s">
        <v>215</v>
      </c>
      <c r="K3187" t="s">
        <v>55</v>
      </c>
      <c r="L3187" t="s">
        <v>7059</v>
      </c>
      <c r="M3187" t="s">
        <v>57</v>
      </c>
      <c r="N3187" t="str">
        <f t="shared" si="3"/>
        <v>052514</v>
      </c>
      <c r="O3187" t="s">
        <v>2465</v>
      </c>
      <c r="P3187" t="s">
        <v>68</v>
      </c>
      <c r="Q3187" t="s">
        <v>68</v>
      </c>
      <c r="R3187" t="s">
        <v>68</v>
      </c>
      <c r="S3187" t="s">
        <v>217</v>
      </c>
    </row>
    <row r="3188" spans="1:19" x14ac:dyDescent="0.35">
      <c r="A3188">
        <v>55103</v>
      </c>
      <c r="B3188" t="str">
        <f>"055103"</f>
        <v>055103</v>
      </c>
      <c r="C3188" t="s">
        <v>9964</v>
      </c>
      <c r="D3188" t="s">
        <v>3394</v>
      </c>
      <c r="E3188" t="s">
        <v>9538</v>
      </c>
      <c r="F3188" t="s">
        <v>3396</v>
      </c>
      <c r="G3188" t="s">
        <v>212</v>
      </c>
      <c r="H3188" t="s">
        <v>9965</v>
      </c>
      <c r="I3188" t="s">
        <v>9966</v>
      </c>
      <c r="J3188" t="s">
        <v>215</v>
      </c>
      <c r="K3188" t="s">
        <v>55</v>
      </c>
      <c r="L3188" t="s">
        <v>7059</v>
      </c>
      <c r="M3188" t="s">
        <v>57</v>
      </c>
      <c r="N3188" t="str">
        <f t="shared" si="3"/>
        <v>052514</v>
      </c>
      <c r="O3188" t="s">
        <v>2465</v>
      </c>
      <c r="P3188" t="s">
        <v>68</v>
      </c>
      <c r="Q3188" t="s">
        <v>68</v>
      </c>
      <c r="R3188" t="s">
        <v>68</v>
      </c>
      <c r="S3188" t="s">
        <v>217</v>
      </c>
    </row>
    <row r="3189" spans="1:19" x14ac:dyDescent="0.35">
      <c r="A3189">
        <v>55129</v>
      </c>
      <c r="B3189" t="str">
        <f>"055129"</f>
        <v>055129</v>
      </c>
      <c r="C3189" t="s">
        <v>9967</v>
      </c>
      <c r="D3189" t="s">
        <v>3394</v>
      </c>
      <c r="E3189" t="s">
        <v>9538</v>
      </c>
      <c r="F3189" t="s">
        <v>3396</v>
      </c>
      <c r="G3189" t="s">
        <v>244</v>
      </c>
      <c r="H3189" t="s">
        <v>9968</v>
      </c>
      <c r="I3189" t="s">
        <v>9969</v>
      </c>
      <c r="J3189" t="s">
        <v>1179</v>
      </c>
      <c r="K3189" t="s">
        <v>55</v>
      </c>
      <c r="L3189" t="s">
        <v>1180</v>
      </c>
      <c r="M3189" t="s">
        <v>57</v>
      </c>
      <c r="N3189" t="str">
        <f t="shared" si="3"/>
        <v>052514</v>
      </c>
      <c r="O3189" t="s">
        <v>2465</v>
      </c>
      <c r="P3189" t="s">
        <v>68</v>
      </c>
      <c r="Q3189" t="s">
        <v>68</v>
      </c>
      <c r="R3189" t="s">
        <v>68</v>
      </c>
      <c r="S3189" t="s">
        <v>217</v>
      </c>
    </row>
    <row r="3190" spans="1:19" x14ac:dyDescent="0.35">
      <c r="A3190">
        <v>55137</v>
      </c>
      <c r="B3190" t="str">
        <f>"055137"</f>
        <v>055137</v>
      </c>
      <c r="C3190" t="s">
        <v>9970</v>
      </c>
      <c r="D3190" t="s">
        <v>3394</v>
      </c>
      <c r="E3190" t="s">
        <v>9538</v>
      </c>
      <c r="F3190" t="s">
        <v>3396</v>
      </c>
      <c r="G3190" t="s">
        <v>212</v>
      </c>
      <c r="H3190" t="s">
        <v>9971</v>
      </c>
      <c r="I3190" t="s">
        <v>9972</v>
      </c>
      <c r="J3190" t="s">
        <v>215</v>
      </c>
      <c r="K3190" t="s">
        <v>55</v>
      </c>
      <c r="L3190" t="s">
        <v>9973</v>
      </c>
      <c r="M3190" t="s">
        <v>57</v>
      </c>
      <c r="N3190" t="str">
        <f t="shared" si="3"/>
        <v>052514</v>
      </c>
      <c r="O3190" t="s">
        <v>2465</v>
      </c>
      <c r="P3190" t="s">
        <v>68</v>
      </c>
      <c r="Q3190" t="s">
        <v>68</v>
      </c>
      <c r="R3190" t="s">
        <v>68</v>
      </c>
      <c r="S3190" t="s">
        <v>217</v>
      </c>
    </row>
    <row r="3191" spans="1:19" x14ac:dyDescent="0.35">
      <c r="A3191">
        <v>55145</v>
      </c>
      <c r="B3191" t="str">
        <f>"055145"</f>
        <v>055145</v>
      </c>
      <c r="C3191" t="s">
        <v>9970</v>
      </c>
      <c r="D3191" t="s">
        <v>3394</v>
      </c>
      <c r="E3191" t="s">
        <v>9538</v>
      </c>
      <c r="F3191" t="s">
        <v>3396</v>
      </c>
      <c r="G3191" t="s">
        <v>212</v>
      </c>
      <c r="H3191" t="s">
        <v>9974</v>
      </c>
      <c r="I3191" t="s">
        <v>9975</v>
      </c>
      <c r="J3191" t="s">
        <v>1187</v>
      </c>
      <c r="K3191" t="s">
        <v>55</v>
      </c>
      <c r="L3191" t="s">
        <v>2134</v>
      </c>
      <c r="M3191" t="s">
        <v>57</v>
      </c>
      <c r="N3191" t="str">
        <f t="shared" si="3"/>
        <v>052514</v>
      </c>
      <c r="O3191" t="s">
        <v>2465</v>
      </c>
      <c r="P3191" t="s">
        <v>68</v>
      </c>
      <c r="Q3191" t="s">
        <v>68</v>
      </c>
      <c r="R3191" t="s">
        <v>68</v>
      </c>
      <c r="S3191" t="s">
        <v>217</v>
      </c>
    </row>
    <row r="3192" spans="1:19" x14ac:dyDescent="0.35">
      <c r="A3192">
        <v>55178</v>
      </c>
      <c r="B3192" t="str">
        <f>"055178"</f>
        <v>055178</v>
      </c>
      <c r="C3192" t="s">
        <v>9976</v>
      </c>
      <c r="D3192" t="s">
        <v>3394</v>
      </c>
      <c r="E3192" t="s">
        <v>9538</v>
      </c>
      <c r="F3192" t="s">
        <v>3396</v>
      </c>
      <c r="G3192" t="s">
        <v>244</v>
      </c>
      <c r="H3192" t="s">
        <v>9977</v>
      </c>
      <c r="I3192" t="s">
        <v>9978</v>
      </c>
      <c r="J3192" t="s">
        <v>212</v>
      </c>
      <c r="K3192" t="s">
        <v>55</v>
      </c>
      <c r="L3192" t="s">
        <v>374</v>
      </c>
      <c r="M3192" t="s">
        <v>57</v>
      </c>
      <c r="N3192" t="str">
        <f t="shared" si="3"/>
        <v>052514</v>
      </c>
      <c r="O3192" t="s">
        <v>2465</v>
      </c>
      <c r="P3192" t="s">
        <v>68</v>
      </c>
      <c r="Q3192" t="s">
        <v>68</v>
      </c>
      <c r="R3192" t="s">
        <v>68</v>
      </c>
      <c r="S3192" t="s">
        <v>217</v>
      </c>
    </row>
    <row r="3193" spans="1:19" x14ac:dyDescent="0.35">
      <c r="A3193">
        <v>55210</v>
      </c>
      <c r="B3193" t="str">
        <f>"055210"</f>
        <v>055210</v>
      </c>
      <c r="C3193" t="s">
        <v>9979</v>
      </c>
      <c r="D3193" t="s">
        <v>3394</v>
      </c>
      <c r="E3193" t="s">
        <v>9538</v>
      </c>
      <c r="F3193" t="s">
        <v>3396</v>
      </c>
      <c r="G3193" t="s">
        <v>212</v>
      </c>
      <c r="H3193" t="s">
        <v>9980</v>
      </c>
      <c r="I3193" t="s">
        <v>9981</v>
      </c>
      <c r="J3193" t="s">
        <v>215</v>
      </c>
      <c r="K3193" t="s">
        <v>55</v>
      </c>
      <c r="L3193" t="s">
        <v>4346</v>
      </c>
      <c r="M3193" t="s">
        <v>57</v>
      </c>
      <c r="N3193" t="str">
        <f t="shared" si="3"/>
        <v>052514</v>
      </c>
      <c r="O3193" t="s">
        <v>2465</v>
      </c>
      <c r="P3193" t="s">
        <v>68</v>
      </c>
      <c r="Q3193" t="s">
        <v>68</v>
      </c>
      <c r="R3193" t="s">
        <v>68</v>
      </c>
      <c r="S3193" t="s">
        <v>217</v>
      </c>
    </row>
    <row r="3194" spans="1:19" x14ac:dyDescent="0.35">
      <c r="A3194">
        <v>55228</v>
      </c>
      <c r="B3194" t="str">
        <f>"055228"</f>
        <v>055228</v>
      </c>
      <c r="C3194" t="s">
        <v>9982</v>
      </c>
      <c r="D3194" t="s">
        <v>3394</v>
      </c>
      <c r="E3194" t="s">
        <v>9538</v>
      </c>
      <c r="F3194" t="s">
        <v>3396</v>
      </c>
      <c r="G3194" t="s">
        <v>212</v>
      </c>
      <c r="H3194" t="s">
        <v>9983</v>
      </c>
      <c r="I3194" t="s">
        <v>9984</v>
      </c>
      <c r="J3194" t="s">
        <v>215</v>
      </c>
      <c r="K3194" t="s">
        <v>55</v>
      </c>
      <c r="L3194" t="s">
        <v>9621</v>
      </c>
      <c r="M3194" t="s">
        <v>57</v>
      </c>
      <c r="N3194" t="str">
        <f t="shared" si="3"/>
        <v>052514</v>
      </c>
      <c r="O3194" t="s">
        <v>2465</v>
      </c>
      <c r="P3194" t="s">
        <v>68</v>
      </c>
      <c r="Q3194" t="s">
        <v>68</v>
      </c>
      <c r="R3194" t="s">
        <v>68</v>
      </c>
      <c r="S3194" t="s">
        <v>217</v>
      </c>
    </row>
    <row r="3195" spans="1:19" x14ac:dyDescent="0.35">
      <c r="A3195">
        <v>55244</v>
      </c>
      <c r="B3195" t="str">
        <f>"055244"</f>
        <v>055244</v>
      </c>
      <c r="C3195" t="s">
        <v>9985</v>
      </c>
      <c r="D3195" t="s">
        <v>3394</v>
      </c>
      <c r="E3195" t="s">
        <v>9538</v>
      </c>
      <c r="F3195" t="s">
        <v>3396</v>
      </c>
      <c r="G3195" t="s">
        <v>1041</v>
      </c>
      <c r="H3195" t="s">
        <v>9986</v>
      </c>
      <c r="I3195" t="s">
        <v>9987</v>
      </c>
      <c r="J3195" t="s">
        <v>9988</v>
      </c>
      <c r="K3195" t="s">
        <v>55</v>
      </c>
      <c r="L3195" t="s">
        <v>9989</v>
      </c>
      <c r="M3195" t="s">
        <v>57</v>
      </c>
      <c r="N3195" t="str">
        <f t="shared" si="3"/>
        <v>052514</v>
      </c>
      <c r="O3195" t="s">
        <v>2465</v>
      </c>
      <c r="P3195" t="s">
        <v>68</v>
      </c>
      <c r="Q3195" t="s">
        <v>68</v>
      </c>
      <c r="R3195" t="s">
        <v>68</v>
      </c>
      <c r="S3195" t="s">
        <v>217</v>
      </c>
    </row>
    <row r="3196" spans="1:19" x14ac:dyDescent="0.35">
      <c r="A3196">
        <v>55251</v>
      </c>
      <c r="B3196" t="str">
        <f>"055251"</f>
        <v>055251</v>
      </c>
      <c r="C3196" t="s">
        <v>9990</v>
      </c>
      <c r="D3196" t="s">
        <v>3394</v>
      </c>
      <c r="E3196" t="s">
        <v>9538</v>
      </c>
      <c r="F3196" t="s">
        <v>3396</v>
      </c>
      <c r="G3196" t="s">
        <v>642</v>
      </c>
      <c r="H3196" t="s">
        <v>9991</v>
      </c>
      <c r="I3196" t="s">
        <v>9992</v>
      </c>
      <c r="J3196" t="s">
        <v>2447</v>
      </c>
      <c r="K3196" t="s">
        <v>55</v>
      </c>
      <c r="L3196" t="s">
        <v>4925</v>
      </c>
      <c r="M3196" t="s">
        <v>57</v>
      </c>
      <c r="N3196" t="str">
        <f t="shared" si="3"/>
        <v>052514</v>
      </c>
      <c r="O3196" t="s">
        <v>2465</v>
      </c>
      <c r="P3196" t="s">
        <v>68</v>
      </c>
      <c r="Q3196" t="s">
        <v>68</v>
      </c>
      <c r="R3196" t="s">
        <v>68</v>
      </c>
      <c r="S3196" t="s">
        <v>180</v>
      </c>
    </row>
    <row r="3197" spans="1:19" x14ac:dyDescent="0.35">
      <c r="A3197">
        <v>55293</v>
      </c>
      <c r="B3197" t="str">
        <f>"055293"</f>
        <v>055293</v>
      </c>
      <c r="C3197" t="s">
        <v>9993</v>
      </c>
      <c r="D3197" t="s">
        <v>3394</v>
      </c>
      <c r="E3197" t="s">
        <v>9538</v>
      </c>
      <c r="F3197" t="s">
        <v>3396</v>
      </c>
      <c r="G3197" t="s">
        <v>212</v>
      </c>
      <c r="H3197" t="s">
        <v>9994</v>
      </c>
      <c r="I3197" t="s">
        <v>9995</v>
      </c>
      <c r="J3197" t="s">
        <v>215</v>
      </c>
      <c r="K3197" t="s">
        <v>55</v>
      </c>
      <c r="L3197" t="s">
        <v>3974</v>
      </c>
      <c r="M3197" t="s">
        <v>57</v>
      </c>
      <c r="N3197" t="str">
        <f t="shared" si="3"/>
        <v>052514</v>
      </c>
      <c r="O3197" t="s">
        <v>2465</v>
      </c>
      <c r="P3197" t="s">
        <v>68</v>
      </c>
      <c r="Q3197" t="s">
        <v>68</v>
      </c>
      <c r="R3197" t="s">
        <v>68</v>
      </c>
      <c r="S3197" t="s">
        <v>217</v>
      </c>
    </row>
    <row r="3198" spans="1:19" x14ac:dyDescent="0.35">
      <c r="A3198">
        <v>55319</v>
      </c>
      <c r="B3198" t="str">
        <f>"055319"</f>
        <v>055319</v>
      </c>
      <c r="C3198" t="s">
        <v>9996</v>
      </c>
      <c r="D3198" t="s">
        <v>3394</v>
      </c>
      <c r="E3198" t="s">
        <v>9538</v>
      </c>
      <c r="F3198" t="s">
        <v>3396</v>
      </c>
      <c r="G3198" t="s">
        <v>212</v>
      </c>
      <c r="H3198" t="s">
        <v>9997</v>
      </c>
      <c r="I3198" t="s">
        <v>9998</v>
      </c>
      <c r="J3198" t="s">
        <v>215</v>
      </c>
      <c r="K3198" t="s">
        <v>55</v>
      </c>
      <c r="L3198" t="s">
        <v>6210</v>
      </c>
      <c r="M3198" t="s">
        <v>57</v>
      </c>
      <c r="N3198" t="str">
        <f t="shared" si="3"/>
        <v>052514</v>
      </c>
      <c r="O3198" t="s">
        <v>2465</v>
      </c>
      <c r="P3198" t="s">
        <v>68</v>
      </c>
      <c r="Q3198" t="s">
        <v>68</v>
      </c>
      <c r="R3198" t="s">
        <v>68</v>
      </c>
      <c r="S3198" t="s">
        <v>217</v>
      </c>
    </row>
    <row r="3199" spans="1:19" x14ac:dyDescent="0.35">
      <c r="A3199">
        <v>55335</v>
      </c>
      <c r="B3199" t="str">
        <f>"055335"</f>
        <v>055335</v>
      </c>
      <c r="C3199" t="s">
        <v>9996</v>
      </c>
      <c r="D3199" t="s">
        <v>3394</v>
      </c>
      <c r="E3199" t="s">
        <v>9538</v>
      </c>
      <c r="F3199" t="s">
        <v>3396</v>
      </c>
      <c r="G3199" t="s">
        <v>175</v>
      </c>
      <c r="H3199" t="s">
        <v>9999</v>
      </c>
      <c r="I3199" t="s">
        <v>10000</v>
      </c>
      <c r="J3199" t="s">
        <v>178</v>
      </c>
      <c r="K3199" t="s">
        <v>55</v>
      </c>
      <c r="L3199" t="s">
        <v>179</v>
      </c>
      <c r="M3199" t="s">
        <v>57</v>
      </c>
      <c r="N3199" t="str">
        <f t="shared" si="3"/>
        <v>052514</v>
      </c>
      <c r="O3199" t="s">
        <v>2465</v>
      </c>
      <c r="P3199" t="s">
        <v>68</v>
      </c>
      <c r="Q3199" t="s">
        <v>68</v>
      </c>
      <c r="R3199" t="s">
        <v>68</v>
      </c>
      <c r="S3199" t="s">
        <v>180</v>
      </c>
    </row>
    <row r="3200" spans="1:19" x14ac:dyDescent="0.35">
      <c r="A3200">
        <v>55368</v>
      </c>
      <c r="B3200" t="str">
        <f>"055368"</f>
        <v>055368</v>
      </c>
      <c r="C3200" t="s">
        <v>10001</v>
      </c>
      <c r="D3200" t="s">
        <v>3394</v>
      </c>
      <c r="E3200" t="s">
        <v>9538</v>
      </c>
      <c r="F3200" t="s">
        <v>3396</v>
      </c>
      <c r="G3200" t="s">
        <v>325</v>
      </c>
      <c r="H3200" t="s">
        <v>10002</v>
      </c>
      <c r="I3200" t="s">
        <v>10003</v>
      </c>
      <c r="J3200" t="s">
        <v>328</v>
      </c>
      <c r="K3200" t="s">
        <v>55</v>
      </c>
      <c r="L3200" t="s">
        <v>329</v>
      </c>
      <c r="M3200" t="s">
        <v>57</v>
      </c>
      <c r="N3200" t="str">
        <f t="shared" si="3"/>
        <v>052514</v>
      </c>
      <c r="O3200" t="s">
        <v>2465</v>
      </c>
      <c r="P3200" t="s">
        <v>68</v>
      </c>
      <c r="Q3200" t="s">
        <v>68</v>
      </c>
      <c r="R3200" t="s">
        <v>68</v>
      </c>
      <c r="S3200" t="s">
        <v>180</v>
      </c>
    </row>
    <row r="3201" spans="1:19" x14ac:dyDescent="0.35">
      <c r="A3201">
        <v>55400</v>
      </c>
      <c r="B3201" t="str">
        <f>"055400"</f>
        <v>055400</v>
      </c>
      <c r="C3201" t="s">
        <v>10004</v>
      </c>
      <c r="D3201" t="s">
        <v>3394</v>
      </c>
      <c r="E3201" t="s">
        <v>9538</v>
      </c>
      <c r="F3201" t="s">
        <v>3396</v>
      </c>
      <c r="G3201" t="s">
        <v>19</v>
      </c>
      <c r="H3201" t="s">
        <v>10005</v>
      </c>
      <c r="I3201" t="s">
        <v>10006</v>
      </c>
      <c r="J3201" t="s">
        <v>704</v>
      </c>
      <c r="K3201" t="s">
        <v>55</v>
      </c>
      <c r="L3201" t="s">
        <v>705</v>
      </c>
      <c r="M3201" t="s">
        <v>57</v>
      </c>
      <c r="N3201" t="str">
        <f t="shared" si="3"/>
        <v>052514</v>
      </c>
      <c r="O3201" t="s">
        <v>2465</v>
      </c>
      <c r="P3201" t="s">
        <v>68</v>
      </c>
      <c r="Q3201" t="s">
        <v>68</v>
      </c>
      <c r="R3201" t="s">
        <v>68</v>
      </c>
      <c r="S3201" t="s">
        <v>217</v>
      </c>
    </row>
    <row r="3202" spans="1:19" x14ac:dyDescent="0.35">
      <c r="A3202">
        <v>55418</v>
      </c>
      <c r="B3202" t="str">
        <f>"055418"</f>
        <v>055418</v>
      </c>
      <c r="C3202" t="s">
        <v>10007</v>
      </c>
      <c r="D3202" t="s">
        <v>3394</v>
      </c>
      <c r="E3202" t="s">
        <v>9538</v>
      </c>
      <c r="F3202" t="s">
        <v>3396</v>
      </c>
      <c r="G3202" t="s">
        <v>212</v>
      </c>
      <c r="H3202" t="s">
        <v>10008</v>
      </c>
      <c r="I3202" t="s">
        <v>10009</v>
      </c>
      <c r="J3202" t="s">
        <v>10010</v>
      </c>
      <c r="K3202" t="s">
        <v>55</v>
      </c>
      <c r="L3202" t="s">
        <v>520</v>
      </c>
      <c r="M3202" t="s">
        <v>57</v>
      </c>
      <c r="N3202" t="str">
        <f t="shared" si="3"/>
        <v>052514</v>
      </c>
      <c r="O3202" t="s">
        <v>2465</v>
      </c>
      <c r="P3202" t="s">
        <v>68</v>
      </c>
      <c r="Q3202" t="s">
        <v>68</v>
      </c>
      <c r="R3202" t="s">
        <v>68</v>
      </c>
      <c r="S3202" t="s">
        <v>217</v>
      </c>
    </row>
    <row r="3203" spans="1:19" x14ac:dyDescent="0.35">
      <c r="A3203">
        <v>55434</v>
      </c>
      <c r="B3203" t="str">
        <f>"055434"</f>
        <v>055434</v>
      </c>
      <c r="C3203" t="s">
        <v>10011</v>
      </c>
      <c r="D3203" t="s">
        <v>3394</v>
      </c>
      <c r="E3203" t="s">
        <v>9538</v>
      </c>
      <c r="F3203" t="s">
        <v>3396</v>
      </c>
      <c r="G3203" t="s">
        <v>325</v>
      </c>
      <c r="H3203" t="s">
        <v>10012</v>
      </c>
      <c r="I3203" t="s">
        <v>10013</v>
      </c>
      <c r="J3203" t="s">
        <v>2819</v>
      </c>
      <c r="K3203" t="s">
        <v>55</v>
      </c>
      <c r="L3203" t="s">
        <v>2820</v>
      </c>
      <c r="M3203" t="s">
        <v>57</v>
      </c>
      <c r="N3203" t="str">
        <f t="shared" si="3"/>
        <v>052514</v>
      </c>
      <c r="O3203" t="s">
        <v>2465</v>
      </c>
      <c r="P3203" t="s">
        <v>68</v>
      </c>
      <c r="Q3203" t="s">
        <v>68</v>
      </c>
      <c r="R3203" t="s">
        <v>68</v>
      </c>
      <c r="S3203" t="s">
        <v>180</v>
      </c>
    </row>
    <row r="3204" spans="1:19" x14ac:dyDescent="0.35">
      <c r="A3204">
        <v>55442</v>
      </c>
      <c r="B3204" t="str">
        <f>"055442"</f>
        <v>055442</v>
      </c>
      <c r="C3204" t="s">
        <v>10014</v>
      </c>
      <c r="D3204" t="s">
        <v>3394</v>
      </c>
      <c r="E3204" t="s">
        <v>9538</v>
      </c>
      <c r="F3204" t="s">
        <v>3396</v>
      </c>
      <c r="G3204" t="s">
        <v>543</v>
      </c>
      <c r="H3204" t="s">
        <v>10015</v>
      </c>
      <c r="I3204" t="s">
        <v>10016</v>
      </c>
      <c r="J3204" t="s">
        <v>1252</v>
      </c>
      <c r="K3204" t="s">
        <v>55</v>
      </c>
      <c r="L3204" t="s">
        <v>1253</v>
      </c>
      <c r="M3204" t="s">
        <v>57</v>
      </c>
      <c r="N3204" t="str">
        <f t="shared" si="3"/>
        <v>052514</v>
      </c>
      <c r="O3204" t="s">
        <v>2465</v>
      </c>
      <c r="P3204" t="s">
        <v>68</v>
      </c>
      <c r="Q3204" t="s">
        <v>68</v>
      </c>
      <c r="R3204" t="s">
        <v>68</v>
      </c>
      <c r="S3204" t="s">
        <v>180</v>
      </c>
    </row>
    <row r="3205" spans="1:19" x14ac:dyDescent="0.35">
      <c r="A3205">
        <v>55475</v>
      </c>
      <c r="B3205" t="str">
        <f>"055475"</f>
        <v>055475</v>
      </c>
      <c r="C3205" t="s">
        <v>10017</v>
      </c>
      <c r="D3205" t="s">
        <v>3394</v>
      </c>
      <c r="E3205" t="s">
        <v>9538</v>
      </c>
      <c r="F3205" t="s">
        <v>3396</v>
      </c>
      <c r="G3205" t="s">
        <v>244</v>
      </c>
      <c r="H3205" t="s">
        <v>10018</v>
      </c>
      <c r="I3205" t="s">
        <v>10019</v>
      </c>
      <c r="J3205" t="s">
        <v>212</v>
      </c>
      <c r="K3205" t="s">
        <v>55</v>
      </c>
      <c r="L3205" t="s">
        <v>2312</v>
      </c>
      <c r="M3205" t="s">
        <v>57</v>
      </c>
      <c r="N3205" t="str">
        <f t="shared" si="3"/>
        <v>052514</v>
      </c>
      <c r="O3205" t="s">
        <v>2465</v>
      </c>
      <c r="P3205" t="s">
        <v>68</v>
      </c>
      <c r="Q3205" t="s">
        <v>68</v>
      </c>
      <c r="R3205" t="s">
        <v>68</v>
      </c>
      <c r="S3205" t="s">
        <v>217</v>
      </c>
    </row>
    <row r="3206" spans="1:19" x14ac:dyDescent="0.35">
      <c r="A3206">
        <v>55566</v>
      </c>
      <c r="B3206" t="str">
        <f>"055566"</f>
        <v>055566</v>
      </c>
      <c r="C3206" t="s">
        <v>10020</v>
      </c>
      <c r="D3206" t="s">
        <v>3394</v>
      </c>
      <c r="E3206" t="s">
        <v>9538</v>
      </c>
      <c r="F3206" t="s">
        <v>3396</v>
      </c>
      <c r="G3206" t="s">
        <v>172</v>
      </c>
      <c r="H3206" t="s">
        <v>10021</v>
      </c>
      <c r="I3206" t="s">
        <v>10022</v>
      </c>
      <c r="J3206" t="s">
        <v>2604</v>
      </c>
      <c r="K3206" t="s">
        <v>55</v>
      </c>
      <c r="L3206" t="s">
        <v>2605</v>
      </c>
      <c r="M3206" t="s">
        <v>57</v>
      </c>
      <c r="N3206" t="str">
        <f t="shared" si="3"/>
        <v>052514</v>
      </c>
      <c r="O3206" t="s">
        <v>2465</v>
      </c>
      <c r="P3206" t="s">
        <v>68</v>
      </c>
      <c r="Q3206" t="s">
        <v>68</v>
      </c>
      <c r="R3206" t="s">
        <v>68</v>
      </c>
      <c r="S3206" t="s">
        <v>217</v>
      </c>
    </row>
    <row r="3207" spans="1:19" x14ac:dyDescent="0.35">
      <c r="A3207">
        <v>55582</v>
      </c>
      <c r="B3207" t="str">
        <f>"055582"</f>
        <v>055582</v>
      </c>
      <c r="C3207" t="s">
        <v>10023</v>
      </c>
      <c r="D3207" t="s">
        <v>3394</v>
      </c>
      <c r="E3207" t="s">
        <v>9538</v>
      </c>
      <c r="F3207" t="s">
        <v>3396</v>
      </c>
      <c r="G3207" t="s">
        <v>212</v>
      </c>
      <c r="H3207" t="s">
        <v>10024</v>
      </c>
      <c r="I3207" t="s">
        <v>10025</v>
      </c>
      <c r="J3207" t="s">
        <v>215</v>
      </c>
      <c r="K3207" t="s">
        <v>55</v>
      </c>
      <c r="L3207" t="s">
        <v>4199</v>
      </c>
      <c r="M3207" t="s">
        <v>57</v>
      </c>
      <c r="N3207" t="str">
        <f t="shared" si="3"/>
        <v>052514</v>
      </c>
      <c r="O3207" t="s">
        <v>2465</v>
      </c>
      <c r="P3207" t="s">
        <v>68</v>
      </c>
      <c r="Q3207" t="s">
        <v>68</v>
      </c>
      <c r="R3207" t="s">
        <v>68</v>
      </c>
      <c r="S3207" t="s">
        <v>217</v>
      </c>
    </row>
    <row r="3208" spans="1:19" x14ac:dyDescent="0.35">
      <c r="A3208">
        <v>55590</v>
      </c>
      <c r="B3208" t="str">
        <f>"055590"</f>
        <v>055590</v>
      </c>
      <c r="C3208" t="s">
        <v>10026</v>
      </c>
      <c r="D3208" t="s">
        <v>3394</v>
      </c>
      <c r="E3208" t="s">
        <v>9538</v>
      </c>
      <c r="F3208" t="s">
        <v>3396</v>
      </c>
      <c r="G3208" t="s">
        <v>1041</v>
      </c>
      <c r="H3208" t="s">
        <v>10027</v>
      </c>
      <c r="I3208" t="s">
        <v>10028</v>
      </c>
      <c r="J3208" t="s">
        <v>215</v>
      </c>
      <c r="K3208" t="s">
        <v>55</v>
      </c>
      <c r="L3208" t="s">
        <v>1044</v>
      </c>
      <c r="M3208" t="s">
        <v>57</v>
      </c>
      <c r="N3208" t="str">
        <f t="shared" si="3"/>
        <v>052514</v>
      </c>
      <c r="O3208" t="s">
        <v>2465</v>
      </c>
      <c r="P3208" t="s">
        <v>68</v>
      </c>
      <c r="Q3208" t="s">
        <v>68</v>
      </c>
      <c r="R3208" t="s">
        <v>68</v>
      </c>
      <c r="S3208" t="s">
        <v>217</v>
      </c>
    </row>
    <row r="3209" spans="1:19" x14ac:dyDescent="0.35">
      <c r="A3209">
        <v>55608</v>
      </c>
      <c r="B3209" t="str">
        <f>"055608"</f>
        <v>055608</v>
      </c>
      <c r="C3209" t="s">
        <v>10029</v>
      </c>
      <c r="D3209" t="s">
        <v>3394</v>
      </c>
      <c r="E3209" t="s">
        <v>9538</v>
      </c>
      <c r="F3209" t="s">
        <v>3396</v>
      </c>
      <c r="G3209" t="s">
        <v>212</v>
      </c>
      <c r="H3209" t="s">
        <v>10030</v>
      </c>
      <c r="I3209" t="s">
        <v>10031</v>
      </c>
      <c r="J3209" t="s">
        <v>215</v>
      </c>
      <c r="K3209" t="s">
        <v>55</v>
      </c>
      <c r="L3209" t="s">
        <v>9822</v>
      </c>
      <c r="M3209" t="s">
        <v>57</v>
      </c>
      <c r="N3209" t="str">
        <f t="shared" si="3"/>
        <v>052514</v>
      </c>
      <c r="O3209" t="s">
        <v>2465</v>
      </c>
      <c r="P3209" t="s">
        <v>68</v>
      </c>
      <c r="Q3209" t="s">
        <v>68</v>
      </c>
      <c r="R3209" t="s">
        <v>68</v>
      </c>
      <c r="S3209" t="s">
        <v>217</v>
      </c>
    </row>
    <row r="3210" spans="1:19" x14ac:dyDescent="0.35">
      <c r="A3210">
        <v>55632</v>
      </c>
      <c r="B3210" t="str">
        <f>"055632"</f>
        <v>055632</v>
      </c>
      <c r="C3210" t="s">
        <v>10032</v>
      </c>
      <c r="D3210" t="s">
        <v>3394</v>
      </c>
      <c r="E3210" t="s">
        <v>9538</v>
      </c>
      <c r="F3210" t="s">
        <v>3396</v>
      </c>
      <c r="G3210" t="s">
        <v>212</v>
      </c>
      <c r="H3210" t="s">
        <v>10033</v>
      </c>
      <c r="I3210" t="s">
        <v>10034</v>
      </c>
      <c r="J3210" t="s">
        <v>215</v>
      </c>
      <c r="K3210" t="s">
        <v>55</v>
      </c>
      <c r="L3210" t="s">
        <v>1405</v>
      </c>
      <c r="M3210" t="s">
        <v>57</v>
      </c>
      <c r="N3210" t="str">
        <f t="shared" si="3"/>
        <v>052514</v>
      </c>
      <c r="O3210" t="s">
        <v>2465</v>
      </c>
      <c r="P3210" t="s">
        <v>68</v>
      </c>
      <c r="Q3210" t="s">
        <v>68</v>
      </c>
      <c r="R3210" t="s">
        <v>68</v>
      </c>
      <c r="S3210" t="s">
        <v>217</v>
      </c>
    </row>
    <row r="3211" spans="1:19" x14ac:dyDescent="0.35">
      <c r="A3211">
        <v>55640</v>
      </c>
      <c r="B3211" t="str">
        <f>"055640"</f>
        <v>055640</v>
      </c>
      <c r="C3211" t="s">
        <v>10035</v>
      </c>
      <c r="D3211" t="s">
        <v>3394</v>
      </c>
      <c r="E3211" t="s">
        <v>9538</v>
      </c>
      <c r="F3211" t="s">
        <v>3396</v>
      </c>
      <c r="G3211" t="s">
        <v>212</v>
      </c>
      <c r="H3211" t="s">
        <v>10036</v>
      </c>
      <c r="I3211" t="s">
        <v>10037</v>
      </c>
      <c r="J3211" t="s">
        <v>215</v>
      </c>
      <c r="K3211" t="s">
        <v>55</v>
      </c>
      <c r="L3211" t="s">
        <v>4487</v>
      </c>
      <c r="M3211" t="s">
        <v>57</v>
      </c>
      <c r="N3211" t="str">
        <f t="shared" si="3"/>
        <v>052514</v>
      </c>
      <c r="O3211" t="s">
        <v>2465</v>
      </c>
      <c r="P3211" t="s">
        <v>68</v>
      </c>
      <c r="Q3211" t="s">
        <v>68</v>
      </c>
      <c r="R3211" t="s">
        <v>68</v>
      </c>
      <c r="S3211" t="s">
        <v>217</v>
      </c>
    </row>
    <row r="3212" spans="1:19" x14ac:dyDescent="0.35">
      <c r="A3212">
        <v>55657</v>
      </c>
      <c r="B3212" t="str">
        <f>"055657"</f>
        <v>055657</v>
      </c>
      <c r="C3212" t="s">
        <v>10038</v>
      </c>
      <c r="D3212" t="s">
        <v>3394</v>
      </c>
      <c r="E3212" t="s">
        <v>9538</v>
      </c>
      <c r="F3212" t="s">
        <v>3396</v>
      </c>
      <c r="G3212" t="s">
        <v>212</v>
      </c>
      <c r="H3212" t="s">
        <v>10039</v>
      </c>
      <c r="I3212" t="s">
        <v>10040</v>
      </c>
      <c r="J3212" t="s">
        <v>215</v>
      </c>
      <c r="K3212" t="s">
        <v>55</v>
      </c>
      <c r="L3212" t="s">
        <v>9621</v>
      </c>
      <c r="M3212" t="s">
        <v>57</v>
      </c>
      <c r="N3212" t="str">
        <f t="shared" si="3"/>
        <v>052514</v>
      </c>
      <c r="O3212" t="s">
        <v>2465</v>
      </c>
      <c r="P3212" t="s">
        <v>68</v>
      </c>
      <c r="Q3212" t="s">
        <v>68</v>
      </c>
      <c r="R3212" t="s">
        <v>68</v>
      </c>
      <c r="S3212" t="s">
        <v>217</v>
      </c>
    </row>
    <row r="3213" spans="1:19" x14ac:dyDescent="0.35">
      <c r="A3213">
        <v>55749</v>
      </c>
      <c r="B3213" t="str">
        <f>"055749"</f>
        <v>055749</v>
      </c>
      <c r="C3213" t="s">
        <v>10041</v>
      </c>
      <c r="D3213" t="s">
        <v>3394</v>
      </c>
      <c r="E3213" t="s">
        <v>9538</v>
      </c>
      <c r="F3213" t="s">
        <v>3396</v>
      </c>
      <c r="G3213" t="s">
        <v>63</v>
      </c>
      <c r="H3213" t="s">
        <v>10042</v>
      </c>
      <c r="I3213" t="s">
        <v>10043</v>
      </c>
      <c r="J3213" t="s">
        <v>285</v>
      </c>
      <c r="K3213" t="s">
        <v>55</v>
      </c>
      <c r="L3213" t="s">
        <v>4335</v>
      </c>
      <c r="M3213" t="s">
        <v>57</v>
      </c>
      <c r="N3213" t="str">
        <f t="shared" ref="N3213:N3276" si="4">"052522"</f>
        <v>052522</v>
      </c>
      <c r="O3213" t="s">
        <v>605</v>
      </c>
      <c r="P3213" t="s">
        <v>68</v>
      </c>
      <c r="Q3213" t="s">
        <v>68</v>
      </c>
      <c r="R3213" t="s">
        <v>68</v>
      </c>
      <c r="S3213" t="s">
        <v>69</v>
      </c>
    </row>
    <row r="3214" spans="1:19" x14ac:dyDescent="0.35">
      <c r="A3214">
        <v>55814</v>
      </c>
      <c r="B3214" t="str">
        <f>"055814"</f>
        <v>055814</v>
      </c>
      <c r="C3214" t="s">
        <v>10044</v>
      </c>
      <c r="D3214" t="s">
        <v>3394</v>
      </c>
      <c r="E3214" t="s">
        <v>9538</v>
      </c>
      <c r="F3214" t="s">
        <v>3396</v>
      </c>
      <c r="G3214" t="s">
        <v>63</v>
      </c>
      <c r="H3214" t="s">
        <v>10045</v>
      </c>
      <c r="I3214" t="s">
        <v>10046</v>
      </c>
      <c r="J3214" t="s">
        <v>285</v>
      </c>
      <c r="K3214" t="s">
        <v>55</v>
      </c>
      <c r="L3214" t="s">
        <v>5375</v>
      </c>
      <c r="M3214" t="s">
        <v>57</v>
      </c>
      <c r="N3214" t="str">
        <f t="shared" si="4"/>
        <v>052522</v>
      </c>
      <c r="O3214" t="s">
        <v>605</v>
      </c>
      <c r="P3214" t="s">
        <v>68</v>
      </c>
      <c r="Q3214" t="s">
        <v>68</v>
      </c>
      <c r="R3214" t="s">
        <v>68</v>
      </c>
      <c r="S3214" t="s">
        <v>69</v>
      </c>
    </row>
    <row r="3215" spans="1:19" x14ac:dyDescent="0.35">
      <c r="A3215">
        <v>55822</v>
      </c>
      <c r="B3215" t="str">
        <f>"055822"</f>
        <v>055822</v>
      </c>
      <c r="C3215" t="s">
        <v>10047</v>
      </c>
      <c r="D3215" t="s">
        <v>3394</v>
      </c>
      <c r="E3215" t="s">
        <v>9538</v>
      </c>
      <c r="F3215" t="s">
        <v>3396</v>
      </c>
      <c r="G3215" t="s">
        <v>63</v>
      </c>
      <c r="H3215" t="s">
        <v>10048</v>
      </c>
      <c r="I3215" t="s">
        <v>10049</v>
      </c>
      <c r="J3215" t="s">
        <v>285</v>
      </c>
      <c r="K3215" t="s">
        <v>55</v>
      </c>
      <c r="L3215" t="s">
        <v>3798</v>
      </c>
      <c r="M3215" t="s">
        <v>57</v>
      </c>
      <c r="N3215" t="str">
        <f t="shared" si="4"/>
        <v>052522</v>
      </c>
      <c r="O3215" t="s">
        <v>605</v>
      </c>
      <c r="P3215" t="s">
        <v>68</v>
      </c>
      <c r="Q3215" t="s">
        <v>68</v>
      </c>
      <c r="R3215" t="s">
        <v>68</v>
      </c>
      <c r="S3215" t="s">
        <v>69</v>
      </c>
    </row>
    <row r="3216" spans="1:19" x14ac:dyDescent="0.35">
      <c r="A3216">
        <v>55855</v>
      </c>
      <c r="B3216" t="str">
        <f>"055855"</f>
        <v>055855</v>
      </c>
      <c r="C3216" t="s">
        <v>10050</v>
      </c>
      <c r="D3216" t="s">
        <v>3394</v>
      </c>
      <c r="E3216" t="s">
        <v>9538</v>
      </c>
      <c r="F3216" t="s">
        <v>3396</v>
      </c>
      <c r="G3216" t="s">
        <v>63</v>
      </c>
      <c r="H3216" t="s">
        <v>10051</v>
      </c>
      <c r="I3216" t="s">
        <v>10052</v>
      </c>
      <c r="J3216" t="s">
        <v>285</v>
      </c>
      <c r="K3216" t="s">
        <v>55</v>
      </c>
      <c r="L3216" t="s">
        <v>3458</v>
      </c>
      <c r="M3216" t="s">
        <v>57</v>
      </c>
      <c r="N3216" t="str">
        <f t="shared" si="4"/>
        <v>052522</v>
      </c>
      <c r="O3216" t="s">
        <v>605</v>
      </c>
      <c r="P3216" t="s">
        <v>68</v>
      </c>
      <c r="Q3216" t="s">
        <v>68</v>
      </c>
      <c r="R3216" t="s">
        <v>68</v>
      </c>
      <c r="S3216" t="s">
        <v>69</v>
      </c>
    </row>
    <row r="3217" spans="1:19" x14ac:dyDescent="0.35">
      <c r="A3217">
        <v>55913</v>
      </c>
      <c r="B3217" t="str">
        <f>"055913"</f>
        <v>055913</v>
      </c>
      <c r="C3217" t="s">
        <v>10053</v>
      </c>
      <c r="D3217" t="s">
        <v>3394</v>
      </c>
      <c r="E3217" t="s">
        <v>9538</v>
      </c>
      <c r="F3217" t="s">
        <v>3396</v>
      </c>
      <c r="G3217" t="s">
        <v>63</v>
      </c>
      <c r="H3217" t="s">
        <v>10054</v>
      </c>
      <c r="I3217" t="s">
        <v>10055</v>
      </c>
      <c r="J3217" t="s">
        <v>285</v>
      </c>
      <c r="K3217" t="s">
        <v>55</v>
      </c>
      <c r="L3217" t="s">
        <v>3525</v>
      </c>
      <c r="M3217" t="s">
        <v>57</v>
      </c>
      <c r="N3217" t="str">
        <f t="shared" si="4"/>
        <v>052522</v>
      </c>
      <c r="O3217" t="s">
        <v>605</v>
      </c>
      <c r="P3217" t="s">
        <v>68</v>
      </c>
      <c r="Q3217" t="s">
        <v>68</v>
      </c>
      <c r="R3217" t="s">
        <v>68</v>
      </c>
      <c r="S3217" t="s">
        <v>69</v>
      </c>
    </row>
    <row r="3218" spans="1:19" x14ac:dyDescent="0.35">
      <c r="A3218">
        <v>55947</v>
      </c>
      <c r="B3218" t="str">
        <f>"055947"</f>
        <v>055947</v>
      </c>
      <c r="C3218" t="s">
        <v>10056</v>
      </c>
      <c r="D3218" t="s">
        <v>3394</v>
      </c>
      <c r="E3218" t="s">
        <v>9538</v>
      </c>
      <c r="F3218" t="s">
        <v>3396</v>
      </c>
      <c r="G3218" t="s">
        <v>63</v>
      </c>
      <c r="H3218" t="s">
        <v>10057</v>
      </c>
      <c r="I3218" t="s">
        <v>10058</v>
      </c>
      <c r="J3218" t="s">
        <v>285</v>
      </c>
      <c r="K3218" t="s">
        <v>55</v>
      </c>
      <c r="L3218" t="s">
        <v>5493</v>
      </c>
      <c r="M3218" t="s">
        <v>57</v>
      </c>
      <c r="N3218" t="str">
        <f t="shared" si="4"/>
        <v>052522</v>
      </c>
      <c r="O3218" t="s">
        <v>605</v>
      </c>
      <c r="P3218" t="s">
        <v>68</v>
      </c>
      <c r="Q3218" t="s">
        <v>68</v>
      </c>
      <c r="R3218" t="s">
        <v>68</v>
      </c>
      <c r="S3218" t="s">
        <v>69</v>
      </c>
    </row>
    <row r="3219" spans="1:19" x14ac:dyDescent="0.35">
      <c r="A3219">
        <v>56010</v>
      </c>
      <c r="B3219" t="str">
        <f>"056010"</f>
        <v>056010</v>
      </c>
      <c r="C3219" t="s">
        <v>10059</v>
      </c>
      <c r="D3219" t="s">
        <v>3394</v>
      </c>
      <c r="E3219" t="s">
        <v>9538</v>
      </c>
      <c r="F3219" t="s">
        <v>3396</v>
      </c>
      <c r="G3219" t="s">
        <v>63</v>
      </c>
      <c r="H3219" t="s">
        <v>10060</v>
      </c>
      <c r="I3219" t="s">
        <v>10061</v>
      </c>
      <c r="J3219" t="s">
        <v>285</v>
      </c>
      <c r="K3219" t="s">
        <v>55</v>
      </c>
      <c r="L3219" t="s">
        <v>5437</v>
      </c>
      <c r="M3219" t="s">
        <v>57</v>
      </c>
      <c r="N3219" t="str">
        <f t="shared" si="4"/>
        <v>052522</v>
      </c>
      <c r="O3219" t="s">
        <v>605</v>
      </c>
      <c r="P3219" t="s">
        <v>68</v>
      </c>
      <c r="Q3219" t="s">
        <v>68</v>
      </c>
      <c r="R3219" t="s">
        <v>68</v>
      </c>
      <c r="S3219" t="s">
        <v>69</v>
      </c>
    </row>
    <row r="3220" spans="1:19" x14ac:dyDescent="0.35">
      <c r="A3220">
        <v>56036</v>
      </c>
      <c r="B3220" t="str">
        <f>"056036"</f>
        <v>056036</v>
      </c>
      <c r="C3220" t="s">
        <v>10062</v>
      </c>
      <c r="D3220" t="s">
        <v>3394</v>
      </c>
      <c r="E3220" t="s">
        <v>9538</v>
      </c>
      <c r="F3220" t="s">
        <v>3396</v>
      </c>
      <c r="G3220" t="s">
        <v>63</v>
      </c>
      <c r="H3220" t="s">
        <v>10063</v>
      </c>
      <c r="I3220" t="s">
        <v>10064</v>
      </c>
      <c r="J3220" t="s">
        <v>285</v>
      </c>
      <c r="K3220" t="s">
        <v>55</v>
      </c>
      <c r="L3220" t="s">
        <v>1711</v>
      </c>
      <c r="M3220" t="s">
        <v>57</v>
      </c>
      <c r="N3220" t="str">
        <f t="shared" si="4"/>
        <v>052522</v>
      </c>
      <c r="O3220" t="s">
        <v>605</v>
      </c>
      <c r="P3220" t="s">
        <v>68</v>
      </c>
      <c r="Q3220" t="s">
        <v>68</v>
      </c>
      <c r="R3220" t="s">
        <v>68</v>
      </c>
      <c r="S3220" t="s">
        <v>69</v>
      </c>
    </row>
    <row r="3221" spans="1:19" x14ac:dyDescent="0.35">
      <c r="A3221">
        <v>56051</v>
      </c>
      <c r="B3221" t="str">
        <f>"056051"</f>
        <v>056051</v>
      </c>
      <c r="C3221" t="s">
        <v>10065</v>
      </c>
      <c r="D3221" t="s">
        <v>3394</v>
      </c>
      <c r="E3221" t="s">
        <v>9538</v>
      </c>
      <c r="F3221" t="s">
        <v>3396</v>
      </c>
      <c r="G3221" t="s">
        <v>63</v>
      </c>
      <c r="H3221" t="s">
        <v>10066</v>
      </c>
      <c r="I3221" t="s">
        <v>10067</v>
      </c>
      <c r="J3221" t="s">
        <v>285</v>
      </c>
      <c r="K3221" t="s">
        <v>55</v>
      </c>
      <c r="L3221" t="s">
        <v>5375</v>
      </c>
      <c r="M3221" t="s">
        <v>57</v>
      </c>
      <c r="N3221" t="str">
        <f t="shared" si="4"/>
        <v>052522</v>
      </c>
      <c r="O3221" t="s">
        <v>605</v>
      </c>
      <c r="P3221" t="s">
        <v>68</v>
      </c>
      <c r="Q3221" t="s">
        <v>68</v>
      </c>
      <c r="R3221" t="s">
        <v>68</v>
      </c>
      <c r="S3221" t="s">
        <v>69</v>
      </c>
    </row>
    <row r="3222" spans="1:19" x14ac:dyDescent="0.35">
      <c r="A3222">
        <v>56069</v>
      </c>
      <c r="B3222" t="str">
        <f>"056069"</f>
        <v>056069</v>
      </c>
      <c r="C3222" t="s">
        <v>10068</v>
      </c>
      <c r="D3222" t="s">
        <v>3394</v>
      </c>
      <c r="E3222" t="s">
        <v>9538</v>
      </c>
      <c r="F3222" t="s">
        <v>3396</v>
      </c>
      <c r="G3222" t="s">
        <v>63</v>
      </c>
      <c r="H3222" t="s">
        <v>10069</v>
      </c>
      <c r="I3222" t="s">
        <v>10070</v>
      </c>
      <c r="J3222" t="s">
        <v>285</v>
      </c>
      <c r="K3222" t="s">
        <v>55</v>
      </c>
      <c r="L3222" t="s">
        <v>4491</v>
      </c>
      <c r="M3222" t="s">
        <v>57</v>
      </c>
      <c r="N3222" t="str">
        <f t="shared" si="4"/>
        <v>052522</v>
      </c>
      <c r="O3222" t="s">
        <v>605</v>
      </c>
      <c r="P3222" t="s">
        <v>68</v>
      </c>
      <c r="Q3222" t="s">
        <v>68</v>
      </c>
      <c r="R3222" t="s">
        <v>68</v>
      </c>
      <c r="S3222" t="s">
        <v>69</v>
      </c>
    </row>
    <row r="3223" spans="1:19" x14ac:dyDescent="0.35">
      <c r="A3223">
        <v>56127</v>
      </c>
      <c r="B3223" t="str">
        <f>"056127"</f>
        <v>056127</v>
      </c>
      <c r="C3223" t="s">
        <v>10071</v>
      </c>
      <c r="D3223" t="s">
        <v>3394</v>
      </c>
      <c r="E3223" t="s">
        <v>9538</v>
      </c>
      <c r="F3223" t="s">
        <v>3396</v>
      </c>
      <c r="G3223" t="s">
        <v>63</v>
      </c>
      <c r="H3223" t="s">
        <v>10072</v>
      </c>
      <c r="I3223" t="s">
        <v>10073</v>
      </c>
      <c r="J3223" t="s">
        <v>285</v>
      </c>
      <c r="K3223" t="s">
        <v>55</v>
      </c>
      <c r="L3223" t="s">
        <v>3798</v>
      </c>
      <c r="M3223" t="s">
        <v>57</v>
      </c>
      <c r="N3223" t="str">
        <f t="shared" si="4"/>
        <v>052522</v>
      </c>
      <c r="O3223" t="s">
        <v>605</v>
      </c>
      <c r="P3223" t="s">
        <v>68</v>
      </c>
      <c r="Q3223" t="s">
        <v>68</v>
      </c>
      <c r="R3223" t="s">
        <v>68</v>
      </c>
      <c r="S3223" t="s">
        <v>69</v>
      </c>
    </row>
    <row r="3224" spans="1:19" x14ac:dyDescent="0.35">
      <c r="A3224">
        <v>56143</v>
      </c>
      <c r="B3224" t="str">
        <f>"056143"</f>
        <v>056143</v>
      </c>
      <c r="C3224" t="s">
        <v>10074</v>
      </c>
      <c r="D3224" t="s">
        <v>3394</v>
      </c>
      <c r="E3224" t="s">
        <v>9538</v>
      </c>
      <c r="F3224" t="s">
        <v>3396</v>
      </c>
      <c r="G3224" t="s">
        <v>63</v>
      </c>
      <c r="H3224" t="s">
        <v>10075</v>
      </c>
      <c r="I3224" t="s">
        <v>10076</v>
      </c>
      <c r="J3224" t="s">
        <v>285</v>
      </c>
      <c r="K3224" t="s">
        <v>55</v>
      </c>
      <c r="L3224" t="s">
        <v>5375</v>
      </c>
      <c r="M3224" t="s">
        <v>57</v>
      </c>
      <c r="N3224" t="str">
        <f t="shared" si="4"/>
        <v>052522</v>
      </c>
      <c r="O3224" t="s">
        <v>605</v>
      </c>
      <c r="P3224" t="s">
        <v>68</v>
      </c>
      <c r="Q3224" t="s">
        <v>68</v>
      </c>
      <c r="R3224" t="s">
        <v>68</v>
      </c>
      <c r="S3224" t="s">
        <v>69</v>
      </c>
    </row>
    <row r="3225" spans="1:19" x14ac:dyDescent="0.35">
      <c r="A3225">
        <v>56242</v>
      </c>
      <c r="B3225" t="str">
        <f>"056242"</f>
        <v>056242</v>
      </c>
      <c r="C3225" t="s">
        <v>10077</v>
      </c>
      <c r="D3225" t="s">
        <v>3394</v>
      </c>
      <c r="E3225" t="s">
        <v>9538</v>
      </c>
      <c r="F3225" t="s">
        <v>3396</v>
      </c>
      <c r="G3225" t="s">
        <v>63</v>
      </c>
      <c r="H3225" t="s">
        <v>10078</v>
      </c>
      <c r="I3225" t="s">
        <v>10079</v>
      </c>
      <c r="J3225" t="s">
        <v>285</v>
      </c>
      <c r="K3225" t="s">
        <v>55</v>
      </c>
      <c r="L3225" t="s">
        <v>3798</v>
      </c>
      <c r="M3225" t="s">
        <v>57</v>
      </c>
      <c r="N3225" t="str">
        <f t="shared" si="4"/>
        <v>052522</v>
      </c>
      <c r="O3225" t="s">
        <v>605</v>
      </c>
      <c r="P3225" t="s">
        <v>68</v>
      </c>
      <c r="Q3225" t="s">
        <v>68</v>
      </c>
      <c r="R3225" t="s">
        <v>68</v>
      </c>
      <c r="S3225" t="s">
        <v>69</v>
      </c>
    </row>
    <row r="3226" spans="1:19" x14ac:dyDescent="0.35">
      <c r="A3226">
        <v>56267</v>
      </c>
      <c r="B3226" t="str">
        <f>"056267"</f>
        <v>056267</v>
      </c>
      <c r="C3226" t="s">
        <v>10080</v>
      </c>
      <c r="D3226" t="s">
        <v>3394</v>
      </c>
      <c r="E3226" t="s">
        <v>9538</v>
      </c>
      <c r="F3226" t="s">
        <v>3396</v>
      </c>
      <c r="G3226" t="s">
        <v>63</v>
      </c>
      <c r="H3226" t="s">
        <v>10081</v>
      </c>
      <c r="I3226" t="s">
        <v>10082</v>
      </c>
      <c r="J3226" t="s">
        <v>285</v>
      </c>
      <c r="K3226" t="s">
        <v>55</v>
      </c>
      <c r="L3226" t="s">
        <v>4335</v>
      </c>
      <c r="M3226" t="s">
        <v>57</v>
      </c>
      <c r="N3226" t="str">
        <f t="shared" si="4"/>
        <v>052522</v>
      </c>
      <c r="O3226" t="s">
        <v>605</v>
      </c>
      <c r="P3226" t="s">
        <v>68</v>
      </c>
      <c r="Q3226" t="s">
        <v>68</v>
      </c>
      <c r="R3226" t="s">
        <v>68</v>
      </c>
      <c r="S3226" t="s">
        <v>69</v>
      </c>
    </row>
    <row r="3227" spans="1:19" x14ac:dyDescent="0.35">
      <c r="A3227">
        <v>56275</v>
      </c>
      <c r="B3227" t="str">
        <f>"056275"</f>
        <v>056275</v>
      </c>
      <c r="C3227" t="s">
        <v>10083</v>
      </c>
      <c r="D3227" t="s">
        <v>3394</v>
      </c>
      <c r="E3227" t="s">
        <v>9538</v>
      </c>
      <c r="F3227" t="s">
        <v>3396</v>
      </c>
      <c r="G3227" t="s">
        <v>63</v>
      </c>
      <c r="H3227" t="s">
        <v>10084</v>
      </c>
      <c r="I3227" t="s">
        <v>10085</v>
      </c>
      <c r="J3227" t="s">
        <v>285</v>
      </c>
      <c r="K3227" t="s">
        <v>55</v>
      </c>
      <c r="L3227" t="s">
        <v>3458</v>
      </c>
      <c r="M3227" t="s">
        <v>57</v>
      </c>
      <c r="N3227" t="str">
        <f t="shared" si="4"/>
        <v>052522</v>
      </c>
      <c r="O3227" t="s">
        <v>605</v>
      </c>
      <c r="P3227" t="s">
        <v>68</v>
      </c>
      <c r="Q3227" t="s">
        <v>68</v>
      </c>
      <c r="R3227" t="s">
        <v>68</v>
      </c>
      <c r="S3227" t="s">
        <v>69</v>
      </c>
    </row>
    <row r="3228" spans="1:19" x14ac:dyDescent="0.35">
      <c r="A3228">
        <v>56283</v>
      </c>
      <c r="B3228" t="str">
        <f>"056283"</f>
        <v>056283</v>
      </c>
      <c r="C3228" t="s">
        <v>9757</v>
      </c>
      <c r="D3228" t="s">
        <v>3394</v>
      </c>
      <c r="E3228" t="s">
        <v>9538</v>
      </c>
      <c r="F3228" t="s">
        <v>3396</v>
      </c>
      <c r="G3228" t="s">
        <v>63</v>
      </c>
      <c r="H3228" t="s">
        <v>10086</v>
      </c>
      <c r="I3228" t="s">
        <v>10087</v>
      </c>
      <c r="J3228" t="s">
        <v>285</v>
      </c>
      <c r="K3228" t="s">
        <v>55</v>
      </c>
      <c r="L3228" t="s">
        <v>3915</v>
      </c>
      <c r="M3228" t="s">
        <v>57</v>
      </c>
      <c r="N3228" t="str">
        <f t="shared" si="4"/>
        <v>052522</v>
      </c>
      <c r="O3228" t="s">
        <v>605</v>
      </c>
      <c r="P3228" t="s">
        <v>68</v>
      </c>
      <c r="Q3228" t="s">
        <v>68</v>
      </c>
      <c r="R3228" t="s">
        <v>68</v>
      </c>
      <c r="S3228" t="s">
        <v>69</v>
      </c>
    </row>
    <row r="3229" spans="1:19" x14ac:dyDescent="0.35">
      <c r="A3229">
        <v>56358</v>
      </c>
      <c r="B3229" t="str">
        <f>"056358"</f>
        <v>056358</v>
      </c>
      <c r="C3229" t="s">
        <v>10088</v>
      </c>
      <c r="D3229" t="s">
        <v>3394</v>
      </c>
      <c r="E3229" t="s">
        <v>9538</v>
      </c>
      <c r="F3229" t="s">
        <v>3396</v>
      </c>
      <c r="G3229" t="s">
        <v>63</v>
      </c>
      <c r="H3229" t="s">
        <v>10089</v>
      </c>
      <c r="I3229" t="s">
        <v>10090</v>
      </c>
      <c r="J3229" t="s">
        <v>285</v>
      </c>
      <c r="K3229" t="s">
        <v>55</v>
      </c>
      <c r="L3229" t="s">
        <v>3798</v>
      </c>
      <c r="M3229" t="s">
        <v>57</v>
      </c>
      <c r="N3229" t="str">
        <f t="shared" si="4"/>
        <v>052522</v>
      </c>
      <c r="O3229" t="s">
        <v>605</v>
      </c>
      <c r="P3229" t="s">
        <v>68</v>
      </c>
      <c r="Q3229" t="s">
        <v>68</v>
      </c>
      <c r="R3229" t="s">
        <v>68</v>
      </c>
      <c r="S3229" t="s">
        <v>69</v>
      </c>
    </row>
    <row r="3230" spans="1:19" x14ac:dyDescent="0.35">
      <c r="A3230">
        <v>56366</v>
      </c>
      <c r="B3230" t="str">
        <f>"056366"</f>
        <v>056366</v>
      </c>
      <c r="C3230" t="s">
        <v>10091</v>
      </c>
      <c r="D3230" t="s">
        <v>3394</v>
      </c>
      <c r="E3230" t="s">
        <v>9538</v>
      </c>
      <c r="F3230" t="s">
        <v>3396</v>
      </c>
      <c r="G3230" t="s">
        <v>63</v>
      </c>
      <c r="H3230" t="s">
        <v>10092</v>
      </c>
      <c r="I3230" t="s">
        <v>10093</v>
      </c>
      <c r="J3230" t="s">
        <v>1353</v>
      </c>
      <c r="K3230" t="s">
        <v>55</v>
      </c>
      <c r="L3230" t="s">
        <v>1354</v>
      </c>
      <c r="M3230" t="s">
        <v>57</v>
      </c>
      <c r="N3230" t="str">
        <f t="shared" si="4"/>
        <v>052522</v>
      </c>
      <c r="O3230" t="s">
        <v>605</v>
      </c>
      <c r="P3230" t="s">
        <v>68</v>
      </c>
      <c r="Q3230" t="s">
        <v>68</v>
      </c>
      <c r="R3230" t="s">
        <v>68</v>
      </c>
      <c r="S3230" t="s">
        <v>69</v>
      </c>
    </row>
    <row r="3231" spans="1:19" x14ac:dyDescent="0.35">
      <c r="A3231">
        <v>56408</v>
      </c>
      <c r="B3231" t="str">
        <f>"056408"</f>
        <v>056408</v>
      </c>
      <c r="C3231" t="s">
        <v>9996</v>
      </c>
      <c r="D3231" t="s">
        <v>3394</v>
      </c>
      <c r="E3231" t="s">
        <v>9538</v>
      </c>
      <c r="F3231" t="s">
        <v>3396</v>
      </c>
      <c r="G3231" t="s">
        <v>63</v>
      </c>
      <c r="H3231" t="s">
        <v>10094</v>
      </c>
      <c r="I3231" t="s">
        <v>10095</v>
      </c>
      <c r="J3231" t="s">
        <v>3071</v>
      </c>
      <c r="K3231" t="s">
        <v>55</v>
      </c>
      <c r="L3231" t="s">
        <v>3072</v>
      </c>
      <c r="M3231" t="s">
        <v>57</v>
      </c>
      <c r="N3231" t="str">
        <f t="shared" si="4"/>
        <v>052522</v>
      </c>
      <c r="O3231" t="s">
        <v>605</v>
      </c>
      <c r="P3231" t="s">
        <v>68</v>
      </c>
      <c r="Q3231" t="s">
        <v>68</v>
      </c>
      <c r="R3231" t="s">
        <v>68</v>
      </c>
      <c r="S3231" t="s">
        <v>69</v>
      </c>
    </row>
    <row r="3232" spans="1:19" x14ac:dyDescent="0.35">
      <c r="A3232">
        <v>56416</v>
      </c>
      <c r="B3232" t="str">
        <f>"056416"</f>
        <v>056416</v>
      </c>
      <c r="C3232" t="s">
        <v>10096</v>
      </c>
      <c r="D3232" t="s">
        <v>3394</v>
      </c>
      <c r="E3232" t="s">
        <v>9538</v>
      </c>
      <c r="F3232" t="s">
        <v>3396</v>
      </c>
      <c r="G3232" t="s">
        <v>63</v>
      </c>
      <c r="H3232" t="s">
        <v>10097</v>
      </c>
      <c r="I3232" t="s">
        <v>10098</v>
      </c>
      <c r="J3232" t="s">
        <v>3960</v>
      </c>
      <c r="K3232" t="s">
        <v>55</v>
      </c>
      <c r="L3232" t="s">
        <v>3961</v>
      </c>
      <c r="M3232" t="s">
        <v>57</v>
      </c>
      <c r="N3232" t="str">
        <f t="shared" si="4"/>
        <v>052522</v>
      </c>
      <c r="O3232" t="s">
        <v>605</v>
      </c>
      <c r="P3232" t="s">
        <v>68</v>
      </c>
      <c r="Q3232" t="s">
        <v>68</v>
      </c>
      <c r="R3232" t="s">
        <v>68</v>
      </c>
      <c r="S3232" t="s">
        <v>69</v>
      </c>
    </row>
    <row r="3233" spans="1:19" x14ac:dyDescent="0.35">
      <c r="A3233">
        <v>56424</v>
      </c>
      <c r="B3233" t="str">
        <f>"056424"</f>
        <v>056424</v>
      </c>
      <c r="C3233" t="s">
        <v>10026</v>
      </c>
      <c r="D3233" t="s">
        <v>3394</v>
      </c>
      <c r="E3233" t="s">
        <v>9538</v>
      </c>
      <c r="F3233" t="s">
        <v>3396</v>
      </c>
      <c r="G3233" t="s">
        <v>63</v>
      </c>
      <c r="H3233" t="s">
        <v>10099</v>
      </c>
      <c r="I3233" t="s">
        <v>10100</v>
      </c>
      <c r="J3233" t="s">
        <v>1620</v>
      </c>
      <c r="K3233" t="s">
        <v>55</v>
      </c>
      <c r="L3233" t="s">
        <v>1621</v>
      </c>
      <c r="M3233" t="s">
        <v>57</v>
      </c>
      <c r="N3233" t="str">
        <f t="shared" si="4"/>
        <v>052522</v>
      </c>
      <c r="O3233" t="s">
        <v>605</v>
      </c>
      <c r="P3233" t="s">
        <v>68</v>
      </c>
      <c r="Q3233" t="s">
        <v>68</v>
      </c>
      <c r="R3233" t="s">
        <v>68</v>
      </c>
      <c r="S3233" t="s">
        <v>69</v>
      </c>
    </row>
    <row r="3234" spans="1:19" x14ac:dyDescent="0.35">
      <c r="A3234">
        <v>56432</v>
      </c>
      <c r="B3234" t="str">
        <f>"056432"</f>
        <v>056432</v>
      </c>
      <c r="C3234" t="s">
        <v>9724</v>
      </c>
      <c r="D3234" t="s">
        <v>3394</v>
      </c>
      <c r="E3234" t="s">
        <v>9538</v>
      </c>
      <c r="F3234" t="s">
        <v>3396</v>
      </c>
      <c r="G3234" t="s">
        <v>63</v>
      </c>
      <c r="H3234" t="s">
        <v>10101</v>
      </c>
      <c r="I3234" t="s">
        <v>10102</v>
      </c>
      <c r="J3234" t="s">
        <v>1049</v>
      </c>
      <c r="K3234" t="s">
        <v>55</v>
      </c>
      <c r="L3234" t="s">
        <v>2330</v>
      </c>
      <c r="M3234" t="s">
        <v>57</v>
      </c>
      <c r="N3234" t="str">
        <f t="shared" si="4"/>
        <v>052522</v>
      </c>
      <c r="O3234" t="s">
        <v>605</v>
      </c>
      <c r="P3234" t="s">
        <v>68</v>
      </c>
      <c r="Q3234" t="s">
        <v>68</v>
      </c>
      <c r="R3234" t="s">
        <v>68</v>
      </c>
      <c r="S3234" t="s">
        <v>69</v>
      </c>
    </row>
    <row r="3235" spans="1:19" x14ac:dyDescent="0.35">
      <c r="A3235">
        <v>56440</v>
      </c>
      <c r="B3235" t="str">
        <f>"056440"</f>
        <v>056440</v>
      </c>
      <c r="C3235" t="s">
        <v>10103</v>
      </c>
      <c r="D3235" t="s">
        <v>3394</v>
      </c>
      <c r="E3235" t="s">
        <v>9538</v>
      </c>
      <c r="F3235" t="s">
        <v>3396</v>
      </c>
      <c r="G3235" t="s">
        <v>63</v>
      </c>
      <c r="H3235" t="s">
        <v>10104</v>
      </c>
      <c r="I3235" t="s">
        <v>10105</v>
      </c>
      <c r="J3235" t="s">
        <v>1844</v>
      </c>
      <c r="K3235" t="s">
        <v>55</v>
      </c>
      <c r="L3235" t="s">
        <v>1636</v>
      </c>
      <c r="M3235" t="s">
        <v>57</v>
      </c>
      <c r="N3235" t="str">
        <f t="shared" si="4"/>
        <v>052522</v>
      </c>
      <c r="O3235" t="s">
        <v>605</v>
      </c>
      <c r="P3235" t="s">
        <v>68</v>
      </c>
      <c r="Q3235" t="s">
        <v>68</v>
      </c>
      <c r="R3235" t="s">
        <v>68</v>
      </c>
      <c r="S3235" t="s">
        <v>69</v>
      </c>
    </row>
    <row r="3236" spans="1:19" x14ac:dyDescent="0.35">
      <c r="A3236">
        <v>56481</v>
      </c>
      <c r="B3236" t="str">
        <f>"056481"</f>
        <v>056481</v>
      </c>
      <c r="C3236" t="s">
        <v>10106</v>
      </c>
      <c r="D3236" t="s">
        <v>3394</v>
      </c>
      <c r="E3236" t="s">
        <v>9538</v>
      </c>
      <c r="F3236" t="s">
        <v>3396</v>
      </c>
      <c r="G3236" t="s">
        <v>63</v>
      </c>
      <c r="H3236" t="s">
        <v>10107</v>
      </c>
      <c r="I3236" t="s">
        <v>10108</v>
      </c>
      <c r="J3236" t="s">
        <v>2182</v>
      </c>
      <c r="K3236" t="s">
        <v>55</v>
      </c>
      <c r="L3236" t="s">
        <v>6421</v>
      </c>
      <c r="M3236" t="s">
        <v>57</v>
      </c>
      <c r="N3236" t="str">
        <f t="shared" si="4"/>
        <v>052522</v>
      </c>
      <c r="O3236" t="s">
        <v>605</v>
      </c>
      <c r="P3236" t="s">
        <v>68</v>
      </c>
      <c r="Q3236" t="s">
        <v>68</v>
      </c>
      <c r="R3236" t="s">
        <v>68</v>
      </c>
      <c r="S3236" t="s">
        <v>69</v>
      </c>
    </row>
    <row r="3237" spans="1:19" x14ac:dyDescent="0.35">
      <c r="A3237">
        <v>56531</v>
      </c>
      <c r="B3237" t="str">
        <f>"056531"</f>
        <v>056531</v>
      </c>
      <c r="C3237" t="s">
        <v>10109</v>
      </c>
      <c r="D3237" t="s">
        <v>3394</v>
      </c>
      <c r="E3237" t="s">
        <v>9538</v>
      </c>
      <c r="F3237" t="s">
        <v>3396</v>
      </c>
      <c r="G3237" t="s">
        <v>63</v>
      </c>
      <c r="H3237" t="s">
        <v>10110</v>
      </c>
      <c r="I3237" t="s">
        <v>10111</v>
      </c>
      <c r="J3237" t="s">
        <v>2182</v>
      </c>
      <c r="K3237" t="s">
        <v>55</v>
      </c>
      <c r="L3237" t="s">
        <v>8770</v>
      </c>
      <c r="M3237" t="s">
        <v>57</v>
      </c>
      <c r="N3237" t="str">
        <f t="shared" si="4"/>
        <v>052522</v>
      </c>
      <c r="O3237" t="s">
        <v>605</v>
      </c>
      <c r="P3237" t="s">
        <v>68</v>
      </c>
      <c r="Q3237" t="s">
        <v>68</v>
      </c>
      <c r="R3237" t="s">
        <v>68</v>
      </c>
      <c r="S3237" t="s">
        <v>69</v>
      </c>
    </row>
    <row r="3238" spans="1:19" x14ac:dyDescent="0.35">
      <c r="A3238">
        <v>56549</v>
      </c>
      <c r="B3238" t="str">
        <f>"056549"</f>
        <v>056549</v>
      </c>
      <c r="C3238" t="s">
        <v>10112</v>
      </c>
      <c r="D3238" t="s">
        <v>3394</v>
      </c>
      <c r="E3238" t="s">
        <v>9538</v>
      </c>
      <c r="F3238" t="s">
        <v>3396</v>
      </c>
      <c r="G3238" t="s">
        <v>63</v>
      </c>
      <c r="H3238" t="s">
        <v>10113</v>
      </c>
      <c r="I3238" t="s">
        <v>10114</v>
      </c>
      <c r="J3238" t="s">
        <v>2869</v>
      </c>
      <c r="K3238" t="s">
        <v>55</v>
      </c>
      <c r="L3238" t="s">
        <v>2870</v>
      </c>
      <c r="M3238" t="s">
        <v>57</v>
      </c>
      <c r="N3238" t="str">
        <f t="shared" si="4"/>
        <v>052522</v>
      </c>
      <c r="O3238" t="s">
        <v>605</v>
      </c>
      <c r="P3238" t="s">
        <v>68</v>
      </c>
      <c r="Q3238" t="s">
        <v>68</v>
      </c>
      <c r="R3238" t="s">
        <v>68</v>
      </c>
      <c r="S3238" t="s">
        <v>69</v>
      </c>
    </row>
    <row r="3239" spans="1:19" x14ac:dyDescent="0.35">
      <c r="A3239">
        <v>56556</v>
      </c>
      <c r="B3239" t="str">
        <f>"056556"</f>
        <v>056556</v>
      </c>
      <c r="C3239" t="s">
        <v>10115</v>
      </c>
      <c r="D3239" t="s">
        <v>3394</v>
      </c>
      <c r="E3239" t="s">
        <v>9538</v>
      </c>
      <c r="F3239" t="s">
        <v>3396</v>
      </c>
      <c r="G3239" t="s">
        <v>63</v>
      </c>
      <c r="H3239" t="s">
        <v>10116</v>
      </c>
      <c r="I3239" t="s">
        <v>10117</v>
      </c>
      <c r="J3239" t="s">
        <v>2834</v>
      </c>
      <c r="K3239" t="s">
        <v>55</v>
      </c>
      <c r="L3239" t="s">
        <v>508</v>
      </c>
      <c r="M3239" t="s">
        <v>57</v>
      </c>
      <c r="N3239" t="str">
        <f t="shared" si="4"/>
        <v>052522</v>
      </c>
      <c r="O3239" t="s">
        <v>605</v>
      </c>
      <c r="P3239" t="s">
        <v>68</v>
      </c>
      <c r="Q3239" t="s">
        <v>68</v>
      </c>
      <c r="R3239" t="s">
        <v>68</v>
      </c>
      <c r="S3239" t="s">
        <v>69</v>
      </c>
    </row>
    <row r="3240" spans="1:19" x14ac:dyDescent="0.35">
      <c r="A3240">
        <v>56580</v>
      </c>
      <c r="B3240" t="str">
        <f>"056580"</f>
        <v>056580</v>
      </c>
      <c r="C3240" t="s">
        <v>10118</v>
      </c>
      <c r="D3240" t="s">
        <v>3394</v>
      </c>
      <c r="E3240" t="s">
        <v>9538</v>
      </c>
      <c r="F3240" t="s">
        <v>3396</v>
      </c>
      <c r="G3240" t="s">
        <v>63</v>
      </c>
      <c r="H3240" t="s">
        <v>10119</v>
      </c>
      <c r="I3240" t="s">
        <v>10120</v>
      </c>
      <c r="J3240" t="s">
        <v>5411</v>
      </c>
      <c r="K3240" t="s">
        <v>55</v>
      </c>
      <c r="L3240" t="s">
        <v>5412</v>
      </c>
      <c r="M3240" t="s">
        <v>57</v>
      </c>
      <c r="N3240" t="str">
        <f t="shared" si="4"/>
        <v>052522</v>
      </c>
      <c r="O3240" t="s">
        <v>605</v>
      </c>
      <c r="P3240" t="s">
        <v>68</v>
      </c>
      <c r="Q3240" t="s">
        <v>68</v>
      </c>
      <c r="R3240" t="s">
        <v>68</v>
      </c>
      <c r="S3240" t="s">
        <v>69</v>
      </c>
    </row>
    <row r="3241" spans="1:19" x14ac:dyDescent="0.35">
      <c r="A3241">
        <v>56598</v>
      </c>
      <c r="B3241" t="str">
        <f>"056598"</f>
        <v>056598</v>
      </c>
      <c r="C3241" t="s">
        <v>10121</v>
      </c>
      <c r="D3241" t="s">
        <v>3394</v>
      </c>
      <c r="E3241" t="s">
        <v>9538</v>
      </c>
      <c r="F3241" t="s">
        <v>3396</v>
      </c>
      <c r="G3241" t="s">
        <v>63</v>
      </c>
      <c r="H3241" t="s">
        <v>10122</v>
      </c>
      <c r="I3241" t="s">
        <v>10123</v>
      </c>
      <c r="J3241" t="s">
        <v>285</v>
      </c>
      <c r="K3241" t="s">
        <v>55</v>
      </c>
      <c r="L3241" t="s">
        <v>2291</v>
      </c>
      <c r="M3241" t="s">
        <v>57</v>
      </c>
      <c r="N3241" t="str">
        <f t="shared" si="4"/>
        <v>052522</v>
      </c>
      <c r="O3241" t="s">
        <v>605</v>
      </c>
      <c r="P3241" t="s">
        <v>68</v>
      </c>
      <c r="Q3241" t="s">
        <v>68</v>
      </c>
      <c r="R3241" t="s">
        <v>68</v>
      </c>
      <c r="S3241" t="s">
        <v>69</v>
      </c>
    </row>
    <row r="3242" spans="1:19" x14ac:dyDescent="0.35">
      <c r="A3242">
        <v>56606</v>
      </c>
      <c r="B3242" t="str">
        <f>"056606"</f>
        <v>056606</v>
      </c>
      <c r="C3242" t="s">
        <v>10007</v>
      </c>
      <c r="D3242" t="s">
        <v>3394</v>
      </c>
      <c r="E3242" t="s">
        <v>9538</v>
      </c>
      <c r="F3242" t="s">
        <v>3396</v>
      </c>
      <c r="G3242" t="s">
        <v>63</v>
      </c>
      <c r="H3242" t="s">
        <v>10124</v>
      </c>
      <c r="I3242" t="s">
        <v>10125</v>
      </c>
      <c r="J3242" t="s">
        <v>795</v>
      </c>
      <c r="K3242" t="s">
        <v>55</v>
      </c>
      <c r="L3242" t="s">
        <v>796</v>
      </c>
      <c r="M3242" t="s">
        <v>57</v>
      </c>
      <c r="N3242" t="str">
        <f t="shared" si="4"/>
        <v>052522</v>
      </c>
      <c r="O3242" t="s">
        <v>605</v>
      </c>
      <c r="P3242" t="s">
        <v>68</v>
      </c>
      <c r="Q3242" t="s">
        <v>68</v>
      </c>
      <c r="R3242" t="s">
        <v>68</v>
      </c>
      <c r="S3242" t="s">
        <v>69</v>
      </c>
    </row>
    <row r="3243" spans="1:19" x14ac:dyDescent="0.35">
      <c r="A3243">
        <v>56648</v>
      </c>
      <c r="B3243" t="str">
        <f>"056648"</f>
        <v>056648</v>
      </c>
      <c r="C3243" t="s">
        <v>10126</v>
      </c>
      <c r="D3243" t="s">
        <v>3394</v>
      </c>
      <c r="E3243" t="s">
        <v>9538</v>
      </c>
      <c r="F3243" t="s">
        <v>3396</v>
      </c>
      <c r="G3243" t="s">
        <v>63</v>
      </c>
      <c r="H3243" t="s">
        <v>10127</v>
      </c>
      <c r="I3243" t="s">
        <v>10128</v>
      </c>
      <c r="J3243" t="s">
        <v>1271</v>
      </c>
      <c r="K3243" t="s">
        <v>55</v>
      </c>
      <c r="L3243" t="s">
        <v>1272</v>
      </c>
      <c r="M3243" t="s">
        <v>57</v>
      </c>
      <c r="N3243" t="str">
        <f t="shared" si="4"/>
        <v>052522</v>
      </c>
      <c r="O3243" t="s">
        <v>605</v>
      </c>
      <c r="P3243" t="s">
        <v>68</v>
      </c>
      <c r="Q3243" t="s">
        <v>68</v>
      </c>
      <c r="R3243" t="s">
        <v>68</v>
      </c>
      <c r="S3243" t="s">
        <v>69</v>
      </c>
    </row>
    <row r="3244" spans="1:19" x14ac:dyDescent="0.35">
      <c r="A3244">
        <v>56655</v>
      </c>
      <c r="B3244" t="str">
        <f>"056655"</f>
        <v>056655</v>
      </c>
      <c r="C3244" t="s">
        <v>10129</v>
      </c>
      <c r="D3244" t="s">
        <v>3394</v>
      </c>
      <c r="E3244" t="s">
        <v>9538</v>
      </c>
      <c r="F3244" t="s">
        <v>3396</v>
      </c>
      <c r="G3244" t="s">
        <v>63</v>
      </c>
      <c r="H3244" t="s">
        <v>10130</v>
      </c>
      <c r="I3244" t="s">
        <v>10131</v>
      </c>
      <c r="J3244" t="s">
        <v>2334</v>
      </c>
      <c r="K3244" t="s">
        <v>55</v>
      </c>
      <c r="L3244" t="s">
        <v>286</v>
      </c>
      <c r="M3244" t="s">
        <v>57</v>
      </c>
      <c r="N3244" t="str">
        <f t="shared" si="4"/>
        <v>052522</v>
      </c>
      <c r="O3244" t="s">
        <v>605</v>
      </c>
      <c r="P3244" t="s">
        <v>68</v>
      </c>
      <c r="Q3244" t="s">
        <v>68</v>
      </c>
      <c r="R3244" t="s">
        <v>68</v>
      </c>
      <c r="S3244" t="s">
        <v>69</v>
      </c>
    </row>
    <row r="3245" spans="1:19" x14ac:dyDescent="0.35">
      <c r="A3245">
        <v>56689</v>
      </c>
      <c r="B3245" t="str">
        <f>"056689"</f>
        <v>056689</v>
      </c>
      <c r="C3245" t="s">
        <v>10132</v>
      </c>
      <c r="D3245" t="s">
        <v>3394</v>
      </c>
      <c r="E3245" t="s">
        <v>9538</v>
      </c>
      <c r="F3245" t="s">
        <v>3396</v>
      </c>
      <c r="G3245" t="s">
        <v>63</v>
      </c>
      <c r="H3245" t="s">
        <v>10133</v>
      </c>
      <c r="I3245" t="s">
        <v>10134</v>
      </c>
      <c r="J3245" t="s">
        <v>285</v>
      </c>
      <c r="K3245" t="s">
        <v>55</v>
      </c>
      <c r="L3245" t="s">
        <v>2232</v>
      </c>
      <c r="M3245" t="s">
        <v>57</v>
      </c>
      <c r="N3245" t="str">
        <f t="shared" si="4"/>
        <v>052522</v>
      </c>
      <c r="O3245" t="s">
        <v>605</v>
      </c>
      <c r="P3245" t="s">
        <v>68</v>
      </c>
      <c r="Q3245" t="s">
        <v>68</v>
      </c>
      <c r="R3245" t="s">
        <v>68</v>
      </c>
      <c r="S3245" t="s">
        <v>69</v>
      </c>
    </row>
    <row r="3246" spans="1:19" x14ac:dyDescent="0.35">
      <c r="A3246">
        <v>56697</v>
      </c>
      <c r="B3246" t="str">
        <f>"056697"</f>
        <v>056697</v>
      </c>
      <c r="C3246" t="s">
        <v>10135</v>
      </c>
      <c r="D3246" t="s">
        <v>3394</v>
      </c>
      <c r="E3246" t="s">
        <v>9538</v>
      </c>
      <c r="F3246" t="s">
        <v>3396</v>
      </c>
      <c r="G3246" t="s">
        <v>63</v>
      </c>
      <c r="H3246" t="s">
        <v>10136</v>
      </c>
      <c r="I3246" t="s">
        <v>10137</v>
      </c>
      <c r="J3246" t="s">
        <v>2775</v>
      </c>
      <c r="K3246" t="s">
        <v>55</v>
      </c>
      <c r="L3246" t="s">
        <v>2776</v>
      </c>
      <c r="M3246" t="s">
        <v>57</v>
      </c>
      <c r="N3246" t="str">
        <f t="shared" si="4"/>
        <v>052522</v>
      </c>
      <c r="O3246" t="s">
        <v>605</v>
      </c>
      <c r="P3246" t="s">
        <v>68</v>
      </c>
      <c r="Q3246" t="s">
        <v>68</v>
      </c>
      <c r="R3246" t="s">
        <v>68</v>
      </c>
      <c r="S3246" t="s">
        <v>69</v>
      </c>
    </row>
    <row r="3247" spans="1:19" x14ac:dyDescent="0.35">
      <c r="A3247">
        <v>56713</v>
      </c>
      <c r="B3247" t="str">
        <f>"056713"</f>
        <v>056713</v>
      </c>
      <c r="C3247" t="s">
        <v>9881</v>
      </c>
      <c r="D3247" t="s">
        <v>3394</v>
      </c>
      <c r="E3247" t="s">
        <v>9538</v>
      </c>
      <c r="F3247" t="s">
        <v>3396</v>
      </c>
      <c r="G3247" t="s">
        <v>63</v>
      </c>
      <c r="H3247" t="s">
        <v>10138</v>
      </c>
      <c r="I3247" t="s">
        <v>10139</v>
      </c>
      <c r="J3247" t="s">
        <v>452</v>
      </c>
      <c r="K3247" t="s">
        <v>55</v>
      </c>
      <c r="L3247" t="s">
        <v>453</v>
      </c>
      <c r="M3247" t="s">
        <v>57</v>
      </c>
      <c r="N3247" t="str">
        <f t="shared" si="4"/>
        <v>052522</v>
      </c>
      <c r="O3247" t="s">
        <v>605</v>
      </c>
      <c r="P3247" t="s">
        <v>68</v>
      </c>
      <c r="Q3247" t="s">
        <v>68</v>
      </c>
      <c r="R3247" t="s">
        <v>68</v>
      </c>
      <c r="S3247" t="s">
        <v>69</v>
      </c>
    </row>
    <row r="3248" spans="1:19" x14ac:dyDescent="0.35">
      <c r="A3248">
        <v>56721</v>
      </c>
      <c r="B3248" t="str">
        <f>"056721"</f>
        <v>056721</v>
      </c>
      <c r="C3248" t="s">
        <v>10140</v>
      </c>
      <c r="D3248" t="s">
        <v>3394</v>
      </c>
      <c r="E3248" t="s">
        <v>9538</v>
      </c>
      <c r="F3248" t="s">
        <v>3396</v>
      </c>
      <c r="G3248" t="s">
        <v>63</v>
      </c>
      <c r="H3248" t="s">
        <v>10141</v>
      </c>
      <c r="I3248" t="s">
        <v>10142</v>
      </c>
      <c r="J3248" t="s">
        <v>2316</v>
      </c>
      <c r="K3248" t="s">
        <v>55</v>
      </c>
      <c r="L3248" t="s">
        <v>2317</v>
      </c>
      <c r="M3248" t="s">
        <v>57</v>
      </c>
      <c r="N3248" t="str">
        <f t="shared" si="4"/>
        <v>052522</v>
      </c>
      <c r="O3248" t="s">
        <v>605</v>
      </c>
      <c r="P3248" t="s">
        <v>68</v>
      </c>
      <c r="Q3248" t="s">
        <v>68</v>
      </c>
      <c r="R3248" t="s">
        <v>68</v>
      </c>
      <c r="S3248" t="s">
        <v>69</v>
      </c>
    </row>
    <row r="3249" spans="1:19" x14ac:dyDescent="0.35">
      <c r="A3249">
        <v>56739</v>
      </c>
      <c r="B3249" t="str">
        <f>"056739"</f>
        <v>056739</v>
      </c>
      <c r="C3249" t="s">
        <v>9837</v>
      </c>
      <c r="D3249" t="s">
        <v>3394</v>
      </c>
      <c r="E3249" t="s">
        <v>9538</v>
      </c>
      <c r="F3249" t="s">
        <v>3396</v>
      </c>
      <c r="G3249" t="s">
        <v>63</v>
      </c>
      <c r="H3249" t="s">
        <v>10143</v>
      </c>
      <c r="I3249" t="s">
        <v>10144</v>
      </c>
      <c r="J3249" t="s">
        <v>66</v>
      </c>
      <c r="K3249" t="s">
        <v>55</v>
      </c>
      <c r="L3249" t="s">
        <v>2232</v>
      </c>
      <c r="M3249" t="s">
        <v>57</v>
      </c>
      <c r="N3249" t="str">
        <f t="shared" si="4"/>
        <v>052522</v>
      </c>
      <c r="O3249" t="s">
        <v>605</v>
      </c>
      <c r="P3249" t="s">
        <v>68</v>
      </c>
      <c r="Q3249" t="s">
        <v>68</v>
      </c>
      <c r="R3249" t="s">
        <v>68</v>
      </c>
      <c r="S3249" t="s">
        <v>69</v>
      </c>
    </row>
    <row r="3250" spans="1:19" x14ac:dyDescent="0.35">
      <c r="A3250">
        <v>56747</v>
      </c>
      <c r="B3250" t="str">
        <f>"056747"</f>
        <v>056747</v>
      </c>
      <c r="C3250" t="s">
        <v>10145</v>
      </c>
      <c r="D3250" t="s">
        <v>3394</v>
      </c>
      <c r="E3250" t="s">
        <v>9538</v>
      </c>
      <c r="F3250" t="s">
        <v>3396</v>
      </c>
      <c r="G3250" t="s">
        <v>63</v>
      </c>
      <c r="H3250" t="s">
        <v>10146</v>
      </c>
      <c r="I3250" t="s">
        <v>10147</v>
      </c>
      <c r="J3250" t="s">
        <v>66</v>
      </c>
      <c r="K3250" t="s">
        <v>55</v>
      </c>
      <c r="L3250" t="s">
        <v>67</v>
      </c>
      <c r="M3250" t="s">
        <v>57</v>
      </c>
      <c r="N3250" t="str">
        <f t="shared" si="4"/>
        <v>052522</v>
      </c>
      <c r="O3250" t="s">
        <v>605</v>
      </c>
      <c r="P3250" t="s">
        <v>68</v>
      </c>
      <c r="Q3250" t="s">
        <v>68</v>
      </c>
      <c r="R3250" t="s">
        <v>68</v>
      </c>
      <c r="S3250" t="s">
        <v>69</v>
      </c>
    </row>
    <row r="3251" spans="1:19" x14ac:dyDescent="0.35">
      <c r="A3251">
        <v>56762</v>
      </c>
      <c r="B3251" t="str">
        <f>"056762"</f>
        <v>056762</v>
      </c>
      <c r="C3251" t="s">
        <v>9926</v>
      </c>
      <c r="D3251" t="s">
        <v>3394</v>
      </c>
      <c r="E3251" t="s">
        <v>9538</v>
      </c>
      <c r="F3251" t="s">
        <v>3396</v>
      </c>
      <c r="G3251" t="s">
        <v>63</v>
      </c>
      <c r="H3251" t="s">
        <v>10148</v>
      </c>
      <c r="I3251" t="s">
        <v>10149</v>
      </c>
      <c r="J3251" t="s">
        <v>66</v>
      </c>
      <c r="K3251" t="s">
        <v>55</v>
      </c>
      <c r="L3251" t="s">
        <v>7937</v>
      </c>
      <c r="M3251" t="s">
        <v>57</v>
      </c>
      <c r="N3251" t="str">
        <f t="shared" si="4"/>
        <v>052522</v>
      </c>
      <c r="O3251" t="s">
        <v>605</v>
      </c>
      <c r="P3251" t="s">
        <v>68</v>
      </c>
      <c r="Q3251" t="s">
        <v>68</v>
      </c>
      <c r="R3251" t="s">
        <v>68</v>
      </c>
      <c r="S3251" t="s">
        <v>69</v>
      </c>
    </row>
    <row r="3252" spans="1:19" x14ac:dyDescent="0.35">
      <c r="A3252">
        <v>56770</v>
      </c>
      <c r="B3252" t="str">
        <f>"056770"</f>
        <v>056770</v>
      </c>
      <c r="C3252" t="s">
        <v>10150</v>
      </c>
      <c r="D3252" t="s">
        <v>3394</v>
      </c>
      <c r="E3252" t="s">
        <v>9538</v>
      </c>
      <c r="F3252" t="s">
        <v>3396</v>
      </c>
      <c r="G3252" t="s">
        <v>63</v>
      </c>
      <c r="H3252" t="s">
        <v>10151</v>
      </c>
      <c r="I3252" t="s">
        <v>10152</v>
      </c>
      <c r="J3252" t="s">
        <v>66</v>
      </c>
      <c r="K3252" t="s">
        <v>55</v>
      </c>
      <c r="L3252" t="s">
        <v>67</v>
      </c>
      <c r="M3252" t="s">
        <v>57</v>
      </c>
      <c r="N3252" t="str">
        <f t="shared" si="4"/>
        <v>052522</v>
      </c>
      <c r="O3252" t="s">
        <v>605</v>
      </c>
      <c r="P3252" t="s">
        <v>68</v>
      </c>
      <c r="Q3252" t="s">
        <v>68</v>
      </c>
      <c r="R3252" t="s">
        <v>68</v>
      </c>
      <c r="S3252" t="s">
        <v>69</v>
      </c>
    </row>
    <row r="3253" spans="1:19" x14ac:dyDescent="0.35">
      <c r="A3253">
        <v>56804</v>
      </c>
      <c r="B3253" t="str">
        <f>"056804"</f>
        <v>056804</v>
      </c>
      <c r="C3253" t="s">
        <v>9929</v>
      </c>
      <c r="D3253" t="s">
        <v>3394</v>
      </c>
      <c r="E3253" t="s">
        <v>9538</v>
      </c>
      <c r="F3253" t="s">
        <v>3396</v>
      </c>
      <c r="G3253" t="s">
        <v>63</v>
      </c>
      <c r="H3253" t="s">
        <v>10153</v>
      </c>
      <c r="I3253" t="s">
        <v>10154</v>
      </c>
      <c r="J3253" t="s">
        <v>871</v>
      </c>
      <c r="K3253" t="s">
        <v>55</v>
      </c>
      <c r="L3253" t="s">
        <v>872</v>
      </c>
      <c r="M3253" t="s">
        <v>57</v>
      </c>
      <c r="N3253" t="str">
        <f t="shared" si="4"/>
        <v>052522</v>
      </c>
      <c r="O3253" t="s">
        <v>605</v>
      </c>
      <c r="P3253" t="s">
        <v>68</v>
      </c>
      <c r="Q3253" t="s">
        <v>68</v>
      </c>
      <c r="R3253" t="s">
        <v>68</v>
      </c>
      <c r="S3253" t="s">
        <v>69</v>
      </c>
    </row>
    <row r="3254" spans="1:19" x14ac:dyDescent="0.35">
      <c r="A3254">
        <v>56812</v>
      </c>
      <c r="B3254" t="str">
        <f>"056812"</f>
        <v>056812</v>
      </c>
      <c r="C3254" t="s">
        <v>9938</v>
      </c>
      <c r="D3254" t="s">
        <v>3394</v>
      </c>
      <c r="E3254" t="s">
        <v>9538</v>
      </c>
      <c r="F3254" t="s">
        <v>3396</v>
      </c>
      <c r="G3254" t="s">
        <v>63</v>
      </c>
      <c r="H3254" t="s">
        <v>10155</v>
      </c>
      <c r="I3254" t="s">
        <v>10156</v>
      </c>
      <c r="J3254" t="s">
        <v>101</v>
      </c>
      <c r="K3254" t="s">
        <v>55</v>
      </c>
      <c r="L3254" t="s">
        <v>3032</v>
      </c>
      <c r="M3254" t="s">
        <v>57</v>
      </c>
      <c r="N3254" t="str">
        <f t="shared" si="4"/>
        <v>052522</v>
      </c>
      <c r="O3254" t="s">
        <v>605</v>
      </c>
      <c r="P3254" t="s">
        <v>68</v>
      </c>
      <c r="Q3254" t="s">
        <v>68</v>
      </c>
      <c r="R3254" t="s">
        <v>68</v>
      </c>
      <c r="S3254" t="s">
        <v>69</v>
      </c>
    </row>
    <row r="3255" spans="1:19" x14ac:dyDescent="0.35">
      <c r="A3255">
        <v>56820</v>
      </c>
      <c r="B3255" t="str">
        <f>"056820"</f>
        <v>056820</v>
      </c>
      <c r="C3255" t="s">
        <v>10157</v>
      </c>
      <c r="D3255" t="s">
        <v>3394</v>
      </c>
      <c r="E3255" t="s">
        <v>9538</v>
      </c>
      <c r="F3255" t="s">
        <v>3396</v>
      </c>
      <c r="G3255" t="s">
        <v>63</v>
      </c>
      <c r="H3255" t="s">
        <v>10158</v>
      </c>
      <c r="I3255" t="s">
        <v>10159</v>
      </c>
      <c r="J3255" t="s">
        <v>1863</v>
      </c>
      <c r="K3255" t="s">
        <v>55</v>
      </c>
      <c r="L3255" t="s">
        <v>1864</v>
      </c>
      <c r="M3255" t="s">
        <v>57</v>
      </c>
      <c r="N3255" t="str">
        <f t="shared" si="4"/>
        <v>052522</v>
      </c>
      <c r="O3255" t="s">
        <v>605</v>
      </c>
      <c r="P3255" t="s">
        <v>68</v>
      </c>
      <c r="Q3255" t="s">
        <v>68</v>
      </c>
      <c r="R3255" t="s">
        <v>68</v>
      </c>
      <c r="S3255" t="s">
        <v>69</v>
      </c>
    </row>
    <row r="3256" spans="1:19" x14ac:dyDescent="0.35">
      <c r="A3256">
        <v>56853</v>
      </c>
      <c r="B3256" t="str">
        <f>"056853"</f>
        <v>056853</v>
      </c>
      <c r="C3256" t="s">
        <v>10160</v>
      </c>
      <c r="D3256" t="s">
        <v>3394</v>
      </c>
      <c r="E3256" t="s">
        <v>9538</v>
      </c>
      <c r="F3256" t="s">
        <v>3396</v>
      </c>
      <c r="G3256" t="s">
        <v>63</v>
      </c>
      <c r="H3256" t="s">
        <v>10161</v>
      </c>
      <c r="I3256" t="s">
        <v>10162</v>
      </c>
      <c r="J3256" t="s">
        <v>1834</v>
      </c>
      <c r="K3256" t="s">
        <v>55</v>
      </c>
      <c r="L3256" t="s">
        <v>1835</v>
      </c>
      <c r="M3256" t="s">
        <v>57</v>
      </c>
      <c r="N3256" t="str">
        <f t="shared" si="4"/>
        <v>052522</v>
      </c>
      <c r="O3256" t="s">
        <v>605</v>
      </c>
      <c r="P3256" t="s">
        <v>68</v>
      </c>
      <c r="Q3256" t="s">
        <v>68</v>
      </c>
      <c r="R3256" t="s">
        <v>68</v>
      </c>
      <c r="S3256" t="s">
        <v>69</v>
      </c>
    </row>
    <row r="3257" spans="1:19" x14ac:dyDescent="0.35">
      <c r="A3257">
        <v>56861</v>
      </c>
      <c r="B3257" t="str">
        <f>"056861"</f>
        <v>056861</v>
      </c>
      <c r="C3257" t="s">
        <v>10163</v>
      </c>
      <c r="D3257" t="s">
        <v>3394</v>
      </c>
      <c r="E3257" t="s">
        <v>9538</v>
      </c>
      <c r="F3257" t="s">
        <v>3396</v>
      </c>
      <c r="G3257" t="s">
        <v>63</v>
      </c>
      <c r="H3257" t="s">
        <v>10164</v>
      </c>
      <c r="I3257" t="s">
        <v>10165</v>
      </c>
      <c r="J3257" t="s">
        <v>1635</v>
      </c>
      <c r="K3257" t="s">
        <v>55</v>
      </c>
      <c r="L3257" t="s">
        <v>1636</v>
      </c>
      <c r="M3257" t="s">
        <v>57</v>
      </c>
      <c r="N3257" t="str">
        <f t="shared" si="4"/>
        <v>052522</v>
      </c>
      <c r="O3257" t="s">
        <v>605</v>
      </c>
      <c r="P3257" t="s">
        <v>68</v>
      </c>
      <c r="Q3257" t="s">
        <v>68</v>
      </c>
      <c r="R3257" t="s">
        <v>68</v>
      </c>
      <c r="S3257" t="s">
        <v>69</v>
      </c>
    </row>
    <row r="3258" spans="1:19" x14ac:dyDescent="0.35">
      <c r="A3258">
        <v>56861</v>
      </c>
      <c r="B3258" t="str">
        <f>"056861"</f>
        <v>056861</v>
      </c>
      <c r="C3258" t="s">
        <v>10163</v>
      </c>
      <c r="D3258" t="s">
        <v>3929</v>
      </c>
      <c r="E3258" t="s">
        <v>9538</v>
      </c>
      <c r="F3258" t="s">
        <v>3396</v>
      </c>
      <c r="G3258" t="s">
        <v>63</v>
      </c>
      <c r="H3258" t="s">
        <v>10164</v>
      </c>
      <c r="I3258" t="s">
        <v>10165</v>
      </c>
      <c r="J3258" t="s">
        <v>1635</v>
      </c>
      <c r="K3258" t="s">
        <v>55</v>
      </c>
      <c r="L3258" t="s">
        <v>1636</v>
      </c>
      <c r="M3258" t="s">
        <v>57</v>
      </c>
      <c r="N3258" t="str">
        <f t="shared" si="4"/>
        <v>052522</v>
      </c>
      <c r="O3258" t="s">
        <v>605</v>
      </c>
      <c r="P3258" t="s">
        <v>68</v>
      </c>
      <c r="Q3258" t="s">
        <v>68</v>
      </c>
      <c r="R3258" t="s">
        <v>68</v>
      </c>
      <c r="S3258" t="s">
        <v>69</v>
      </c>
    </row>
    <row r="3259" spans="1:19" x14ac:dyDescent="0.35">
      <c r="A3259">
        <v>56887</v>
      </c>
      <c r="B3259" t="str">
        <f>"056887"</f>
        <v>056887</v>
      </c>
      <c r="C3259" t="s">
        <v>9907</v>
      </c>
      <c r="D3259" t="s">
        <v>3394</v>
      </c>
      <c r="E3259" t="s">
        <v>9538</v>
      </c>
      <c r="F3259" t="s">
        <v>3396</v>
      </c>
      <c r="G3259" t="s">
        <v>63</v>
      </c>
      <c r="H3259" t="s">
        <v>10166</v>
      </c>
      <c r="I3259" t="s">
        <v>10167</v>
      </c>
      <c r="J3259" t="s">
        <v>3051</v>
      </c>
      <c r="K3259" t="s">
        <v>55</v>
      </c>
      <c r="L3259" t="s">
        <v>3052</v>
      </c>
      <c r="M3259" t="s">
        <v>57</v>
      </c>
      <c r="N3259" t="str">
        <f t="shared" si="4"/>
        <v>052522</v>
      </c>
      <c r="O3259" t="s">
        <v>605</v>
      </c>
      <c r="P3259" t="s">
        <v>68</v>
      </c>
      <c r="Q3259" t="s">
        <v>68</v>
      </c>
      <c r="R3259" t="s">
        <v>68</v>
      </c>
      <c r="S3259" t="s">
        <v>69</v>
      </c>
    </row>
    <row r="3260" spans="1:19" x14ac:dyDescent="0.35">
      <c r="A3260">
        <v>56911</v>
      </c>
      <c r="B3260" t="str">
        <f>"056911"</f>
        <v>056911</v>
      </c>
      <c r="C3260" t="s">
        <v>10168</v>
      </c>
      <c r="D3260" t="s">
        <v>3394</v>
      </c>
      <c r="E3260" t="s">
        <v>9538</v>
      </c>
      <c r="F3260" t="s">
        <v>3396</v>
      </c>
      <c r="G3260" t="s">
        <v>63</v>
      </c>
      <c r="H3260" t="s">
        <v>10169</v>
      </c>
      <c r="I3260" t="s">
        <v>10170</v>
      </c>
      <c r="J3260" t="s">
        <v>2334</v>
      </c>
      <c r="K3260" t="s">
        <v>55</v>
      </c>
      <c r="L3260" t="s">
        <v>286</v>
      </c>
      <c r="M3260" t="s">
        <v>57</v>
      </c>
      <c r="N3260" t="str">
        <f t="shared" si="4"/>
        <v>052522</v>
      </c>
      <c r="O3260" t="s">
        <v>605</v>
      </c>
      <c r="P3260" t="s">
        <v>68</v>
      </c>
      <c r="Q3260" t="s">
        <v>68</v>
      </c>
      <c r="R3260" t="s">
        <v>68</v>
      </c>
      <c r="S3260" t="s">
        <v>69</v>
      </c>
    </row>
    <row r="3261" spans="1:19" x14ac:dyDescent="0.35">
      <c r="A3261">
        <v>56937</v>
      </c>
      <c r="B3261" t="str">
        <f>"056937"</f>
        <v>056937</v>
      </c>
      <c r="C3261" t="s">
        <v>10171</v>
      </c>
      <c r="D3261" t="s">
        <v>3394</v>
      </c>
      <c r="E3261" t="s">
        <v>9538</v>
      </c>
      <c r="F3261" t="s">
        <v>3396</v>
      </c>
      <c r="G3261" t="s">
        <v>264</v>
      </c>
      <c r="H3261" t="s">
        <v>10172</v>
      </c>
      <c r="I3261" t="s">
        <v>10173</v>
      </c>
      <c r="J3261" t="s">
        <v>267</v>
      </c>
      <c r="K3261" t="s">
        <v>55</v>
      </c>
      <c r="L3261" t="s">
        <v>4206</v>
      </c>
      <c r="M3261" t="s">
        <v>57</v>
      </c>
      <c r="N3261" t="str">
        <f t="shared" si="4"/>
        <v>052522</v>
      </c>
      <c r="O3261" t="s">
        <v>605</v>
      </c>
      <c r="P3261" t="s">
        <v>68</v>
      </c>
      <c r="Q3261" t="s">
        <v>68</v>
      </c>
      <c r="R3261" t="s">
        <v>68</v>
      </c>
      <c r="S3261" t="s">
        <v>77</v>
      </c>
    </row>
    <row r="3262" spans="1:19" x14ac:dyDescent="0.35">
      <c r="A3262">
        <v>56945</v>
      </c>
      <c r="B3262" t="str">
        <f>"056945"</f>
        <v>056945</v>
      </c>
      <c r="C3262" t="s">
        <v>10174</v>
      </c>
      <c r="D3262" t="s">
        <v>3394</v>
      </c>
      <c r="E3262" t="s">
        <v>9538</v>
      </c>
      <c r="F3262" t="s">
        <v>3396</v>
      </c>
      <c r="G3262" t="s">
        <v>63</v>
      </c>
      <c r="H3262" t="s">
        <v>10175</v>
      </c>
      <c r="I3262" t="s">
        <v>10176</v>
      </c>
      <c r="J3262" t="s">
        <v>8793</v>
      </c>
      <c r="K3262" t="s">
        <v>55</v>
      </c>
      <c r="L3262" t="s">
        <v>2232</v>
      </c>
      <c r="M3262" t="s">
        <v>57</v>
      </c>
      <c r="N3262" t="str">
        <f t="shared" si="4"/>
        <v>052522</v>
      </c>
      <c r="O3262" t="s">
        <v>605</v>
      </c>
      <c r="P3262" t="s">
        <v>68</v>
      </c>
      <c r="Q3262" t="s">
        <v>68</v>
      </c>
      <c r="R3262" t="s">
        <v>68</v>
      </c>
      <c r="S3262" t="s">
        <v>69</v>
      </c>
    </row>
    <row r="3263" spans="1:19" x14ac:dyDescent="0.35">
      <c r="A3263">
        <v>56994</v>
      </c>
      <c r="B3263" t="str">
        <f>"056994"</f>
        <v>056994</v>
      </c>
      <c r="C3263" t="s">
        <v>10145</v>
      </c>
      <c r="D3263" t="s">
        <v>3394</v>
      </c>
      <c r="E3263" t="s">
        <v>9538</v>
      </c>
      <c r="F3263" t="s">
        <v>3396</v>
      </c>
      <c r="G3263" t="s">
        <v>264</v>
      </c>
      <c r="H3263" t="s">
        <v>10177</v>
      </c>
      <c r="I3263" t="s">
        <v>10178</v>
      </c>
      <c r="J3263" t="s">
        <v>267</v>
      </c>
      <c r="K3263" t="s">
        <v>55</v>
      </c>
      <c r="L3263" t="s">
        <v>5205</v>
      </c>
      <c r="M3263" t="s">
        <v>57</v>
      </c>
      <c r="N3263" t="str">
        <f t="shared" si="4"/>
        <v>052522</v>
      </c>
      <c r="O3263" t="s">
        <v>605</v>
      </c>
      <c r="P3263" t="s">
        <v>68</v>
      </c>
      <c r="Q3263" t="s">
        <v>68</v>
      </c>
      <c r="R3263" t="s">
        <v>68</v>
      </c>
      <c r="S3263" t="s">
        <v>77</v>
      </c>
    </row>
    <row r="3264" spans="1:19" x14ac:dyDescent="0.35">
      <c r="A3264">
        <v>57018</v>
      </c>
      <c r="B3264" t="str">
        <f>"057018"</f>
        <v>057018</v>
      </c>
      <c r="C3264" t="s">
        <v>9718</v>
      </c>
      <c r="D3264" t="s">
        <v>3394</v>
      </c>
      <c r="E3264" t="s">
        <v>9538</v>
      </c>
      <c r="F3264" t="s">
        <v>3396</v>
      </c>
      <c r="G3264" t="s">
        <v>264</v>
      </c>
      <c r="H3264" t="s">
        <v>10179</v>
      </c>
      <c r="I3264" t="s">
        <v>10180</v>
      </c>
      <c r="J3264" t="s">
        <v>267</v>
      </c>
      <c r="K3264" t="s">
        <v>55</v>
      </c>
      <c r="L3264" t="s">
        <v>1318</v>
      </c>
      <c r="M3264" t="s">
        <v>57</v>
      </c>
      <c r="N3264" t="str">
        <f t="shared" si="4"/>
        <v>052522</v>
      </c>
      <c r="O3264" t="s">
        <v>605</v>
      </c>
      <c r="P3264" t="s">
        <v>68</v>
      </c>
      <c r="Q3264" t="s">
        <v>68</v>
      </c>
      <c r="R3264" t="s">
        <v>68</v>
      </c>
      <c r="S3264" t="s">
        <v>77</v>
      </c>
    </row>
    <row r="3265" spans="1:19" x14ac:dyDescent="0.35">
      <c r="A3265">
        <v>57034</v>
      </c>
      <c r="B3265" t="str">
        <f>"057034"</f>
        <v>057034</v>
      </c>
      <c r="C3265" t="s">
        <v>10181</v>
      </c>
      <c r="D3265" t="s">
        <v>3394</v>
      </c>
      <c r="E3265" t="s">
        <v>9538</v>
      </c>
      <c r="F3265" t="s">
        <v>3396</v>
      </c>
      <c r="G3265" t="s">
        <v>264</v>
      </c>
      <c r="H3265" t="s">
        <v>10182</v>
      </c>
      <c r="I3265" t="s">
        <v>10183</v>
      </c>
      <c r="J3265" t="s">
        <v>5319</v>
      </c>
      <c r="K3265" t="s">
        <v>55</v>
      </c>
      <c r="L3265" t="s">
        <v>3693</v>
      </c>
      <c r="M3265" t="s">
        <v>57</v>
      </c>
      <c r="N3265" t="str">
        <f t="shared" si="4"/>
        <v>052522</v>
      </c>
      <c r="O3265" t="s">
        <v>605</v>
      </c>
      <c r="P3265" t="s">
        <v>68</v>
      </c>
      <c r="Q3265" t="s">
        <v>68</v>
      </c>
      <c r="R3265" t="s">
        <v>68</v>
      </c>
      <c r="S3265" t="s">
        <v>77</v>
      </c>
    </row>
    <row r="3266" spans="1:19" x14ac:dyDescent="0.35">
      <c r="A3266">
        <v>57067</v>
      </c>
      <c r="B3266" t="str">
        <f>"057067"</f>
        <v>057067</v>
      </c>
      <c r="C3266" t="s">
        <v>10184</v>
      </c>
      <c r="D3266" t="s">
        <v>3394</v>
      </c>
      <c r="E3266" t="s">
        <v>9538</v>
      </c>
      <c r="F3266" t="s">
        <v>3396</v>
      </c>
      <c r="G3266" t="s">
        <v>264</v>
      </c>
      <c r="H3266" t="s">
        <v>10185</v>
      </c>
      <c r="I3266" t="s">
        <v>4418</v>
      </c>
      <c r="J3266" t="s">
        <v>267</v>
      </c>
      <c r="K3266" t="s">
        <v>55</v>
      </c>
      <c r="L3266" t="s">
        <v>6359</v>
      </c>
      <c r="M3266" t="s">
        <v>57</v>
      </c>
      <c r="N3266" t="str">
        <f t="shared" si="4"/>
        <v>052522</v>
      </c>
      <c r="O3266" t="s">
        <v>605</v>
      </c>
      <c r="P3266" t="s">
        <v>68</v>
      </c>
      <c r="Q3266" t="s">
        <v>68</v>
      </c>
      <c r="R3266" t="s">
        <v>68</v>
      </c>
      <c r="S3266" t="s">
        <v>77</v>
      </c>
    </row>
    <row r="3267" spans="1:19" x14ac:dyDescent="0.35">
      <c r="A3267">
        <v>57109</v>
      </c>
      <c r="B3267" t="str">
        <f>"057109"</f>
        <v>057109</v>
      </c>
      <c r="C3267" t="s">
        <v>10186</v>
      </c>
      <c r="D3267" t="s">
        <v>3394</v>
      </c>
      <c r="E3267" t="s">
        <v>9538</v>
      </c>
      <c r="F3267" t="s">
        <v>3396</v>
      </c>
      <c r="G3267" t="s">
        <v>264</v>
      </c>
      <c r="H3267" t="s">
        <v>10187</v>
      </c>
      <c r="I3267" t="s">
        <v>10188</v>
      </c>
      <c r="J3267" t="s">
        <v>267</v>
      </c>
      <c r="K3267" t="s">
        <v>55</v>
      </c>
      <c r="L3267" t="s">
        <v>6222</v>
      </c>
      <c r="M3267" t="s">
        <v>57</v>
      </c>
      <c r="N3267" t="str">
        <f t="shared" si="4"/>
        <v>052522</v>
      </c>
      <c r="O3267" t="s">
        <v>605</v>
      </c>
      <c r="P3267" t="s">
        <v>68</v>
      </c>
      <c r="Q3267" t="s">
        <v>68</v>
      </c>
      <c r="R3267" t="s">
        <v>68</v>
      </c>
      <c r="S3267" t="s">
        <v>77</v>
      </c>
    </row>
    <row r="3268" spans="1:19" x14ac:dyDescent="0.35">
      <c r="A3268">
        <v>57109</v>
      </c>
      <c r="B3268" t="str">
        <f>"057109"</f>
        <v>057109</v>
      </c>
      <c r="C3268" t="s">
        <v>10186</v>
      </c>
      <c r="D3268" t="s">
        <v>3929</v>
      </c>
      <c r="E3268" t="s">
        <v>9538</v>
      </c>
      <c r="F3268" t="s">
        <v>3396</v>
      </c>
      <c r="G3268" t="s">
        <v>264</v>
      </c>
      <c r="H3268" t="s">
        <v>10187</v>
      </c>
      <c r="I3268" t="s">
        <v>10188</v>
      </c>
      <c r="J3268" t="s">
        <v>267</v>
      </c>
      <c r="K3268" t="s">
        <v>55</v>
      </c>
      <c r="L3268" t="s">
        <v>6222</v>
      </c>
      <c r="M3268" t="s">
        <v>57</v>
      </c>
      <c r="N3268" t="str">
        <f t="shared" si="4"/>
        <v>052522</v>
      </c>
      <c r="O3268" t="s">
        <v>605</v>
      </c>
      <c r="P3268" t="s">
        <v>68</v>
      </c>
      <c r="Q3268" t="s">
        <v>68</v>
      </c>
      <c r="R3268" t="s">
        <v>68</v>
      </c>
      <c r="S3268" t="s">
        <v>77</v>
      </c>
    </row>
    <row r="3269" spans="1:19" x14ac:dyDescent="0.35">
      <c r="A3269">
        <v>57117</v>
      </c>
      <c r="B3269" t="str">
        <f>"057117"</f>
        <v>057117</v>
      </c>
      <c r="C3269" t="s">
        <v>9976</v>
      </c>
      <c r="D3269" t="s">
        <v>3394</v>
      </c>
      <c r="E3269" t="s">
        <v>9538</v>
      </c>
      <c r="F3269" t="s">
        <v>3396</v>
      </c>
      <c r="G3269" t="s">
        <v>143</v>
      </c>
      <c r="H3269" t="s">
        <v>10189</v>
      </c>
      <c r="I3269" t="s">
        <v>10190</v>
      </c>
      <c r="J3269" t="s">
        <v>1004</v>
      </c>
      <c r="K3269" t="s">
        <v>55</v>
      </c>
      <c r="L3269" t="s">
        <v>1005</v>
      </c>
      <c r="M3269" t="s">
        <v>57</v>
      </c>
      <c r="N3269" t="str">
        <f t="shared" si="4"/>
        <v>052522</v>
      </c>
      <c r="O3269" t="s">
        <v>605</v>
      </c>
      <c r="P3269" t="s">
        <v>68</v>
      </c>
      <c r="Q3269" t="s">
        <v>68</v>
      </c>
      <c r="R3269" t="s">
        <v>68</v>
      </c>
      <c r="S3269" t="s">
        <v>69</v>
      </c>
    </row>
    <row r="3270" spans="1:19" x14ac:dyDescent="0.35">
      <c r="A3270">
        <v>57117</v>
      </c>
      <c r="B3270" t="str">
        <f>"057117"</f>
        <v>057117</v>
      </c>
      <c r="C3270" t="s">
        <v>9976</v>
      </c>
      <c r="D3270" t="s">
        <v>3929</v>
      </c>
      <c r="E3270" t="s">
        <v>9538</v>
      </c>
      <c r="F3270" t="s">
        <v>3396</v>
      </c>
      <c r="G3270" t="s">
        <v>143</v>
      </c>
      <c r="H3270" t="s">
        <v>10189</v>
      </c>
      <c r="I3270" t="s">
        <v>10190</v>
      </c>
      <c r="J3270" t="s">
        <v>1004</v>
      </c>
      <c r="K3270" t="s">
        <v>55</v>
      </c>
      <c r="L3270" t="s">
        <v>1005</v>
      </c>
      <c r="M3270" t="s">
        <v>57</v>
      </c>
      <c r="N3270" t="str">
        <f t="shared" si="4"/>
        <v>052522</v>
      </c>
      <c r="O3270" t="s">
        <v>605</v>
      </c>
      <c r="P3270" t="s">
        <v>68</v>
      </c>
      <c r="Q3270" t="s">
        <v>68</v>
      </c>
      <c r="R3270" t="s">
        <v>68</v>
      </c>
      <c r="S3270" t="s">
        <v>69</v>
      </c>
    </row>
    <row r="3271" spans="1:19" x14ac:dyDescent="0.35">
      <c r="A3271">
        <v>57125</v>
      </c>
      <c r="B3271" t="str">
        <f>"057125"</f>
        <v>057125</v>
      </c>
      <c r="C3271" t="s">
        <v>9715</v>
      </c>
      <c r="D3271" t="s">
        <v>3394</v>
      </c>
      <c r="E3271" t="s">
        <v>9538</v>
      </c>
      <c r="F3271" t="s">
        <v>3396</v>
      </c>
      <c r="G3271" t="s">
        <v>855</v>
      </c>
      <c r="H3271" t="s">
        <v>10191</v>
      </c>
      <c r="I3271" t="s">
        <v>10192</v>
      </c>
      <c r="J3271" t="s">
        <v>855</v>
      </c>
      <c r="K3271" t="s">
        <v>55</v>
      </c>
      <c r="L3271" t="s">
        <v>1457</v>
      </c>
      <c r="M3271" t="s">
        <v>57</v>
      </c>
      <c r="N3271" t="str">
        <f t="shared" si="4"/>
        <v>052522</v>
      </c>
      <c r="O3271" t="s">
        <v>605</v>
      </c>
      <c r="P3271" t="s">
        <v>68</v>
      </c>
      <c r="Q3271" t="s">
        <v>68</v>
      </c>
      <c r="R3271" t="s">
        <v>68</v>
      </c>
      <c r="S3271" t="s">
        <v>77</v>
      </c>
    </row>
    <row r="3272" spans="1:19" x14ac:dyDescent="0.35">
      <c r="A3272">
        <v>57133</v>
      </c>
      <c r="B3272" t="str">
        <f>"057133"</f>
        <v>057133</v>
      </c>
      <c r="C3272" t="s">
        <v>10193</v>
      </c>
      <c r="D3272" t="s">
        <v>3394</v>
      </c>
      <c r="E3272" t="s">
        <v>9538</v>
      </c>
      <c r="F3272" t="s">
        <v>3396</v>
      </c>
      <c r="G3272" t="s">
        <v>143</v>
      </c>
      <c r="H3272" t="s">
        <v>10194</v>
      </c>
      <c r="I3272" t="s">
        <v>10195</v>
      </c>
      <c r="J3272" t="s">
        <v>2986</v>
      </c>
      <c r="K3272" t="s">
        <v>55</v>
      </c>
      <c r="L3272" t="s">
        <v>2987</v>
      </c>
      <c r="M3272" t="s">
        <v>57</v>
      </c>
      <c r="N3272" t="str">
        <f t="shared" si="4"/>
        <v>052522</v>
      </c>
      <c r="O3272" t="s">
        <v>605</v>
      </c>
      <c r="P3272" t="s">
        <v>68</v>
      </c>
      <c r="Q3272" t="s">
        <v>68</v>
      </c>
      <c r="R3272" t="s">
        <v>68</v>
      </c>
      <c r="S3272" t="s">
        <v>69</v>
      </c>
    </row>
    <row r="3273" spans="1:19" x14ac:dyDescent="0.35">
      <c r="A3273">
        <v>57141</v>
      </c>
      <c r="B3273" t="str">
        <f>"057141"</f>
        <v>057141</v>
      </c>
      <c r="C3273" t="s">
        <v>10196</v>
      </c>
      <c r="D3273" t="s">
        <v>3394</v>
      </c>
      <c r="E3273" t="s">
        <v>9538</v>
      </c>
      <c r="F3273" t="s">
        <v>3396</v>
      </c>
      <c r="G3273" t="s">
        <v>143</v>
      </c>
      <c r="H3273" t="s">
        <v>10197</v>
      </c>
      <c r="I3273" t="s">
        <v>10198</v>
      </c>
      <c r="J3273" t="s">
        <v>2986</v>
      </c>
      <c r="K3273" t="s">
        <v>55</v>
      </c>
      <c r="L3273" t="s">
        <v>2987</v>
      </c>
      <c r="M3273" t="s">
        <v>57</v>
      </c>
      <c r="N3273" t="str">
        <f t="shared" si="4"/>
        <v>052522</v>
      </c>
      <c r="O3273" t="s">
        <v>605</v>
      </c>
      <c r="P3273" t="s">
        <v>68</v>
      </c>
      <c r="Q3273" t="s">
        <v>68</v>
      </c>
      <c r="R3273" t="s">
        <v>68</v>
      </c>
      <c r="S3273" t="s">
        <v>69</v>
      </c>
    </row>
    <row r="3274" spans="1:19" x14ac:dyDescent="0.35">
      <c r="A3274">
        <v>57141</v>
      </c>
      <c r="B3274" t="str">
        <f>"057141"</f>
        <v>057141</v>
      </c>
      <c r="C3274" t="s">
        <v>10196</v>
      </c>
      <c r="D3274" t="s">
        <v>3929</v>
      </c>
      <c r="E3274" t="s">
        <v>9538</v>
      </c>
      <c r="F3274" t="s">
        <v>3396</v>
      </c>
      <c r="G3274" t="s">
        <v>143</v>
      </c>
      <c r="H3274" t="s">
        <v>10197</v>
      </c>
      <c r="I3274" t="s">
        <v>10198</v>
      </c>
      <c r="J3274" t="s">
        <v>2986</v>
      </c>
      <c r="K3274" t="s">
        <v>55</v>
      </c>
      <c r="L3274" t="s">
        <v>2987</v>
      </c>
      <c r="M3274" t="s">
        <v>57</v>
      </c>
      <c r="N3274" t="str">
        <f t="shared" si="4"/>
        <v>052522</v>
      </c>
      <c r="O3274" t="s">
        <v>605</v>
      </c>
      <c r="P3274" t="s">
        <v>68</v>
      </c>
      <c r="Q3274" t="s">
        <v>68</v>
      </c>
      <c r="R3274" t="s">
        <v>68</v>
      </c>
      <c r="S3274" t="s">
        <v>69</v>
      </c>
    </row>
    <row r="3275" spans="1:19" x14ac:dyDescent="0.35">
      <c r="A3275">
        <v>57158</v>
      </c>
      <c r="B3275" t="str">
        <f>"057158"</f>
        <v>057158</v>
      </c>
      <c r="C3275" t="s">
        <v>9976</v>
      </c>
      <c r="D3275" t="s">
        <v>3394</v>
      </c>
      <c r="E3275" t="s">
        <v>9538</v>
      </c>
      <c r="F3275" t="s">
        <v>3396</v>
      </c>
      <c r="G3275" t="s">
        <v>143</v>
      </c>
      <c r="H3275" t="s">
        <v>10199</v>
      </c>
      <c r="I3275" t="s">
        <v>10200</v>
      </c>
      <c r="J3275" t="s">
        <v>1152</v>
      </c>
      <c r="K3275" t="s">
        <v>55</v>
      </c>
      <c r="L3275" t="s">
        <v>1153</v>
      </c>
      <c r="M3275" t="s">
        <v>57</v>
      </c>
      <c r="N3275" t="str">
        <f t="shared" si="4"/>
        <v>052522</v>
      </c>
      <c r="O3275" t="s">
        <v>605</v>
      </c>
      <c r="P3275" t="s">
        <v>68</v>
      </c>
      <c r="Q3275" t="s">
        <v>68</v>
      </c>
      <c r="R3275" t="s">
        <v>68</v>
      </c>
      <c r="S3275" t="s">
        <v>69</v>
      </c>
    </row>
    <row r="3276" spans="1:19" x14ac:dyDescent="0.35">
      <c r="A3276">
        <v>57182</v>
      </c>
      <c r="B3276" t="str">
        <f>"057182"</f>
        <v>057182</v>
      </c>
      <c r="C3276" t="s">
        <v>10201</v>
      </c>
      <c r="D3276" t="s">
        <v>3394</v>
      </c>
      <c r="E3276" t="s">
        <v>9538</v>
      </c>
      <c r="F3276" t="s">
        <v>3396</v>
      </c>
      <c r="G3276" t="s">
        <v>264</v>
      </c>
      <c r="H3276" t="s">
        <v>10202</v>
      </c>
      <c r="I3276" t="s">
        <v>10203</v>
      </c>
      <c r="J3276" t="s">
        <v>2558</v>
      </c>
      <c r="K3276" t="s">
        <v>55</v>
      </c>
      <c r="L3276" t="s">
        <v>2559</v>
      </c>
      <c r="M3276" t="s">
        <v>57</v>
      </c>
      <c r="N3276" t="str">
        <f t="shared" si="4"/>
        <v>052522</v>
      </c>
      <c r="O3276" t="s">
        <v>605</v>
      </c>
      <c r="P3276" t="s">
        <v>68</v>
      </c>
      <c r="Q3276" t="s">
        <v>68</v>
      </c>
      <c r="R3276" t="s">
        <v>68</v>
      </c>
      <c r="S3276" t="s">
        <v>77</v>
      </c>
    </row>
    <row r="3277" spans="1:19" x14ac:dyDescent="0.35">
      <c r="A3277">
        <v>57208</v>
      </c>
      <c r="B3277" t="str">
        <f>"057208"</f>
        <v>057208</v>
      </c>
      <c r="C3277" t="s">
        <v>10204</v>
      </c>
      <c r="D3277" t="s">
        <v>3394</v>
      </c>
      <c r="E3277" t="s">
        <v>9538</v>
      </c>
      <c r="F3277" t="s">
        <v>3396</v>
      </c>
      <c r="G3277" t="s">
        <v>406</v>
      </c>
      <c r="H3277" t="s">
        <v>10205</v>
      </c>
      <c r="I3277" t="s">
        <v>10206</v>
      </c>
      <c r="J3277" t="s">
        <v>909</v>
      </c>
      <c r="K3277" t="s">
        <v>55</v>
      </c>
      <c r="L3277" t="s">
        <v>910</v>
      </c>
      <c r="M3277" t="s">
        <v>57</v>
      </c>
      <c r="N3277" t="str">
        <f t="shared" ref="N3277:N3298" si="5">"052522"</f>
        <v>052522</v>
      </c>
      <c r="O3277" t="s">
        <v>605</v>
      </c>
      <c r="P3277" t="s">
        <v>68</v>
      </c>
      <c r="Q3277" t="s">
        <v>68</v>
      </c>
      <c r="R3277" t="s">
        <v>68</v>
      </c>
      <c r="S3277" t="s">
        <v>77</v>
      </c>
    </row>
    <row r="3278" spans="1:19" x14ac:dyDescent="0.35">
      <c r="A3278">
        <v>57208</v>
      </c>
      <c r="B3278" t="str">
        <f>"057208"</f>
        <v>057208</v>
      </c>
      <c r="C3278" t="s">
        <v>10204</v>
      </c>
      <c r="D3278" t="s">
        <v>3929</v>
      </c>
      <c r="E3278" t="s">
        <v>9538</v>
      </c>
      <c r="F3278" t="s">
        <v>3396</v>
      </c>
      <c r="G3278" t="s">
        <v>406</v>
      </c>
      <c r="H3278" t="s">
        <v>10205</v>
      </c>
      <c r="I3278" t="s">
        <v>10206</v>
      </c>
      <c r="J3278" t="s">
        <v>909</v>
      </c>
      <c r="K3278" t="s">
        <v>55</v>
      </c>
      <c r="L3278" t="s">
        <v>910</v>
      </c>
      <c r="M3278" t="s">
        <v>57</v>
      </c>
      <c r="N3278" t="str">
        <f t="shared" si="5"/>
        <v>052522</v>
      </c>
      <c r="O3278" t="s">
        <v>605</v>
      </c>
      <c r="P3278" t="s">
        <v>68</v>
      </c>
      <c r="Q3278" t="s">
        <v>68</v>
      </c>
      <c r="R3278" t="s">
        <v>68</v>
      </c>
      <c r="S3278" t="s">
        <v>77</v>
      </c>
    </row>
    <row r="3279" spans="1:19" x14ac:dyDescent="0.35">
      <c r="A3279">
        <v>57216</v>
      </c>
      <c r="B3279" t="str">
        <f>"057216"</f>
        <v>057216</v>
      </c>
      <c r="C3279" t="s">
        <v>10207</v>
      </c>
      <c r="D3279" t="s">
        <v>3394</v>
      </c>
      <c r="E3279" t="s">
        <v>9538</v>
      </c>
      <c r="F3279" t="s">
        <v>3396</v>
      </c>
      <c r="G3279" t="s">
        <v>511</v>
      </c>
      <c r="H3279" t="s">
        <v>9695</v>
      </c>
      <c r="I3279" t="s">
        <v>9696</v>
      </c>
      <c r="J3279" t="s">
        <v>1293</v>
      </c>
      <c r="K3279" t="s">
        <v>55</v>
      </c>
      <c r="L3279" t="s">
        <v>1294</v>
      </c>
      <c r="M3279" t="s">
        <v>57</v>
      </c>
      <c r="N3279" t="str">
        <f t="shared" si="5"/>
        <v>052522</v>
      </c>
      <c r="O3279" t="s">
        <v>605</v>
      </c>
      <c r="P3279" t="s">
        <v>68</v>
      </c>
      <c r="Q3279" t="s">
        <v>68</v>
      </c>
      <c r="R3279" t="s">
        <v>68</v>
      </c>
      <c r="S3279" t="s">
        <v>69</v>
      </c>
    </row>
    <row r="3280" spans="1:19" x14ac:dyDescent="0.35">
      <c r="A3280">
        <v>57224</v>
      </c>
      <c r="B3280" t="str">
        <f>"057224"</f>
        <v>057224</v>
      </c>
      <c r="C3280" t="s">
        <v>9996</v>
      </c>
      <c r="D3280" t="s">
        <v>3394</v>
      </c>
      <c r="E3280" t="s">
        <v>9538</v>
      </c>
      <c r="F3280" t="s">
        <v>3396</v>
      </c>
      <c r="G3280" t="s">
        <v>511</v>
      </c>
      <c r="H3280" t="s">
        <v>10208</v>
      </c>
      <c r="I3280" t="s">
        <v>10209</v>
      </c>
      <c r="J3280" t="s">
        <v>1293</v>
      </c>
      <c r="K3280" t="s">
        <v>55</v>
      </c>
      <c r="L3280" t="s">
        <v>1294</v>
      </c>
      <c r="M3280" t="s">
        <v>57</v>
      </c>
      <c r="N3280" t="str">
        <f t="shared" si="5"/>
        <v>052522</v>
      </c>
      <c r="O3280" t="s">
        <v>605</v>
      </c>
      <c r="P3280" t="s">
        <v>68</v>
      </c>
      <c r="Q3280" t="s">
        <v>68</v>
      </c>
      <c r="R3280" t="s">
        <v>68</v>
      </c>
      <c r="S3280" t="s">
        <v>69</v>
      </c>
    </row>
    <row r="3281" spans="1:19" x14ac:dyDescent="0.35">
      <c r="A3281">
        <v>57224</v>
      </c>
      <c r="B3281" t="str">
        <f>"057224"</f>
        <v>057224</v>
      </c>
      <c r="C3281" t="s">
        <v>9996</v>
      </c>
      <c r="D3281" t="s">
        <v>3929</v>
      </c>
      <c r="E3281" t="s">
        <v>9538</v>
      </c>
      <c r="F3281" t="s">
        <v>3396</v>
      </c>
      <c r="G3281" t="s">
        <v>511</v>
      </c>
      <c r="H3281" t="s">
        <v>10208</v>
      </c>
      <c r="I3281" t="s">
        <v>10209</v>
      </c>
      <c r="J3281" t="s">
        <v>1293</v>
      </c>
      <c r="K3281" t="s">
        <v>55</v>
      </c>
      <c r="L3281" t="s">
        <v>1294</v>
      </c>
      <c r="M3281" t="s">
        <v>57</v>
      </c>
      <c r="N3281" t="str">
        <f t="shared" si="5"/>
        <v>052522</v>
      </c>
      <c r="O3281" t="s">
        <v>605</v>
      </c>
      <c r="P3281" t="s">
        <v>68</v>
      </c>
      <c r="Q3281" t="s">
        <v>68</v>
      </c>
      <c r="R3281" t="s">
        <v>68</v>
      </c>
      <c r="S3281" t="s">
        <v>69</v>
      </c>
    </row>
    <row r="3282" spans="1:19" x14ac:dyDescent="0.35">
      <c r="A3282">
        <v>57232</v>
      </c>
      <c r="B3282" t="str">
        <f>"057232"</f>
        <v>057232</v>
      </c>
      <c r="C3282" t="s">
        <v>9848</v>
      </c>
      <c r="D3282" t="s">
        <v>3394</v>
      </c>
      <c r="E3282" t="s">
        <v>9538</v>
      </c>
      <c r="F3282" t="s">
        <v>3396</v>
      </c>
      <c r="G3282" t="s">
        <v>264</v>
      </c>
      <c r="H3282" t="s">
        <v>10210</v>
      </c>
      <c r="I3282" t="s">
        <v>10211</v>
      </c>
      <c r="J3282" t="s">
        <v>2497</v>
      </c>
      <c r="K3282" t="s">
        <v>55</v>
      </c>
      <c r="L3282" t="s">
        <v>3908</v>
      </c>
      <c r="M3282" t="s">
        <v>57</v>
      </c>
      <c r="N3282" t="str">
        <f t="shared" si="5"/>
        <v>052522</v>
      </c>
      <c r="O3282" t="s">
        <v>605</v>
      </c>
      <c r="P3282" t="s">
        <v>68</v>
      </c>
      <c r="Q3282" t="s">
        <v>68</v>
      </c>
      <c r="R3282" t="s">
        <v>68</v>
      </c>
      <c r="S3282" t="s">
        <v>77</v>
      </c>
    </row>
    <row r="3283" spans="1:19" x14ac:dyDescent="0.35">
      <c r="A3283">
        <v>57257</v>
      </c>
      <c r="B3283" t="str">
        <f>"057257"</f>
        <v>057257</v>
      </c>
      <c r="C3283" t="s">
        <v>10212</v>
      </c>
      <c r="D3283" t="s">
        <v>3394</v>
      </c>
      <c r="E3283" t="s">
        <v>9538</v>
      </c>
      <c r="F3283" t="s">
        <v>3396</v>
      </c>
      <c r="G3283" t="s">
        <v>187</v>
      </c>
      <c r="H3283" t="s">
        <v>10213</v>
      </c>
      <c r="I3283" t="s">
        <v>10214</v>
      </c>
      <c r="J3283" t="s">
        <v>190</v>
      </c>
      <c r="K3283" t="s">
        <v>55</v>
      </c>
      <c r="L3283" t="s">
        <v>191</v>
      </c>
      <c r="M3283" t="s">
        <v>57</v>
      </c>
      <c r="N3283" t="str">
        <f t="shared" si="5"/>
        <v>052522</v>
      </c>
      <c r="O3283" t="s">
        <v>605</v>
      </c>
      <c r="P3283" t="s">
        <v>68</v>
      </c>
      <c r="Q3283" t="s">
        <v>68</v>
      </c>
      <c r="R3283" t="s">
        <v>68</v>
      </c>
      <c r="S3283" t="s">
        <v>77</v>
      </c>
    </row>
    <row r="3284" spans="1:19" x14ac:dyDescent="0.35">
      <c r="A3284">
        <v>57299</v>
      </c>
      <c r="B3284" t="str">
        <f>"057299"</f>
        <v>057299</v>
      </c>
      <c r="C3284" t="s">
        <v>9979</v>
      </c>
      <c r="D3284" t="s">
        <v>3394</v>
      </c>
      <c r="E3284" t="s">
        <v>9538</v>
      </c>
      <c r="F3284" t="s">
        <v>3396</v>
      </c>
      <c r="G3284" t="s">
        <v>143</v>
      </c>
      <c r="H3284" t="s">
        <v>10215</v>
      </c>
      <c r="I3284" t="s">
        <v>10216</v>
      </c>
      <c r="J3284" t="s">
        <v>528</v>
      </c>
      <c r="K3284" t="s">
        <v>55</v>
      </c>
      <c r="L3284" t="s">
        <v>529</v>
      </c>
      <c r="M3284" t="s">
        <v>57</v>
      </c>
      <c r="N3284" t="str">
        <f t="shared" si="5"/>
        <v>052522</v>
      </c>
      <c r="O3284" t="s">
        <v>605</v>
      </c>
      <c r="P3284" t="s">
        <v>68</v>
      </c>
      <c r="Q3284" t="s">
        <v>68</v>
      </c>
      <c r="R3284" t="s">
        <v>68</v>
      </c>
      <c r="S3284" t="s">
        <v>69</v>
      </c>
    </row>
    <row r="3285" spans="1:19" x14ac:dyDescent="0.35">
      <c r="A3285">
        <v>57307</v>
      </c>
      <c r="B3285" t="str">
        <f>"057307"</f>
        <v>057307</v>
      </c>
      <c r="C3285" t="s">
        <v>9996</v>
      </c>
      <c r="D3285" t="s">
        <v>3394</v>
      </c>
      <c r="E3285" t="s">
        <v>9538</v>
      </c>
      <c r="F3285" t="s">
        <v>3396</v>
      </c>
      <c r="G3285" t="s">
        <v>143</v>
      </c>
      <c r="H3285" t="s">
        <v>10217</v>
      </c>
      <c r="I3285" t="s">
        <v>10218</v>
      </c>
      <c r="J3285" t="s">
        <v>528</v>
      </c>
      <c r="K3285" t="s">
        <v>55</v>
      </c>
      <c r="L3285" t="s">
        <v>529</v>
      </c>
      <c r="M3285" t="s">
        <v>57</v>
      </c>
      <c r="N3285" t="str">
        <f t="shared" si="5"/>
        <v>052522</v>
      </c>
      <c r="O3285" t="s">
        <v>605</v>
      </c>
      <c r="P3285" t="s">
        <v>68</v>
      </c>
      <c r="Q3285" t="s">
        <v>68</v>
      </c>
      <c r="R3285" t="s">
        <v>68</v>
      </c>
      <c r="S3285" t="s">
        <v>69</v>
      </c>
    </row>
    <row r="3286" spans="1:19" x14ac:dyDescent="0.35">
      <c r="A3286">
        <v>57356</v>
      </c>
      <c r="B3286" t="str">
        <f>"057356"</f>
        <v>057356</v>
      </c>
      <c r="C3286" t="s">
        <v>10145</v>
      </c>
      <c r="D3286" t="s">
        <v>3394</v>
      </c>
      <c r="E3286" t="s">
        <v>9538</v>
      </c>
      <c r="F3286" t="s">
        <v>3396</v>
      </c>
      <c r="G3286" t="s">
        <v>143</v>
      </c>
      <c r="H3286" t="s">
        <v>10219</v>
      </c>
      <c r="I3286" t="s">
        <v>10220</v>
      </c>
      <c r="J3286" t="s">
        <v>143</v>
      </c>
      <c r="K3286" t="s">
        <v>55</v>
      </c>
      <c r="L3286" t="s">
        <v>1033</v>
      </c>
      <c r="M3286" t="s">
        <v>57</v>
      </c>
      <c r="N3286" t="str">
        <f t="shared" si="5"/>
        <v>052522</v>
      </c>
      <c r="O3286" t="s">
        <v>605</v>
      </c>
      <c r="P3286" t="s">
        <v>68</v>
      </c>
      <c r="Q3286" t="s">
        <v>68</v>
      </c>
      <c r="R3286" t="s">
        <v>68</v>
      </c>
      <c r="S3286" t="s">
        <v>69</v>
      </c>
    </row>
    <row r="3287" spans="1:19" x14ac:dyDescent="0.35">
      <c r="A3287">
        <v>57406</v>
      </c>
      <c r="B3287" t="str">
        <f>"057406"</f>
        <v>057406</v>
      </c>
      <c r="C3287" t="s">
        <v>10014</v>
      </c>
      <c r="D3287" t="s">
        <v>3394</v>
      </c>
      <c r="E3287" t="s">
        <v>9538</v>
      </c>
      <c r="F3287" t="s">
        <v>3396</v>
      </c>
      <c r="G3287" t="s">
        <v>143</v>
      </c>
      <c r="H3287" t="s">
        <v>10221</v>
      </c>
      <c r="I3287" t="s">
        <v>10222</v>
      </c>
      <c r="J3287" t="s">
        <v>143</v>
      </c>
      <c r="K3287" t="s">
        <v>55</v>
      </c>
      <c r="L3287" t="s">
        <v>4806</v>
      </c>
      <c r="M3287" t="s">
        <v>57</v>
      </c>
      <c r="N3287" t="str">
        <f t="shared" si="5"/>
        <v>052522</v>
      </c>
      <c r="O3287" t="s">
        <v>605</v>
      </c>
      <c r="P3287" t="s">
        <v>68</v>
      </c>
      <c r="Q3287" t="s">
        <v>68</v>
      </c>
      <c r="R3287" t="s">
        <v>68</v>
      </c>
      <c r="S3287" t="s">
        <v>69</v>
      </c>
    </row>
    <row r="3288" spans="1:19" x14ac:dyDescent="0.35">
      <c r="A3288">
        <v>57422</v>
      </c>
      <c r="B3288" t="str">
        <f>"057422"</f>
        <v>057422</v>
      </c>
      <c r="C3288" t="s">
        <v>9949</v>
      </c>
      <c r="D3288" t="s">
        <v>3394</v>
      </c>
      <c r="E3288" t="s">
        <v>9538</v>
      </c>
      <c r="F3288" t="s">
        <v>3396</v>
      </c>
      <c r="G3288" t="s">
        <v>481</v>
      </c>
      <c r="H3288" t="s">
        <v>10223</v>
      </c>
      <c r="I3288" t="s">
        <v>10224</v>
      </c>
      <c r="J3288" t="s">
        <v>484</v>
      </c>
      <c r="K3288" t="s">
        <v>55</v>
      </c>
      <c r="L3288" t="s">
        <v>485</v>
      </c>
      <c r="M3288" t="s">
        <v>57</v>
      </c>
      <c r="N3288" t="str">
        <f t="shared" si="5"/>
        <v>052522</v>
      </c>
      <c r="O3288" t="s">
        <v>605</v>
      </c>
      <c r="P3288" t="s">
        <v>68</v>
      </c>
      <c r="Q3288" t="s">
        <v>68</v>
      </c>
      <c r="R3288" t="s">
        <v>68</v>
      </c>
      <c r="S3288" t="s">
        <v>69</v>
      </c>
    </row>
    <row r="3289" spans="1:19" x14ac:dyDescent="0.35">
      <c r="A3289">
        <v>57422</v>
      </c>
      <c r="B3289" t="str">
        <f>"057422"</f>
        <v>057422</v>
      </c>
      <c r="C3289" t="s">
        <v>9949</v>
      </c>
      <c r="D3289" t="s">
        <v>3929</v>
      </c>
      <c r="E3289" t="s">
        <v>9538</v>
      </c>
      <c r="F3289" t="s">
        <v>3396</v>
      </c>
      <c r="G3289" t="s">
        <v>481</v>
      </c>
      <c r="H3289" t="s">
        <v>10223</v>
      </c>
      <c r="I3289" t="s">
        <v>10224</v>
      </c>
      <c r="J3289" t="s">
        <v>484</v>
      </c>
      <c r="K3289" t="s">
        <v>55</v>
      </c>
      <c r="L3289" t="s">
        <v>485</v>
      </c>
      <c r="M3289" t="s">
        <v>57</v>
      </c>
      <c r="N3289" t="str">
        <f t="shared" si="5"/>
        <v>052522</v>
      </c>
      <c r="O3289" t="s">
        <v>605</v>
      </c>
      <c r="P3289" t="s">
        <v>68</v>
      </c>
      <c r="Q3289" t="s">
        <v>68</v>
      </c>
      <c r="R3289" t="s">
        <v>68</v>
      </c>
      <c r="S3289" t="s">
        <v>69</v>
      </c>
    </row>
    <row r="3290" spans="1:19" x14ac:dyDescent="0.35">
      <c r="A3290">
        <v>57430</v>
      </c>
      <c r="B3290" t="str">
        <f>"057430"</f>
        <v>057430</v>
      </c>
      <c r="C3290" t="s">
        <v>10225</v>
      </c>
      <c r="D3290" t="s">
        <v>3394</v>
      </c>
      <c r="E3290" t="s">
        <v>9538</v>
      </c>
      <c r="F3290" t="s">
        <v>3396</v>
      </c>
      <c r="G3290" t="s">
        <v>481</v>
      </c>
      <c r="H3290" t="s">
        <v>10226</v>
      </c>
      <c r="I3290" t="s">
        <v>10227</v>
      </c>
      <c r="J3290" t="s">
        <v>484</v>
      </c>
      <c r="K3290" t="s">
        <v>55</v>
      </c>
      <c r="L3290" t="s">
        <v>485</v>
      </c>
      <c r="M3290" t="s">
        <v>57</v>
      </c>
      <c r="N3290" t="str">
        <f t="shared" si="5"/>
        <v>052522</v>
      </c>
      <c r="O3290" t="s">
        <v>605</v>
      </c>
      <c r="P3290" t="s">
        <v>68</v>
      </c>
      <c r="Q3290" t="s">
        <v>68</v>
      </c>
      <c r="R3290" t="s">
        <v>68</v>
      </c>
      <c r="S3290" t="s">
        <v>69</v>
      </c>
    </row>
    <row r="3291" spans="1:19" x14ac:dyDescent="0.35">
      <c r="A3291">
        <v>57448</v>
      </c>
      <c r="B3291" t="str">
        <f>"057448"</f>
        <v>057448</v>
      </c>
      <c r="C3291" t="s">
        <v>9958</v>
      </c>
      <c r="D3291" t="s">
        <v>3394</v>
      </c>
      <c r="E3291" t="s">
        <v>9538</v>
      </c>
      <c r="F3291" t="s">
        <v>3396</v>
      </c>
      <c r="G3291" t="s">
        <v>511</v>
      </c>
      <c r="H3291" t="s">
        <v>10228</v>
      </c>
      <c r="I3291" t="s">
        <v>10229</v>
      </c>
      <c r="J3291" t="s">
        <v>10230</v>
      </c>
      <c r="K3291" t="s">
        <v>55</v>
      </c>
      <c r="L3291" t="s">
        <v>10231</v>
      </c>
      <c r="M3291" t="s">
        <v>57</v>
      </c>
      <c r="N3291" t="str">
        <f t="shared" si="5"/>
        <v>052522</v>
      </c>
      <c r="O3291" t="s">
        <v>605</v>
      </c>
      <c r="P3291" t="s">
        <v>68</v>
      </c>
      <c r="Q3291" t="s">
        <v>68</v>
      </c>
      <c r="R3291" t="s">
        <v>68</v>
      </c>
      <c r="S3291" t="s">
        <v>69</v>
      </c>
    </row>
    <row r="3292" spans="1:19" x14ac:dyDescent="0.35">
      <c r="A3292">
        <v>57455</v>
      </c>
      <c r="B3292" t="str">
        <f>"057455"</f>
        <v>057455</v>
      </c>
      <c r="C3292" t="s">
        <v>10232</v>
      </c>
      <c r="D3292" t="s">
        <v>3394</v>
      </c>
      <c r="E3292" t="s">
        <v>9538</v>
      </c>
      <c r="F3292" t="s">
        <v>3396</v>
      </c>
      <c r="G3292" t="s">
        <v>264</v>
      </c>
      <c r="H3292" t="s">
        <v>10233</v>
      </c>
      <c r="I3292" t="s">
        <v>10234</v>
      </c>
      <c r="J3292" t="s">
        <v>886</v>
      </c>
      <c r="K3292" t="s">
        <v>55</v>
      </c>
      <c r="L3292" t="s">
        <v>887</v>
      </c>
      <c r="M3292" t="s">
        <v>57</v>
      </c>
      <c r="N3292" t="str">
        <f t="shared" si="5"/>
        <v>052522</v>
      </c>
      <c r="O3292" t="s">
        <v>605</v>
      </c>
      <c r="P3292" t="s">
        <v>68</v>
      </c>
      <c r="Q3292" t="s">
        <v>68</v>
      </c>
      <c r="R3292" t="s">
        <v>68</v>
      </c>
      <c r="S3292" t="s">
        <v>77</v>
      </c>
    </row>
    <row r="3293" spans="1:19" x14ac:dyDescent="0.35">
      <c r="A3293">
        <v>57463</v>
      </c>
      <c r="B3293" t="str">
        <f>"057463"</f>
        <v>057463</v>
      </c>
      <c r="C3293" t="s">
        <v>10014</v>
      </c>
      <c r="D3293" t="s">
        <v>3394</v>
      </c>
      <c r="E3293" t="s">
        <v>9538</v>
      </c>
      <c r="F3293" t="s">
        <v>3396</v>
      </c>
      <c r="G3293" t="s">
        <v>143</v>
      </c>
      <c r="H3293" t="s">
        <v>10235</v>
      </c>
      <c r="I3293" t="s">
        <v>10236</v>
      </c>
      <c r="J3293" t="s">
        <v>2617</v>
      </c>
      <c r="K3293" t="s">
        <v>55</v>
      </c>
      <c r="L3293" t="s">
        <v>2618</v>
      </c>
      <c r="M3293" t="s">
        <v>57</v>
      </c>
      <c r="N3293" t="str">
        <f t="shared" si="5"/>
        <v>052522</v>
      </c>
      <c r="O3293" t="s">
        <v>605</v>
      </c>
      <c r="P3293" t="s">
        <v>68</v>
      </c>
      <c r="Q3293" t="s">
        <v>68</v>
      </c>
      <c r="R3293" t="s">
        <v>68</v>
      </c>
      <c r="S3293" t="s">
        <v>69</v>
      </c>
    </row>
    <row r="3294" spans="1:19" x14ac:dyDescent="0.35">
      <c r="A3294">
        <v>57513</v>
      </c>
      <c r="B3294" t="str">
        <f>"057513"</f>
        <v>057513</v>
      </c>
      <c r="C3294" t="s">
        <v>9837</v>
      </c>
      <c r="D3294" t="s">
        <v>3394</v>
      </c>
      <c r="E3294" t="s">
        <v>9538</v>
      </c>
      <c r="F3294" t="s">
        <v>3396</v>
      </c>
      <c r="G3294" t="s">
        <v>264</v>
      </c>
      <c r="H3294" t="s">
        <v>10237</v>
      </c>
      <c r="I3294" t="s">
        <v>10238</v>
      </c>
      <c r="J3294" t="s">
        <v>1210</v>
      </c>
      <c r="K3294" t="s">
        <v>55</v>
      </c>
      <c r="L3294" t="s">
        <v>1211</v>
      </c>
      <c r="M3294" t="s">
        <v>57</v>
      </c>
      <c r="N3294" t="str">
        <f t="shared" si="5"/>
        <v>052522</v>
      </c>
      <c r="O3294" t="s">
        <v>605</v>
      </c>
      <c r="P3294" t="s">
        <v>68</v>
      </c>
      <c r="Q3294" t="s">
        <v>68</v>
      </c>
      <c r="R3294" t="s">
        <v>68</v>
      </c>
      <c r="S3294" t="s">
        <v>77</v>
      </c>
    </row>
    <row r="3295" spans="1:19" x14ac:dyDescent="0.35">
      <c r="A3295">
        <v>57521</v>
      </c>
      <c r="B3295" t="str">
        <f>"057521"</f>
        <v>057521</v>
      </c>
      <c r="C3295" t="s">
        <v>10239</v>
      </c>
      <c r="D3295" t="s">
        <v>3394</v>
      </c>
      <c r="E3295" t="s">
        <v>9538</v>
      </c>
      <c r="F3295" t="s">
        <v>3396</v>
      </c>
      <c r="G3295" t="s">
        <v>406</v>
      </c>
      <c r="H3295" t="s">
        <v>10240</v>
      </c>
      <c r="I3295" t="s">
        <v>10241</v>
      </c>
      <c r="J3295" t="s">
        <v>465</v>
      </c>
      <c r="K3295" t="s">
        <v>55</v>
      </c>
      <c r="L3295" t="s">
        <v>466</v>
      </c>
      <c r="M3295" t="s">
        <v>57</v>
      </c>
      <c r="N3295" t="str">
        <f t="shared" si="5"/>
        <v>052522</v>
      </c>
      <c r="O3295" t="s">
        <v>605</v>
      </c>
      <c r="P3295" t="s">
        <v>68</v>
      </c>
      <c r="Q3295" t="s">
        <v>68</v>
      </c>
      <c r="R3295" t="s">
        <v>68</v>
      </c>
      <c r="S3295" t="s">
        <v>77</v>
      </c>
    </row>
    <row r="3296" spans="1:19" x14ac:dyDescent="0.35">
      <c r="A3296">
        <v>57539</v>
      </c>
      <c r="B3296" t="str">
        <f>"057539"</f>
        <v>057539</v>
      </c>
      <c r="C3296" t="s">
        <v>10242</v>
      </c>
      <c r="D3296" t="s">
        <v>3394</v>
      </c>
      <c r="E3296" t="s">
        <v>9538</v>
      </c>
      <c r="F3296" t="s">
        <v>3396</v>
      </c>
      <c r="G3296" t="s">
        <v>481</v>
      </c>
      <c r="H3296" t="s">
        <v>10243</v>
      </c>
      <c r="I3296" t="s">
        <v>10244</v>
      </c>
      <c r="J3296" t="s">
        <v>3091</v>
      </c>
      <c r="K3296" t="s">
        <v>55</v>
      </c>
      <c r="L3296" t="s">
        <v>3092</v>
      </c>
      <c r="M3296" t="s">
        <v>57</v>
      </c>
      <c r="N3296" t="str">
        <f t="shared" si="5"/>
        <v>052522</v>
      </c>
      <c r="O3296" t="s">
        <v>605</v>
      </c>
      <c r="P3296" t="s">
        <v>68</v>
      </c>
      <c r="Q3296" t="s">
        <v>68</v>
      </c>
      <c r="R3296" t="s">
        <v>68</v>
      </c>
      <c r="S3296" t="s">
        <v>69</v>
      </c>
    </row>
    <row r="3297" spans="1:19" x14ac:dyDescent="0.35">
      <c r="A3297">
        <v>57539</v>
      </c>
      <c r="B3297" t="str">
        <f>"057539"</f>
        <v>057539</v>
      </c>
      <c r="C3297" t="s">
        <v>10242</v>
      </c>
      <c r="D3297" t="s">
        <v>3929</v>
      </c>
      <c r="E3297" t="s">
        <v>9538</v>
      </c>
      <c r="F3297" t="s">
        <v>3396</v>
      </c>
      <c r="G3297" t="s">
        <v>481</v>
      </c>
      <c r="H3297" t="s">
        <v>10243</v>
      </c>
      <c r="I3297" t="s">
        <v>10244</v>
      </c>
      <c r="J3297" t="s">
        <v>3091</v>
      </c>
      <c r="K3297" t="s">
        <v>55</v>
      </c>
      <c r="L3297" t="s">
        <v>3092</v>
      </c>
      <c r="M3297" t="s">
        <v>57</v>
      </c>
      <c r="N3297" t="str">
        <f t="shared" si="5"/>
        <v>052522</v>
      </c>
      <c r="O3297" t="s">
        <v>605</v>
      </c>
      <c r="P3297" t="s">
        <v>68</v>
      </c>
      <c r="Q3297" t="s">
        <v>68</v>
      </c>
      <c r="R3297" t="s">
        <v>68</v>
      </c>
      <c r="S3297" t="s">
        <v>69</v>
      </c>
    </row>
    <row r="3298" spans="1:19" x14ac:dyDescent="0.35">
      <c r="A3298">
        <v>57562</v>
      </c>
      <c r="B3298" t="str">
        <f>"057562"</f>
        <v>057562</v>
      </c>
      <c r="C3298" t="s">
        <v>10196</v>
      </c>
      <c r="D3298" t="s">
        <v>3394</v>
      </c>
      <c r="E3298" t="s">
        <v>9538</v>
      </c>
      <c r="F3298" t="s">
        <v>3396</v>
      </c>
      <c r="G3298" t="s">
        <v>187</v>
      </c>
      <c r="H3298" t="s">
        <v>10245</v>
      </c>
      <c r="I3298" t="s">
        <v>10246</v>
      </c>
      <c r="J3298" t="s">
        <v>309</v>
      </c>
      <c r="K3298" t="s">
        <v>55</v>
      </c>
      <c r="L3298" t="s">
        <v>310</v>
      </c>
      <c r="M3298" t="s">
        <v>57</v>
      </c>
      <c r="N3298" t="str">
        <f t="shared" si="5"/>
        <v>052522</v>
      </c>
      <c r="O3298" t="s">
        <v>605</v>
      </c>
      <c r="P3298" t="s">
        <v>68</v>
      </c>
      <c r="Q3298" t="s">
        <v>68</v>
      </c>
      <c r="R3298" t="s">
        <v>68</v>
      </c>
      <c r="S3298" t="s">
        <v>77</v>
      </c>
    </row>
    <row r="3299" spans="1:19" x14ac:dyDescent="0.35">
      <c r="A3299">
        <v>57570</v>
      </c>
      <c r="B3299" t="str">
        <f>"057570"</f>
        <v>057570</v>
      </c>
      <c r="C3299" t="s">
        <v>10247</v>
      </c>
      <c r="D3299" t="s">
        <v>3394</v>
      </c>
      <c r="E3299" t="s">
        <v>9538</v>
      </c>
      <c r="F3299" t="s">
        <v>3396</v>
      </c>
      <c r="G3299" t="s">
        <v>110</v>
      </c>
      <c r="H3299" t="s">
        <v>10248</v>
      </c>
      <c r="I3299" t="s">
        <v>10249</v>
      </c>
      <c r="J3299" t="s">
        <v>671</v>
      </c>
      <c r="K3299" t="s">
        <v>55</v>
      </c>
      <c r="L3299" t="s">
        <v>672</v>
      </c>
      <c r="M3299" t="s">
        <v>57</v>
      </c>
      <c r="N3299" t="str">
        <f t="shared" ref="N3299:N3336" si="6">"052530"</f>
        <v>052530</v>
      </c>
      <c r="O3299" t="s">
        <v>2009</v>
      </c>
      <c r="P3299" t="s">
        <v>68</v>
      </c>
      <c r="Q3299" t="s">
        <v>68</v>
      </c>
      <c r="R3299" t="s">
        <v>68</v>
      </c>
      <c r="S3299" t="s">
        <v>60</v>
      </c>
    </row>
    <row r="3300" spans="1:19" x14ac:dyDescent="0.35">
      <c r="A3300">
        <v>57588</v>
      </c>
      <c r="B3300" t="str">
        <f>"057588"</f>
        <v>057588</v>
      </c>
      <c r="C3300" t="s">
        <v>10250</v>
      </c>
      <c r="D3300" t="s">
        <v>3394</v>
      </c>
      <c r="E3300" t="s">
        <v>9538</v>
      </c>
      <c r="F3300" t="s">
        <v>3396</v>
      </c>
      <c r="G3300" t="s">
        <v>600</v>
      </c>
      <c r="H3300" t="s">
        <v>10251</v>
      </c>
      <c r="I3300" t="s">
        <v>10252</v>
      </c>
      <c r="J3300" t="s">
        <v>1348</v>
      </c>
      <c r="K3300" t="s">
        <v>55</v>
      </c>
      <c r="L3300" t="s">
        <v>3161</v>
      </c>
      <c r="M3300" t="s">
        <v>57</v>
      </c>
      <c r="N3300" t="str">
        <f t="shared" si="6"/>
        <v>052530</v>
      </c>
      <c r="O3300" t="s">
        <v>2009</v>
      </c>
      <c r="P3300" t="s">
        <v>68</v>
      </c>
      <c r="Q3300" t="s">
        <v>68</v>
      </c>
      <c r="R3300" t="s">
        <v>68</v>
      </c>
      <c r="S3300" t="s">
        <v>60</v>
      </c>
    </row>
    <row r="3301" spans="1:19" x14ac:dyDescent="0.35">
      <c r="A3301">
        <v>57646</v>
      </c>
      <c r="B3301" t="str">
        <f>"057646"</f>
        <v>057646</v>
      </c>
      <c r="C3301" t="s">
        <v>10253</v>
      </c>
      <c r="D3301" t="s">
        <v>3394</v>
      </c>
      <c r="E3301" t="s">
        <v>9538</v>
      </c>
      <c r="F3301" t="s">
        <v>3396</v>
      </c>
      <c r="G3301" t="s">
        <v>600</v>
      </c>
      <c r="H3301" t="s">
        <v>10254</v>
      </c>
      <c r="I3301" t="s">
        <v>10255</v>
      </c>
      <c r="J3301" t="s">
        <v>1348</v>
      </c>
      <c r="K3301" t="s">
        <v>55</v>
      </c>
      <c r="L3301" t="s">
        <v>1890</v>
      </c>
      <c r="M3301" t="s">
        <v>57</v>
      </c>
      <c r="N3301" t="str">
        <f t="shared" si="6"/>
        <v>052530</v>
      </c>
      <c r="O3301" t="s">
        <v>2009</v>
      </c>
      <c r="P3301" t="s">
        <v>68</v>
      </c>
      <c r="Q3301" t="s">
        <v>68</v>
      </c>
      <c r="R3301" t="s">
        <v>68</v>
      </c>
      <c r="S3301" t="s">
        <v>60</v>
      </c>
    </row>
    <row r="3302" spans="1:19" x14ac:dyDescent="0.35">
      <c r="A3302">
        <v>57653</v>
      </c>
      <c r="B3302" t="str">
        <f>"057653"</f>
        <v>057653</v>
      </c>
      <c r="C3302" t="s">
        <v>10193</v>
      </c>
      <c r="D3302" t="s">
        <v>3394</v>
      </c>
      <c r="E3302" t="s">
        <v>9538</v>
      </c>
      <c r="F3302" t="s">
        <v>3396</v>
      </c>
      <c r="G3302" t="s">
        <v>1551</v>
      </c>
      <c r="H3302" t="s">
        <v>10256</v>
      </c>
      <c r="I3302" t="s">
        <v>10257</v>
      </c>
      <c r="J3302" t="s">
        <v>8367</v>
      </c>
      <c r="K3302" t="s">
        <v>55</v>
      </c>
      <c r="L3302" t="s">
        <v>8368</v>
      </c>
      <c r="M3302" t="s">
        <v>57</v>
      </c>
      <c r="N3302" t="str">
        <f t="shared" si="6"/>
        <v>052530</v>
      </c>
      <c r="O3302" t="s">
        <v>2009</v>
      </c>
      <c r="P3302" t="s">
        <v>68</v>
      </c>
      <c r="Q3302" t="s">
        <v>68</v>
      </c>
      <c r="R3302" t="s">
        <v>68</v>
      </c>
      <c r="S3302" t="s">
        <v>130</v>
      </c>
    </row>
    <row r="3303" spans="1:19" x14ac:dyDescent="0.35">
      <c r="A3303">
        <v>57661</v>
      </c>
      <c r="B3303" t="str">
        <f>"057661"</f>
        <v>057661</v>
      </c>
      <c r="C3303" t="s">
        <v>9843</v>
      </c>
      <c r="D3303" t="s">
        <v>3394</v>
      </c>
      <c r="E3303" t="s">
        <v>9538</v>
      </c>
      <c r="F3303" t="s">
        <v>3396</v>
      </c>
      <c r="G3303" t="s">
        <v>600</v>
      </c>
      <c r="H3303" t="s">
        <v>10258</v>
      </c>
      <c r="I3303" t="s">
        <v>10259</v>
      </c>
      <c r="J3303" t="s">
        <v>1348</v>
      </c>
      <c r="K3303" t="s">
        <v>55</v>
      </c>
      <c r="L3303" t="s">
        <v>4473</v>
      </c>
      <c r="M3303" t="s">
        <v>57</v>
      </c>
      <c r="N3303" t="str">
        <f t="shared" si="6"/>
        <v>052530</v>
      </c>
      <c r="O3303" t="s">
        <v>2009</v>
      </c>
      <c r="P3303" t="s">
        <v>68</v>
      </c>
      <c r="Q3303" t="s">
        <v>68</v>
      </c>
      <c r="R3303" t="s">
        <v>68</v>
      </c>
      <c r="S3303" t="s">
        <v>60</v>
      </c>
    </row>
    <row r="3304" spans="1:19" x14ac:dyDescent="0.35">
      <c r="A3304">
        <v>57679</v>
      </c>
      <c r="B3304" t="str">
        <f>"057679"</f>
        <v>057679</v>
      </c>
      <c r="C3304" t="s">
        <v>9843</v>
      </c>
      <c r="D3304" t="s">
        <v>3394</v>
      </c>
      <c r="E3304" t="s">
        <v>9538</v>
      </c>
      <c r="F3304" t="s">
        <v>3396</v>
      </c>
      <c r="G3304" t="s">
        <v>71</v>
      </c>
      <c r="H3304" t="s">
        <v>10260</v>
      </c>
      <c r="I3304" t="s">
        <v>10261</v>
      </c>
      <c r="J3304" t="s">
        <v>74</v>
      </c>
      <c r="K3304" t="s">
        <v>55</v>
      </c>
      <c r="L3304" t="s">
        <v>75</v>
      </c>
      <c r="M3304" t="s">
        <v>57</v>
      </c>
      <c r="N3304" t="str">
        <f t="shared" si="6"/>
        <v>052530</v>
      </c>
      <c r="O3304" t="s">
        <v>2009</v>
      </c>
      <c r="P3304" t="s">
        <v>68</v>
      </c>
      <c r="Q3304" t="s">
        <v>68</v>
      </c>
      <c r="R3304" t="s">
        <v>68</v>
      </c>
      <c r="S3304" t="s">
        <v>77</v>
      </c>
    </row>
    <row r="3305" spans="1:19" x14ac:dyDescent="0.35">
      <c r="A3305">
        <v>57687</v>
      </c>
      <c r="B3305" t="str">
        <f>"057687"</f>
        <v>057687</v>
      </c>
      <c r="C3305" t="s">
        <v>10262</v>
      </c>
      <c r="D3305" t="s">
        <v>3394</v>
      </c>
      <c r="E3305" t="s">
        <v>9538</v>
      </c>
      <c r="F3305" t="s">
        <v>3396</v>
      </c>
      <c r="G3305" t="s">
        <v>600</v>
      </c>
      <c r="H3305" t="s">
        <v>10263</v>
      </c>
      <c r="I3305" t="s">
        <v>10264</v>
      </c>
      <c r="J3305" t="s">
        <v>1348</v>
      </c>
      <c r="K3305" t="s">
        <v>55</v>
      </c>
      <c r="L3305" t="s">
        <v>4473</v>
      </c>
      <c r="M3305" t="s">
        <v>57</v>
      </c>
      <c r="N3305" t="str">
        <f t="shared" si="6"/>
        <v>052530</v>
      </c>
      <c r="O3305" t="s">
        <v>2009</v>
      </c>
      <c r="P3305" t="s">
        <v>68</v>
      </c>
      <c r="Q3305" t="s">
        <v>68</v>
      </c>
      <c r="R3305" t="s">
        <v>68</v>
      </c>
      <c r="S3305" t="s">
        <v>60</v>
      </c>
    </row>
    <row r="3306" spans="1:19" x14ac:dyDescent="0.35">
      <c r="A3306">
        <v>57695</v>
      </c>
      <c r="B3306" t="str">
        <f>"057695"</f>
        <v>057695</v>
      </c>
      <c r="C3306" t="s">
        <v>10265</v>
      </c>
      <c r="D3306" t="s">
        <v>3394</v>
      </c>
      <c r="E3306" t="s">
        <v>9538</v>
      </c>
      <c r="F3306" t="s">
        <v>3396</v>
      </c>
      <c r="G3306" t="s">
        <v>600</v>
      </c>
      <c r="H3306" t="s">
        <v>10266</v>
      </c>
      <c r="I3306" t="s">
        <v>10267</v>
      </c>
      <c r="J3306" t="s">
        <v>1136</v>
      </c>
      <c r="K3306" t="s">
        <v>55</v>
      </c>
      <c r="L3306" t="s">
        <v>1137</v>
      </c>
      <c r="M3306" t="s">
        <v>57</v>
      </c>
      <c r="N3306" t="str">
        <f t="shared" si="6"/>
        <v>052530</v>
      </c>
      <c r="O3306" t="s">
        <v>2009</v>
      </c>
      <c r="P3306" t="s">
        <v>68</v>
      </c>
      <c r="Q3306" t="s">
        <v>68</v>
      </c>
      <c r="R3306" t="s">
        <v>68</v>
      </c>
      <c r="S3306" t="s">
        <v>60</v>
      </c>
    </row>
    <row r="3307" spans="1:19" x14ac:dyDescent="0.35">
      <c r="A3307">
        <v>57729</v>
      </c>
      <c r="B3307" t="str">
        <f>"057729"</f>
        <v>057729</v>
      </c>
      <c r="C3307" t="s">
        <v>9878</v>
      </c>
      <c r="D3307" t="s">
        <v>3394</v>
      </c>
      <c r="E3307" t="s">
        <v>9538</v>
      </c>
      <c r="F3307" t="s">
        <v>3396</v>
      </c>
      <c r="G3307" t="s">
        <v>1613</v>
      </c>
      <c r="H3307" t="s">
        <v>10268</v>
      </c>
      <c r="I3307" t="s">
        <v>10269</v>
      </c>
      <c r="J3307" t="s">
        <v>1613</v>
      </c>
      <c r="K3307" t="s">
        <v>55</v>
      </c>
      <c r="L3307" t="s">
        <v>1616</v>
      </c>
      <c r="M3307" t="s">
        <v>57</v>
      </c>
      <c r="N3307" t="str">
        <f t="shared" si="6"/>
        <v>052530</v>
      </c>
      <c r="O3307" t="s">
        <v>2009</v>
      </c>
      <c r="P3307" t="s">
        <v>68</v>
      </c>
      <c r="Q3307" t="s">
        <v>68</v>
      </c>
      <c r="R3307" t="s">
        <v>68</v>
      </c>
      <c r="S3307" t="s">
        <v>130</v>
      </c>
    </row>
    <row r="3308" spans="1:19" x14ac:dyDescent="0.35">
      <c r="A3308">
        <v>57745</v>
      </c>
      <c r="B3308" t="str">
        <f>"057745"</f>
        <v>057745</v>
      </c>
      <c r="C3308" t="s">
        <v>10270</v>
      </c>
      <c r="D3308" t="s">
        <v>3394</v>
      </c>
      <c r="E3308" t="s">
        <v>9538</v>
      </c>
      <c r="F3308" t="s">
        <v>3396</v>
      </c>
      <c r="G3308" t="s">
        <v>600</v>
      </c>
      <c r="H3308" t="s">
        <v>10271</v>
      </c>
      <c r="I3308" t="s">
        <v>10272</v>
      </c>
      <c r="J3308" t="s">
        <v>1348</v>
      </c>
      <c r="K3308" t="s">
        <v>55</v>
      </c>
      <c r="L3308" t="s">
        <v>1018</v>
      </c>
      <c r="M3308" t="s">
        <v>57</v>
      </c>
      <c r="N3308" t="str">
        <f t="shared" si="6"/>
        <v>052530</v>
      </c>
      <c r="O3308" t="s">
        <v>2009</v>
      </c>
      <c r="P3308" t="s">
        <v>68</v>
      </c>
      <c r="Q3308" t="s">
        <v>68</v>
      </c>
      <c r="R3308" t="s">
        <v>68</v>
      </c>
      <c r="S3308" t="s">
        <v>60</v>
      </c>
    </row>
    <row r="3309" spans="1:19" x14ac:dyDescent="0.35">
      <c r="A3309">
        <v>57778</v>
      </c>
      <c r="B3309" t="str">
        <f>"057778"</f>
        <v>057778</v>
      </c>
      <c r="C3309" t="s">
        <v>10273</v>
      </c>
      <c r="D3309" t="s">
        <v>3394</v>
      </c>
      <c r="E3309" t="s">
        <v>9538</v>
      </c>
      <c r="F3309" t="s">
        <v>3396</v>
      </c>
      <c r="G3309" t="s">
        <v>600</v>
      </c>
      <c r="H3309" t="s">
        <v>10274</v>
      </c>
      <c r="I3309" t="s">
        <v>10275</v>
      </c>
      <c r="J3309" t="s">
        <v>1348</v>
      </c>
      <c r="K3309" t="s">
        <v>55</v>
      </c>
      <c r="L3309" t="s">
        <v>5611</v>
      </c>
      <c r="M3309" t="s">
        <v>57</v>
      </c>
      <c r="N3309" t="str">
        <f t="shared" si="6"/>
        <v>052530</v>
      </c>
      <c r="O3309" t="s">
        <v>2009</v>
      </c>
      <c r="P3309" t="s">
        <v>68</v>
      </c>
      <c r="Q3309" t="s">
        <v>68</v>
      </c>
      <c r="R3309" t="s">
        <v>68</v>
      </c>
      <c r="S3309" t="s">
        <v>60</v>
      </c>
    </row>
    <row r="3310" spans="1:19" x14ac:dyDescent="0.35">
      <c r="A3310">
        <v>57810</v>
      </c>
      <c r="B3310" t="str">
        <f>"057810"</f>
        <v>057810</v>
      </c>
      <c r="C3310" t="s">
        <v>9907</v>
      </c>
      <c r="D3310" t="s">
        <v>3394</v>
      </c>
      <c r="E3310" t="s">
        <v>9538</v>
      </c>
      <c r="F3310" t="s">
        <v>3396</v>
      </c>
      <c r="G3310" t="s">
        <v>92</v>
      </c>
      <c r="H3310" t="s">
        <v>10276</v>
      </c>
      <c r="I3310" t="s">
        <v>10277</v>
      </c>
      <c r="J3310" t="s">
        <v>1940</v>
      </c>
      <c r="K3310" t="s">
        <v>55</v>
      </c>
      <c r="L3310" t="s">
        <v>1941</v>
      </c>
      <c r="M3310" t="s">
        <v>57</v>
      </c>
      <c r="N3310" t="str">
        <f t="shared" si="6"/>
        <v>052530</v>
      </c>
      <c r="O3310" t="s">
        <v>2009</v>
      </c>
      <c r="P3310" t="s">
        <v>68</v>
      </c>
      <c r="Q3310" t="s">
        <v>68</v>
      </c>
      <c r="R3310" t="s">
        <v>68</v>
      </c>
      <c r="S3310" t="s">
        <v>60</v>
      </c>
    </row>
    <row r="3311" spans="1:19" x14ac:dyDescent="0.35">
      <c r="A3311">
        <v>57836</v>
      </c>
      <c r="B3311" t="str">
        <f>"057836"</f>
        <v>057836</v>
      </c>
      <c r="C3311" t="s">
        <v>10135</v>
      </c>
      <c r="D3311" t="s">
        <v>3394</v>
      </c>
      <c r="E3311" t="s">
        <v>9538</v>
      </c>
      <c r="F3311" t="s">
        <v>3396</v>
      </c>
      <c r="G3311" t="s">
        <v>600</v>
      </c>
      <c r="H3311" t="s">
        <v>10278</v>
      </c>
      <c r="I3311" t="s">
        <v>10279</v>
      </c>
      <c r="J3311" t="s">
        <v>3622</v>
      </c>
      <c r="K3311" t="s">
        <v>55</v>
      </c>
      <c r="L3311" t="s">
        <v>3623</v>
      </c>
      <c r="M3311" t="s">
        <v>57</v>
      </c>
      <c r="N3311" t="str">
        <f t="shared" si="6"/>
        <v>052530</v>
      </c>
      <c r="O3311" t="s">
        <v>2009</v>
      </c>
      <c r="P3311" t="s">
        <v>68</v>
      </c>
      <c r="Q3311" t="s">
        <v>68</v>
      </c>
      <c r="R3311" t="s">
        <v>68</v>
      </c>
      <c r="S3311" t="s">
        <v>60</v>
      </c>
    </row>
    <row r="3312" spans="1:19" x14ac:dyDescent="0.35">
      <c r="A3312">
        <v>57844</v>
      </c>
      <c r="B3312" t="str">
        <f>"057844"</f>
        <v>057844</v>
      </c>
      <c r="C3312" t="s">
        <v>10280</v>
      </c>
      <c r="D3312" t="s">
        <v>3394</v>
      </c>
      <c r="E3312" t="s">
        <v>9538</v>
      </c>
      <c r="F3312" t="s">
        <v>3396</v>
      </c>
      <c r="G3312" t="s">
        <v>600</v>
      </c>
      <c r="H3312" t="s">
        <v>10281</v>
      </c>
      <c r="I3312" t="s">
        <v>10282</v>
      </c>
      <c r="J3312" t="s">
        <v>1348</v>
      </c>
      <c r="K3312" t="s">
        <v>55</v>
      </c>
      <c r="L3312" t="s">
        <v>3161</v>
      </c>
      <c r="M3312" t="s">
        <v>57</v>
      </c>
      <c r="N3312" t="str">
        <f t="shared" si="6"/>
        <v>052530</v>
      </c>
      <c r="O3312" t="s">
        <v>2009</v>
      </c>
      <c r="P3312" t="s">
        <v>68</v>
      </c>
      <c r="Q3312" t="s">
        <v>68</v>
      </c>
      <c r="R3312" t="s">
        <v>68</v>
      </c>
      <c r="S3312" t="s">
        <v>60</v>
      </c>
    </row>
    <row r="3313" spans="1:19" x14ac:dyDescent="0.35">
      <c r="A3313">
        <v>57851</v>
      </c>
      <c r="B3313" t="str">
        <f>"057851"</f>
        <v>057851</v>
      </c>
      <c r="C3313" t="s">
        <v>9922</v>
      </c>
      <c r="D3313" t="s">
        <v>3394</v>
      </c>
      <c r="E3313" t="s">
        <v>9538</v>
      </c>
      <c r="F3313" t="s">
        <v>3396</v>
      </c>
      <c r="G3313" t="s">
        <v>600</v>
      </c>
      <c r="H3313" t="s">
        <v>10283</v>
      </c>
      <c r="I3313" t="s">
        <v>10284</v>
      </c>
      <c r="J3313" t="s">
        <v>1348</v>
      </c>
      <c r="K3313" t="s">
        <v>55</v>
      </c>
      <c r="L3313" t="s">
        <v>1349</v>
      </c>
      <c r="M3313" t="s">
        <v>57</v>
      </c>
      <c r="N3313" t="str">
        <f t="shared" si="6"/>
        <v>052530</v>
      </c>
      <c r="O3313" t="s">
        <v>2009</v>
      </c>
      <c r="P3313" t="s">
        <v>68</v>
      </c>
      <c r="Q3313" t="s">
        <v>68</v>
      </c>
      <c r="R3313" t="s">
        <v>68</v>
      </c>
      <c r="S3313" t="s">
        <v>60</v>
      </c>
    </row>
    <row r="3314" spans="1:19" x14ac:dyDescent="0.35">
      <c r="A3314">
        <v>57869</v>
      </c>
      <c r="B3314" t="str">
        <f>"057869"</f>
        <v>057869</v>
      </c>
      <c r="C3314" t="s">
        <v>9670</v>
      </c>
      <c r="D3314" t="s">
        <v>3394</v>
      </c>
      <c r="E3314" t="s">
        <v>9538</v>
      </c>
      <c r="F3314" t="s">
        <v>3396</v>
      </c>
      <c r="G3314" t="s">
        <v>600</v>
      </c>
      <c r="H3314" t="s">
        <v>10285</v>
      </c>
      <c r="I3314" t="s">
        <v>10286</v>
      </c>
      <c r="J3314" t="s">
        <v>1348</v>
      </c>
      <c r="K3314" t="s">
        <v>55</v>
      </c>
      <c r="L3314" t="s">
        <v>1783</v>
      </c>
      <c r="M3314" t="s">
        <v>57</v>
      </c>
      <c r="N3314" t="str">
        <f t="shared" si="6"/>
        <v>052530</v>
      </c>
      <c r="O3314" t="s">
        <v>2009</v>
      </c>
      <c r="P3314" t="s">
        <v>68</v>
      </c>
      <c r="Q3314" t="s">
        <v>68</v>
      </c>
      <c r="R3314" t="s">
        <v>68</v>
      </c>
      <c r="S3314" t="s">
        <v>60</v>
      </c>
    </row>
    <row r="3315" spans="1:19" x14ac:dyDescent="0.35">
      <c r="A3315">
        <v>57885</v>
      </c>
      <c r="B3315" t="str">
        <f>"057885"</f>
        <v>057885</v>
      </c>
      <c r="C3315" t="s">
        <v>9718</v>
      </c>
      <c r="D3315" t="s">
        <v>3394</v>
      </c>
      <c r="E3315" t="s">
        <v>9538</v>
      </c>
      <c r="F3315" t="s">
        <v>3396</v>
      </c>
      <c r="G3315" t="s">
        <v>110</v>
      </c>
      <c r="H3315" t="s">
        <v>10287</v>
      </c>
      <c r="I3315" t="s">
        <v>10288</v>
      </c>
      <c r="J3315" t="s">
        <v>671</v>
      </c>
      <c r="K3315" t="s">
        <v>55</v>
      </c>
      <c r="L3315" t="s">
        <v>672</v>
      </c>
      <c r="M3315" t="s">
        <v>57</v>
      </c>
      <c r="N3315" t="str">
        <f t="shared" si="6"/>
        <v>052530</v>
      </c>
      <c r="O3315" t="s">
        <v>2009</v>
      </c>
      <c r="P3315" t="s">
        <v>68</v>
      </c>
      <c r="Q3315" t="s">
        <v>68</v>
      </c>
      <c r="R3315" t="s">
        <v>68</v>
      </c>
      <c r="S3315" t="s">
        <v>60</v>
      </c>
    </row>
    <row r="3316" spans="1:19" x14ac:dyDescent="0.35">
      <c r="A3316">
        <v>57901</v>
      </c>
      <c r="B3316" t="str">
        <f>"057901"</f>
        <v>057901</v>
      </c>
      <c r="C3316" t="s">
        <v>10289</v>
      </c>
      <c r="D3316" t="s">
        <v>3394</v>
      </c>
      <c r="E3316" t="s">
        <v>9538</v>
      </c>
      <c r="F3316" t="s">
        <v>3396</v>
      </c>
      <c r="G3316" t="s">
        <v>600</v>
      </c>
      <c r="H3316" t="s">
        <v>10290</v>
      </c>
      <c r="I3316" t="s">
        <v>10291</v>
      </c>
      <c r="J3316" t="s">
        <v>1348</v>
      </c>
      <c r="K3316" t="s">
        <v>55</v>
      </c>
      <c r="L3316" t="s">
        <v>3736</v>
      </c>
      <c r="M3316" t="s">
        <v>57</v>
      </c>
      <c r="N3316" t="str">
        <f t="shared" si="6"/>
        <v>052530</v>
      </c>
      <c r="O3316" t="s">
        <v>2009</v>
      </c>
      <c r="P3316" t="s">
        <v>68</v>
      </c>
      <c r="Q3316" t="s">
        <v>68</v>
      </c>
      <c r="R3316" t="s">
        <v>68</v>
      </c>
      <c r="S3316" t="s">
        <v>60</v>
      </c>
    </row>
    <row r="3317" spans="1:19" x14ac:dyDescent="0.35">
      <c r="A3317">
        <v>57919</v>
      </c>
      <c r="B3317" t="str">
        <f>"057919"</f>
        <v>057919</v>
      </c>
      <c r="C3317" t="s">
        <v>10292</v>
      </c>
      <c r="D3317" t="s">
        <v>3394</v>
      </c>
      <c r="E3317" t="s">
        <v>9538</v>
      </c>
      <c r="F3317" t="s">
        <v>3396</v>
      </c>
      <c r="G3317" t="s">
        <v>1543</v>
      </c>
      <c r="H3317" t="s">
        <v>10293</v>
      </c>
      <c r="I3317" t="s">
        <v>10294</v>
      </c>
      <c r="J3317" t="s">
        <v>288</v>
      </c>
      <c r="K3317" t="s">
        <v>55</v>
      </c>
      <c r="L3317" t="s">
        <v>1546</v>
      </c>
      <c r="M3317" t="s">
        <v>57</v>
      </c>
      <c r="N3317" t="str">
        <f t="shared" si="6"/>
        <v>052530</v>
      </c>
      <c r="O3317" t="s">
        <v>2009</v>
      </c>
      <c r="P3317" t="s">
        <v>68</v>
      </c>
      <c r="Q3317" t="s">
        <v>68</v>
      </c>
      <c r="R3317" t="s">
        <v>68</v>
      </c>
      <c r="S3317" t="s">
        <v>130</v>
      </c>
    </row>
    <row r="3318" spans="1:19" x14ac:dyDescent="0.35">
      <c r="A3318">
        <v>57943</v>
      </c>
      <c r="B3318" t="str">
        <f>"057943"</f>
        <v>057943</v>
      </c>
      <c r="C3318" t="s">
        <v>10295</v>
      </c>
      <c r="D3318" t="s">
        <v>3394</v>
      </c>
      <c r="E3318" t="s">
        <v>9538</v>
      </c>
      <c r="F3318" t="s">
        <v>3396</v>
      </c>
      <c r="G3318" t="s">
        <v>71</v>
      </c>
      <c r="H3318" t="s">
        <v>10296</v>
      </c>
      <c r="I3318" t="s">
        <v>10297</v>
      </c>
      <c r="J3318" t="s">
        <v>991</v>
      </c>
      <c r="K3318" t="s">
        <v>55</v>
      </c>
      <c r="L3318" t="s">
        <v>992</v>
      </c>
      <c r="M3318" t="s">
        <v>57</v>
      </c>
      <c r="N3318" t="str">
        <f t="shared" si="6"/>
        <v>052530</v>
      </c>
      <c r="O3318" t="s">
        <v>2009</v>
      </c>
      <c r="P3318" t="s">
        <v>68</v>
      </c>
      <c r="Q3318" t="s">
        <v>68</v>
      </c>
      <c r="R3318" t="s">
        <v>68</v>
      </c>
      <c r="S3318" t="s">
        <v>77</v>
      </c>
    </row>
    <row r="3319" spans="1:19" x14ac:dyDescent="0.35">
      <c r="A3319">
        <v>57950</v>
      </c>
      <c r="B3319" t="str">
        <f>"057950"</f>
        <v>057950</v>
      </c>
      <c r="C3319" t="s">
        <v>10298</v>
      </c>
      <c r="D3319" t="s">
        <v>3394</v>
      </c>
      <c r="E3319" t="s">
        <v>9538</v>
      </c>
      <c r="F3319" t="s">
        <v>3396</v>
      </c>
      <c r="G3319" t="s">
        <v>600</v>
      </c>
      <c r="H3319" t="s">
        <v>10299</v>
      </c>
      <c r="I3319" t="s">
        <v>10300</v>
      </c>
      <c r="J3319" t="s">
        <v>1348</v>
      </c>
      <c r="K3319" t="s">
        <v>55</v>
      </c>
      <c r="L3319" t="s">
        <v>9099</v>
      </c>
      <c r="M3319" t="s">
        <v>57</v>
      </c>
      <c r="N3319" t="str">
        <f t="shared" si="6"/>
        <v>052530</v>
      </c>
      <c r="O3319" t="s">
        <v>2009</v>
      </c>
      <c r="P3319" t="s">
        <v>68</v>
      </c>
      <c r="Q3319" t="s">
        <v>68</v>
      </c>
      <c r="R3319" t="s">
        <v>68</v>
      </c>
      <c r="S3319" t="s">
        <v>60</v>
      </c>
    </row>
    <row r="3320" spans="1:19" x14ac:dyDescent="0.35">
      <c r="A3320">
        <v>57992</v>
      </c>
      <c r="B3320" t="str">
        <f>"057992"</f>
        <v>057992</v>
      </c>
      <c r="C3320" t="s">
        <v>10301</v>
      </c>
      <c r="D3320" t="s">
        <v>3394</v>
      </c>
      <c r="E3320" t="s">
        <v>9538</v>
      </c>
      <c r="F3320" t="s">
        <v>3396</v>
      </c>
      <c r="G3320" t="s">
        <v>318</v>
      </c>
      <c r="H3320" t="s">
        <v>10302</v>
      </c>
      <c r="I3320" t="s">
        <v>10303</v>
      </c>
      <c r="J3320" t="s">
        <v>321</v>
      </c>
      <c r="K3320" t="s">
        <v>55</v>
      </c>
      <c r="L3320" t="s">
        <v>322</v>
      </c>
      <c r="M3320" t="s">
        <v>57</v>
      </c>
      <c r="N3320" t="str">
        <f t="shared" si="6"/>
        <v>052530</v>
      </c>
      <c r="O3320" t="s">
        <v>2009</v>
      </c>
      <c r="P3320" t="s">
        <v>68</v>
      </c>
      <c r="Q3320" t="s">
        <v>68</v>
      </c>
      <c r="R3320" t="s">
        <v>68</v>
      </c>
      <c r="S3320" t="s">
        <v>130</v>
      </c>
    </row>
    <row r="3321" spans="1:19" x14ac:dyDescent="0.35">
      <c r="A3321">
        <v>57992</v>
      </c>
      <c r="B3321" t="str">
        <f>"057992"</f>
        <v>057992</v>
      </c>
      <c r="C3321" t="s">
        <v>10301</v>
      </c>
      <c r="D3321" t="s">
        <v>3929</v>
      </c>
      <c r="E3321" t="s">
        <v>9538</v>
      </c>
      <c r="F3321" t="s">
        <v>3396</v>
      </c>
      <c r="G3321" t="s">
        <v>318</v>
      </c>
      <c r="H3321" t="s">
        <v>10302</v>
      </c>
      <c r="I3321" t="s">
        <v>10303</v>
      </c>
      <c r="J3321" t="s">
        <v>321</v>
      </c>
      <c r="K3321" t="s">
        <v>55</v>
      </c>
      <c r="L3321" t="s">
        <v>322</v>
      </c>
      <c r="M3321" t="s">
        <v>57</v>
      </c>
      <c r="N3321" t="str">
        <f t="shared" si="6"/>
        <v>052530</v>
      </c>
      <c r="O3321" t="s">
        <v>2009</v>
      </c>
      <c r="P3321" t="s">
        <v>68</v>
      </c>
      <c r="Q3321" t="s">
        <v>68</v>
      </c>
      <c r="R3321" t="s">
        <v>68</v>
      </c>
      <c r="S3321" t="s">
        <v>130</v>
      </c>
    </row>
    <row r="3322" spans="1:19" x14ac:dyDescent="0.35">
      <c r="A3322">
        <v>58008</v>
      </c>
      <c r="B3322" t="str">
        <f>"058008"</f>
        <v>058008</v>
      </c>
      <c r="C3322" t="s">
        <v>9996</v>
      </c>
      <c r="D3322" t="s">
        <v>3394</v>
      </c>
      <c r="E3322" t="s">
        <v>9538</v>
      </c>
      <c r="F3322" t="s">
        <v>3396</v>
      </c>
      <c r="G3322" t="s">
        <v>600</v>
      </c>
      <c r="H3322" t="s">
        <v>10304</v>
      </c>
      <c r="I3322" t="s">
        <v>10305</v>
      </c>
      <c r="J3322" t="s">
        <v>1348</v>
      </c>
      <c r="K3322" t="s">
        <v>55</v>
      </c>
      <c r="L3322" t="s">
        <v>8325</v>
      </c>
      <c r="M3322" t="s">
        <v>57</v>
      </c>
      <c r="N3322" t="str">
        <f t="shared" si="6"/>
        <v>052530</v>
      </c>
      <c r="O3322" t="s">
        <v>2009</v>
      </c>
      <c r="P3322" t="s">
        <v>68</v>
      </c>
      <c r="Q3322" t="s">
        <v>68</v>
      </c>
      <c r="R3322" t="s">
        <v>68</v>
      </c>
      <c r="S3322" t="s">
        <v>60</v>
      </c>
    </row>
    <row r="3323" spans="1:19" x14ac:dyDescent="0.35">
      <c r="A3323">
        <v>58016</v>
      </c>
      <c r="B3323" t="str">
        <f>"058016"</f>
        <v>058016</v>
      </c>
      <c r="C3323" t="s">
        <v>9996</v>
      </c>
      <c r="D3323" t="s">
        <v>3394</v>
      </c>
      <c r="E3323" t="s">
        <v>9538</v>
      </c>
      <c r="F3323" t="s">
        <v>3396</v>
      </c>
      <c r="G3323" t="s">
        <v>52</v>
      </c>
      <c r="H3323" t="s">
        <v>10306</v>
      </c>
      <c r="I3323" t="s">
        <v>10307</v>
      </c>
      <c r="J3323" t="s">
        <v>52</v>
      </c>
      <c r="K3323" t="s">
        <v>55</v>
      </c>
      <c r="L3323" t="s">
        <v>56</v>
      </c>
      <c r="M3323" t="s">
        <v>57</v>
      </c>
      <c r="N3323" t="str">
        <f t="shared" si="6"/>
        <v>052530</v>
      </c>
      <c r="O3323" t="s">
        <v>2009</v>
      </c>
      <c r="P3323" t="s">
        <v>68</v>
      </c>
      <c r="Q3323" t="s">
        <v>68</v>
      </c>
      <c r="R3323" t="s">
        <v>68</v>
      </c>
      <c r="S3323" t="s">
        <v>60</v>
      </c>
    </row>
    <row r="3324" spans="1:19" x14ac:dyDescent="0.35">
      <c r="A3324">
        <v>58024</v>
      </c>
      <c r="B3324" t="str">
        <f>"058024"</f>
        <v>058024</v>
      </c>
      <c r="C3324" t="s">
        <v>9996</v>
      </c>
      <c r="D3324" t="s">
        <v>3394</v>
      </c>
      <c r="E3324" t="s">
        <v>9538</v>
      </c>
      <c r="F3324" t="s">
        <v>3396</v>
      </c>
      <c r="G3324" t="s">
        <v>92</v>
      </c>
      <c r="H3324" t="s">
        <v>10308</v>
      </c>
      <c r="I3324" t="s">
        <v>10309</v>
      </c>
      <c r="J3324" t="s">
        <v>1940</v>
      </c>
      <c r="K3324" t="s">
        <v>55</v>
      </c>
      <c r="L3324" t="s">
        <v>1941</v>
      </c>
      <c r="M3324" t="s">
        <v>57</v>
      </c>
      <c r="N3324" t="str">
        <f t="shared" si="6"/>
        <v>052530</v>
      </c>
      <c r="O3324" t="s">
        <v>2009</v>
      </c>
      <c r="P3324" t="s">
        <v>68</v>
      </c>
      <c r="Q3324" t="s">
        <v>68</v>
      </c>
      <c r="R3324" t="s">
        <v>68</v>
      </c>
      <c r="S3324" t="s">
        <v>60</v>
      </c>
    </row>
    <row r="3325" spans="1:19" x14ac:dyDescent="0.35">
      <c r="A3325">
        <v>58032</v>
      </c>
      <c r="B3325" t="str">
        <f>"058032"</f>
        <v>058032</v>
      </c>
      <c r="C3325" t="s">
        <v>9996</v>
      </c>
      <c r="D3325" t="s">
        <v>3394</v>
      </c>
      <c r="E3325" t="s">
        <v>9538</v>
      </c>
      <c r="F3325" t="s">
        <v>3396</v>
      </c>
      <c r="G3325" t="s">
        <v>312</v>
      </c>
      <c r="H3325" t="s">
        <v>10310</v>
      </c>
      <c r="I3325" t="s">
        <v>10311</v>
      </c>
      <c r="J3325" t="s">
        <v>312</v>
      </c>
      <c r="K3325" t="s">
        <v>55</v>
      </c>
      <c r="L3325" t="s">
        <v>315</v>
      </c>
      <c r="M3325" t="s">
        <v>57</v>
      </c>
      <c r="N3325" t="str">
        <f t="shared" si="6"/>
        <v>052530</v>
      </c>
      <c r="O3325" t="s">
        <v>2009</v>
      </c>
      <c r="P3325" t="s">
        <v>68</v>
      </c>
      <c r="Q3325" t="s">
        <v>68</v>
      </c>
      <c r="R3325" t="s">
        <v>68</v>
      </c>
      <c r="S3325" t="s">
        <v>156</v>
      </c>
    </row>
    <row r="3326" spans="1:19" x14ac:dyDescent="0.35">
      <c r="A3326">
        <v>58040</v>
      </c>
      <c r="B3326" t="str">
        <f>"058040"</f>
        <v>058040</v>
      </c>
      <c r="C3326" t="s">
        <v>10312</v>
      </c>
      <c r="D3326" t="s">
        <v>3394</v>
      </c>
      <c r="E3326" t="s">
        <v>9538</v>
      </c>
      <c r="F3326" t="s">
        <v>3396</v>
      </c>
      <c r="G3326" t="s">
        <v>219</v>
      </c>
      <c r="H3326" t="s">
        <v>10313</v>
      </c>
      <c r="I3326" t="s">
        <v>10314</v>
      </c>
      <c r="J3326" t="s">
        <v>222</v>
      </c>
      <c r="K3326" t="s">
        <v>55</v>
      </c>
      <c r="L3326" t="s">
        <v>223</v>
      </c>
      <c r="M3326" t="s">
        <v>57</v>
      </c>
      <c r="N3326" t="str">
        <f t="shared" si="6"/>
        <v>052530</v>
      </c>
      <c r="O3326" t="s">
        <v>2009</v>
      </c>
      <c r="P3326" t="s">
        <v>68</v>
      </c>
      <c r="Q3326" t="s">
        <v>68</v>
      </c>
      <c r="R3326" t="s">
        <v>68</v>
      </c>
      <c r="S3326" t="s">
        <v>130</v>
      </c>
    </row>
    <row r="3327" spans="1:19" x14ac:dyDescent="0.35">
      <c r="A3327">
        <v>58057</v>
      </c>
      <c r="B3327" t="str">
        <f>"058057"</f>
        <v>058057</v>
      </c>
      <c r="C3327" t="s">
        <v>10315</v>
      </c>
      <c r="D3327" t="s">
        <v>3394</v>
      </c>
      <c r="E3327" t="s">
        <v>9538</v>
      </c>
      <c r="F3327" t="s">
        <v>3396</v>
      </c>
      <c r="G3327" t="s">
        <v>600</v>
      </c>
      <c r="H3327" t="s">
        <v>10316</v>
      </c>
      <c r="I3327" t="s">
        <v>10317</v>
      </c>
      <c r="J3327" t="s">
        <v>1348</v>
      </c>
      <c r="K3327" t="s">
        <v>55</v>
      </c>
      <c r="L3327" t="s">
        <v>3854</v>
      </c>
      <c r="M3327" t="s">
        <v>57</v>
      </c>
      <c r="N3327" t="str">
        <f t="shared" si="6"/>
        <v>052530</v>
      </c>
      <c r="O3327" t="s">
        <v>2009</v>
      </c>
      <c r="P3327" t="s">
        <v>68</v>
      </c>
      <c r="Q3327" t="s">
        <v>68</v>
      </c>
      <c r="R3327" t="s">
        <v>68</v>
      </c>
      <c r="S3327" t="s">
        <v>60</v>
      </c>
    </row>
    <row r="3328" spans="1:19" x14ac:dyDescent="0.35">
      <c r="A3328">
        <v>58065</v>
      </c>
      <c r="B3328" t="str">
        <f>"058065"</f>
        <v>058065</v>
      </c>
      <c r="C3328" t="s">
        <v>10318</v>
      </c>
      <c r="D3328" t="s">
        <v>3394</v>
      </c>
      <c r="E3328" t="s">
        <v>9538</v>
      </c>
      <c r="F3328" t="s">
        <v>3396</v>
      </c>
      <c r="G3328" t="s">
        <v>600</v>
      </c>
      <c r="H3328" t="s">
        <v>10319</v>
      </c>
      <c r="I3328" t="s">
        <v>10320</v>
      </c>
      <c r="J3328" t="s">
        <v>2536</v>
      </c>
      <c r="K3328" t="s">
        <v>55</v>
      </c>
      <c r="L3328" t="s">
        <v>2537</v>
      </c>
      <c r="M3328" t="s">
        <v>57</v>
      </c>
      <c r="N3328" t="str">
        <f t="shared" si="6"/>
        <v>052530</v>
      </c>
      <c r="O3328" t="s">
        <v>2009</v>
      </c>
      <c r="P3328" t="s">
        <v>68</v>
      </c>
      <c r="Q3328" t="s">
        <v>68</v>
      </c>
      <c r="R3328" t="s">
        <v>68</v>
      </c>
      <c r="S3328" t="s">
        <v>60</v>
      </c>
    </row>
    <row r="3329" spans="1:19" x14ac:dyDescent="0.35">
      <c r="A3329">
        <v>58073</v>
      </c>
      <c r="B3329" t="str">
        <f>"058073"</f>
        <v>058073</v>
      </c>
      <c r="C3329" t="s">
        <v>10321</v>
      </c>
      <c r="D3329" t="s">
        <v>3394</v>
      </c>
      <c r="E3329" t="s">
        <v>9538</v>
      </c>
      <c r="F3329" t="s">
        <v>3396</v>
      </c>
      <c r="G3329" t="s">
        <v>600</v>
      </c>
      <c r="H3329" t="s">
        <v>10322</v>
      </c>
      <c r="I3329" t="s">
        <v>10323</v>
      </c>
      <c r="J3329" t="s">
        <v>1348</v>
      </c>
      <c r="K3329" t="s">
        <v>55</v>
      </c>
      <c r="L3329" t="s">
        <v>3736</v>
      </c>
      <c r="M3329" t="s">
        <v>57</v>
      </c>
      <c r="N3329" t="str">
        <f t="shared" si="6"/>
        <v>052530</v>
      </c>
      <c r="O3329" t="s">
        <v>2009</v>
      </c>
      <c r="P3329" t="s">
        <v>68</v>
      </c>
      <c r="Q3329" t="s">
        <v>68</v>
      </c>
      <c r="R3329" t="s">
        <v>68</v>
      </c>
      <c r="S3329" t="s">
        <v>60</v>
      </c>
    </row>
    <row r="3330" spans="1:19" x14ac:dyDescent="0.35">
      <c r="A3330">
        <v>58081</v>
      </c>
      <c r="B3330" t="str">
        <f>"058081"</f>
        <v>058081</v>
      </c>
      <c r="C3330" t="s">
        <v>10007</v>
      </c>
      <c r="D3330" t="s">
        <v>3394</v>
      </c>
      <c r="E3330" t="s">
        <v>9538</v>
      </c>
      <c r="F3330" t="s">
        <v>3396</v>
      </c>
      <c r="G3330" t="s">
        <v>600</v>
      </c>
      <c r="H3330" t="s">
        <v>10324</v>
      </c>
      <c r="I3330" t="s">
        <v>10325</v>
      </c>
      <c r="J3330" t="s">
        <v>1500</v>
      </c>
      <c r="K3330" t="s">
        <v>55</v>
      </c>
      <c r="L3330" t="s">
        <v>1501</v>
      </c>
      <c r="M3330" t="s">
        <v>57</v>
      </c>
      <c r="N3330" t="str">
        <f t="shared" si="6"/>
        <v>052530</v>
      </c>
      <c r="O3330" t="s">
        <v>2009</v>
      </c>
      <c r="P3330" t="s">
        <v>68</v>
      </c>
      <c r="Q3330" t="s">
        <v>68</v>
      </c>
      <c r="R3330" t="s">
        <v>68</v>
      </c>
      <c r="S3330" t="s">
        <v>60</v>
      </c>
    </row>
    <row r="3331" spans="1:19" x14ac:dyDescent="0.35">
      <c r="A3331">
        <v>58099</v>
      </c>
      <c r="B3331" t="str">
        <f>"058099"</f>
        <v>058099</v>
      </c>
      <c r="C3331" t="s">
        <v>10326</v>
      </c>
      <c r="D3331" t="s">
        <v>3394</v>
      </c>
      <c r="E3331" t="s">
        <v>9538</v>
      </c>
      <c r="F3331" t="s">
        <v>3396</v>
      </c>
      <c r="G3331" t="s">
        <v>674</v>
      </c>
      <c r="H3331" t="s">
        <v>10327</v>
      </c>
      <c r="I3331" t="s">
        <v>10328</v>
      </c>
      <c r="J3331" t="s">
        <v>927</v>
      </c>
      <c r="K3331" t="s">
        <v>55</v>
      </c>
      <c r="L3331" t="s">
        <v>928</v>
      </c>
      <c r="M3331" t="s">
        <v>57</v>
      </c>
      <c r="N3331" t="str">
        <f t="shared" si="6"/>
        <v>052530</v>
      </c>
      <c r="O3331" t="s">
        <v>2009</v>
      </c>
      <c r="P3331" t="s">
        <v>68</v>
      </c>
      <c r="Q3331" t="s">
        <v>68</v>
      </c>
      <c r="R3331" t="s">
        <v>68</v>
      </c>
      <c r="S3331" t="s">
        <v>130</v>
      </c>
    </row>
    <row r="3332" spans="1:19" x14ac:dyDescent="0.35">
      <c r="A3332">
        <v>58107</v>
      </c>
      <c r="B3332" t="str">
        <f>"058107"</f>
        <v>058107</v>
      </c>
      <c r="C3332" t="s">
        <v>10011</v>
      </c>
      <c r="D3332" t="s">
        <v>3394</v>
      </c>
      <c r="E3332" t="s">
        <v>9538</v>
      </c>
      <c r="F3332" t="s">
        <v>3396</v>
      </c>
      <c r="G3332" t="s">
        <v>657</v>
      </c>
      <c r="H3332" t="s">
        <v>10329</v>
      </c>
      <c r="I3332" t="s">
        <v>10330</v>
      </c>
      <c r="J3332" t="s">
        <v>1432</v>
      </c>
      <c r="K3332" t="s">
        <v>55</v>
      </c>
      <c r="L3332" t="s">
        <v>1433</v>
      </c>
      <c r="M3332" t="s">
        <v>57</v>
      </c>
      <c r="N3332" t="str">
        <f t="shared" si="6"/>
        <v>052530</v>
      </c>
      <c r="O3332" t="s">
        <v>2009</v>
      </c>
      <c r="P3332" t="s">
        <v>68</v>
      </c>
      <c r="Q3332" t="s">
        <v>68</v>
      </c>
      <c r="R3332" t="s">
        <v>68</v>
      </c>
      <c r="S3332" t="s">
        <v>60</v>
      </c>
    </row>
    <row r="3333" spans="1:19" x14ac:dyDescent="0.35">
      <c r="A3333">
        <v>58115</v>
      </c>
      <c r="B3333" t="str">
        <f>"058115"</f>
        <v>058115</v>
      </c>
      <c r="C3333" t="s">
        <v>10331</v>
      </c>
      <c r="D3333" t="s">
        <v>3394</v>
      </c>
      <c r="E3333" t="s">
        <v>9538</v>
      </c>
      <c r="F3333" t="s">
        <v>3396</v>
      </c>
      <c r="G3333" t="s">
        <v>52</v>
      </c>
      <c r="H3333" t="s">
        <v>10332</v>
      </c>
      <c r="I3333" t="s">
        <v>10333</v>
      </c>
      <c r="J3333" t="s">
        <v>2690</v>
      </c>
      <c r="K3333" t="s">
        <v>55</v>
      </c>
      <c r="L3333" t="s">
        <v>10334</v>
      </c>
      <c r="M3333" t="s">
        <v>57</v>
      </c>
      <c r="N3333" t="str">
        <f t="shared" si="6"/>
        <v>052530</v>
      </c>
      <c r="O3333" t="s">
        <v>2009</v>
      </c>
      <c r="P3333" t="s">
        <v>68</v>
      </c>
      <c r="Q3333" t="s">
        <v>68</v>
      </c>
      <c r="R3333" t="s">
        <v>68</v>
      </c>
      <c r="S3333" t="s">
        <v>60</v>
      </c>
    </row>
    <row r="3334" spans="1:19" x14ac:dyDescent="0.35">
      <c r="A3334">
        <v>58156</v>
      </c>
      <c r="B3334" t="str">
        <f>"058156"</f>
        <v>058156</v>
      </c>
      <c r="C3334" t="s">
        <v>10335</v>
      </c>
      <c r="D3334" t="s">
        <v>3394</v>
      </c>
      <c r="E3334" t="s">
        <v>9538</v>
      </c>
      <c r="F3334" t="s">
        <v>3396</v>
      </c>
      <c r="G3334" t="s">
        <v>600</v>
      </c>
      <c r="H3334" t="s">
        <v>10336</v>
      </c>
      <c r="I3334" t="s">
        <v>10337</v>
      </c>
      <c r="J3334" t="s">
        <v>603</v>
      </c>
      <c r="K3334" t="s">
        <v>55</v>
      </c>
      <c r="L3334" t="s">
        <v>604</v>
      </c>
      <c r="M3334" t="s">
        <v>57</v>
      </c>
      <c r="N3334" t="str">
        <f t="shared" si="6"/>
        <v>052530</v>
      </c>
      <c r="O3334" t="s">
        <v>2009</v>
      </c>
      <c r="P3334" t="s">
        <v>68</v>
      </c>
      <c r="Q3334" t="s">
        <v>68</v>
      </c>
      <c r="R3334" t="s">
        <v>68</v>
      </c>
      <c r="S3334" t="s">
        <v>60</v>
      </c>
    </row>
    <row r="3335" spans="1:19" x14ac:dyDescent="0.35">
      <c r="A3335">
        <v>58206</v>
      </c>
      <c r="B3335" t="str">
        <f>"058206"</f>
        <v>058206</v>
      </c>
      <c r="C3335" t="s">
        <v>10338</v>
      </c>
      <c r="D3335" t="s">
        <v>3394</v>
      </c>
      <c r="E3335" t="s">
        <v>9538</v>
      </c>
      <c r="F3335" t="s">
        <v>3396</v>
      </c>
      <c r="G3335" t="s">
        <v>600</v>
      </c>
      <c r="H3335" t="s">
        <v>10339</v>
      </c>
      <c r="I3335" t="s">
        <v>10340</v>
      </c>
      <c r="J3335" t="s">
        <v>1348</v>
      </c>
      <c r="K3335" t="s">
        <v>55</v>
      </c>
      <c r="L3335" t="s">
        <v>5611</v>
      </c>
      <c r="M3335" t="s">
        <v>57</v>
      </c>
      <c r="N3335" t="str">
        <f t="shared" si="6"/>
        <v>052530</v>
      </c>
      <c r="O3335" t="s">
        <v>2009</v>
      </c>
      <c r="P3335" t="s">
        <v>68</v>
      </c>
      <c r="Q3335" t="s">
        <v>68</v>
      </c>
      <c r="R3335" t="s">
        <v>68</v>
      </c>
      <c r="S3335" t="s">
        <v>60</v>
      </c>
    </row>
    <row r="3336" spans="1:19" x14ac:dyDescent="0.35">
      <c r="A3336">
        <v>58214</v>
      </c>
      <c r="B3336" t="str">
        <f>"058214"</f>
        <v>058214</v>
      </c>
      <c r="C3336" t="s">
        <v>10186</v>
      </c>
      <c r="D3336" t="s">
        <v>3394</v>
      </c>
      <c r="E3336" t="s">
        <v>9538</v>
      </c>
      <c r="F3336" t="s">
        <v>3396</v>
      </c>
      <c r="G3336" t="s">
        <v>901</v>
      </c>
      <c r="H3336" t="s">
        <v>10341</v>
      </c>
      <c r="I3336" t="s">
        <v>10342</v>
      </c>
      <c r="J3336" t="s">
        <v>904</v>
      </c>
      <c r="K3336" t="s">
        <v>55</v>
      </c>
      <c r="L3336" t="s">
        <v>905</v>
      </c>
      <c r="M3336" t="s">
        <v>57</v>
      </c>
      <c r="N3336" t="str">
        <f t="shared" si="6"/>
        <v>052530</v>
      </c>
      <c r="O3336" t="s">
        <v>2009</v>
      </c>
      <c r="P3336" t="s">
        <v>68</v>
      </c>
      <c r="Q3336" t="s">
        <v>68</v>
      </c>
      <c r="R3336" t="s">
        <v>68</v>
      </c>
      <c r="S3336" t="s">
        <v>60</v>
      </c>
    </row>
    <row r="3337" spans="1:19" x14ac:dyDescent="0.35">
      <c r="A3337">
        <v>58255</v>
      </c>
      <c r="B3337" t="str">
        <f>"058255"</f>
        <v>058255</v>
      </c>
      <c r="C3337" t="s">
        <v>10343</v>
      </c>
      <c r="D3337" t="s">
        <v>3394</v>
      </c>
      <c r="E3337" t="s">
        <v>9538</v>
      </c>
      <c r="F3337" t="s">
        <v>3396</v>
      </c>
      <c r="G3337" t="s">
        <v>1679</v>
      </c>
      <c r="H3337" t="s">
        <v>10344</v>
      </c>
      <c r="I3337" t="s">
        <v>10345</v>
      </c>
      <c r="J3337" t="s">
        <v>1157</v>
      </c>
      <c r="K3337" t="s">
        <v>55</v>
      </c>
      <c r="L3337" t="s">
        <v>1158</v>
      </c>
      <c r="M3337" t="s">
        <v>57</v>
      </c>
      <c r="N3337" t="str">
        <f t="shared" ref="N3337:N3344" si="7">"052548"</f>
        <v>052548</v>
      </c>
      <c r="O3337" t="s">
        <v>2217</v>
      </c>
      <c r="P3337" t="s">
        <v>68</v>
      </c>
      <c r="Q3337" t="s">
        <v>68</v>
      </c>
      <c r="R3337" t="s">
        <v>68</v>
      </c>
      <c r="S3337" t="s">
        <v>130</v>
      </c>
    </row>
    <row r="3338" spans="1:19" x14ac:dyDescent="0.35">
      <c r="A3338">
        <v>58305</v>
      </c>
      <c r="B3338" t="str">
        <f>"058305"</f>
        <v>058305</v>
      </c>
      <c r="C3338" t="s">
        <v>10346</v>
      </c>
      <c r="D3338" t="s">
        <v>3394</v>
      </c>
      <c r="E3338" t="s">
        <v>9538</v>
      </c>
      <c r="F3338" t="s">
        <v>3396</v>
      </c>
      <c r="G3338" t="s">
        <v>135</v>
      </c>
      <c r="H3338" t="s">
        <v>10347</v>
      </c>
      <c r="I3338" t="s">
        <v>10348</v>
      </c>
      <c r="J3338" t="s">
        <v>279</v>
      </c>
      <c r="K3338" t="s">
        <v>55</v>
      </c>
      <c r="L3338" t="s">
        <v>280</v>
      </c>
      <c r="M3338" t="s">
        <v>57</v>
      </c>
      <c r="N3338" t="str">
        <f t="shared" si="7"/>
        <v>052548</v>
      </c>
      <c r="O3338" t="s">
        <v>2217</v>
      </c>
      <c r="P3338" t="s">
        <v>68</v>
      </c>
      <c r="Q3338" t="s">
        <v>68</v>
      </c>
      <c r="R3338" t="s">
        <v>68</v>
      </c>
      <c r="S3338" t="s">
        <v>130</v>
      </c>
    </row>
    <row r="3339" spans="1:19" x14ac:dyDescent="0.35">
      <c r="A3339">
        <v>58339</v>
      </c>
      <c r="B3339" t="str">
        <f>"058339"</f>
        <v>058339</v>
      </c>
      <c r="C3339" t="s">
        <v>10292</v>
      </c>
      <c r="D3339" t="s">
        <v>3394</v>
      </c>
      <c r="E3339" t="s">
        <v>9538</v>
      </c>
      <c r="F3339" t="s">
        <v>3396</v>
      </c>
      <c r="G3339" t="s">
        <v>124</v>
      </c>
      <c r="H3339" t="s">
        <v>10349</v>
      </c>
      <c r="I3339" t="s">
        <v>10350</v>
      </c>
      <c r="J3339" t="s">
        <v>586</v>
      </c>
      <c r="K3339" t="s">
        <v>55</v>
      </c>
      <c r="L3339" t="s">
        <v>587</v>
      </c>
      <c r="M3339" t="s">
        <v>57</v>
      </c>
      <c r="N3339" t="str">
        <f t="shared" si="7"/>
        <v>052548</v>
      </c>
      <c r="O3339" t="s">
        <v>2217</v>
      </c>
      <c r="P3339" t="s">
        <v>68</v>
      </c>
      <c r="Q3339" t="s">
        <v>68</v>
      </c>
      <c r="R3339" t="s">
        <v>68</v>
      </c>
      <c r="S3339" t="s">
        <v>130</v>
      </c>
    </row>
    <row r="3340" spans="1:19" x14ac:dyDescent="0.35">
      <c r="A3340">
        <v>58370</v>
      </c>
      <c r="B3340" t="str">
        <f>"058370"</f>
        <v>058370</v>
      </c>
      <c r="C3340" t="s">
        <v>9982</v>
      </c>
      <c r="D3340" t="s">
        <v>3394</v>
      </c>
      <c r="E3340" t="s">
        <v>9538</v>
      </c>
      <c r="F3340" t="s">
        <v>3396</v>
      </c>
      <c r="G3340" t="s">
        <v>1335</v>
      </c>
      <c r="H3340" t="s">
        <v>10351</v>
      </c>
      <c r="I3340" t="s">
        <v>10352</v>
      </c>
      <c r="J3340" t="s">
        <v>1640</v>
      </c>
      <c r="K3340" t="s">
        <v>55</v>
      </c>
      <c r="L3340" t="s">
        <v>1641</v>
      </c>
      <c r="M3340" t="s">
        <v>57</v>
      </c>
      <c r="N3340" t="str">
        <f t="shared" si="7"/>
        <v>052548</v>
      </c>
      <c r="O3340" t="s">
        <v>2217</v>
      </c>
      <c r="P3340" t="s">
        <v>68</v>
      </c>
      <c r="Q3340" t="s">
        <v>68</v>
      </c>
      <c r="R3340" t="s">
        <v>68</v>
      </c>
      <c r="S3340" t="s">
        <v>130</v>
      </c>
    </row>
    <row r="3341" spans="1:19" x14ac:dyDescent="0.35">
      <c r="A3341">
        <v>58388</v>
      </c>
      <c r="B3341" t="str">
        <f>"058388"</f>
        <v>058388</v>
      </c>
      <c r="C3341" t="s">
        <v>9996</v>
      </c>
      <c r="D3341" t="s">
        <v>3394</v>
      </c>
      <c r="E3341" t="s">
        <v>9538</v>
      </c>
      <c r="F3341" t="s">
        <v>3396</v>
      </c>
      <c r="G3341" t="s">
        <v>124</v>
      </c>
      <c r="H3341" t="s">
        <v>10353</v>
      </c>
      <c r="I3341" t="s">
        <v>10354</v>
      </c>
      <c r="J3341" t="s">
        <v>586</v>
      </c>
      <c r="K3341" t="s">
        <v>55</v>
      </c>
      <c r="L3341" t="s">
        <v>587</v>
      </c>
      <c r="M3341" t="s">
        <v>57</v>
      </c>
      <c r="N3341" t="str">
        <f t="shared" si="7"/>
        <v>052548</v>
      </c>
      <c r="O3341" t="s">
        <v>2217</v>
      </c>
      <c r="P3341" t="s">
        <v>68</v>
      </c>
      <c r="Q3341" t="s">
        <v>68</v>
      </c>
      <c r="R3341" t="s">
        <v>68</v>
      </c>
      <c r="S3341" t="s">
        <v>130</v>
      </c>
    </row>
    <row r="3342" spans="1:19" x14ac:dyDescent="0.35">
      <c r="A3342">
        <v>58396</v>
      </c>
      <c r="B3342" t="str">
        <f>"058396"</f>
        <v>058396</v>
      </c>
      <c r="C3342" t="s">
        <v>10355</v>
      </c>
      <c r="D3342" t="s">
        <v>3394</v>
      </c>
      <c r="E3342" t="s">
        <v>9538</v>
      </c>
      <c r="F3342" t="s">
        <v>3396</v>
      </c>
      <c r="G3342" t="s">
        <v>233</v>
      </c>
      <c r="H3342" t="s">
        <v>10356</v>
      </c>
      <c r="I3342" t="s">
        <v>10357</v>
      </c>
      <c r="J3342" t="s">
        <v>3272</v>
      </c>
      <c r="K3342" t="s">
        <v>55</v>
      </c>
      <c r="L3342" t="s">
        <v>3273</v>
      </c>
      <c r="M3342" t="s">
        <v>57</v>
      </c>
      <c r="N3342" t="str">
        <f t="shared" si="7"/>
        <v>052548</v>
      </c>
      <c r="O3342" t="s">
        <v>2217</v>
      </c>
      <c r="P3342" t="s">
        <v>68</v>
      </c>
      <c r="Q3342" t="s">
        <v>68</v>
      </c>
      <c r="R3342" t="s">
        <v>68</v>
      </c>
      <c r="S3342" t="s">
        <v>130</v>
      </c>
    </row>
    <row r="3343" spans="1:19" x14ac:dyDescent="0.35">
      <c r="A3343">
        <v>58404</v>
      </c>
      <c r="B3343" t="str">
        <f>"058404"</f>
        <v>058404</v>
      </c>
      <c r="C3343" t="s">
        <v>9996</v>
      </c>
      <c r="D3343" t="s">
        <v>3394</v>
      </c>
      <c r="E3343" t="s">
        <v>9538</v>
      </c>
      <c r="F3343" t="s">
        <v>3396</v>
      </c>
      <c r="G3343" t="s">
        <v>233</v>
      </c>
      <c r="H3343" t="s">
        <v>10358</v>
      </c>
      <c r="I3343" t="s">
        <v>10359</v>
      </c>
      <c r="J3343" t="s">
        <v>236</v>
      </c>
      <c r="K3343" t="s">
        <v>55</v>
      </c>
      <c r="L3343" t="s">
        <v>237</v>
      </c>
      <c r="M3343" t="s">
        <v>57</v>
      </c>
      <c r="N3343" t="str">
        <f t="shared" si="7"/>
        <v>052548</v>
      </c>
      <c r="O3343" t="s">
        <v>2217</v>
      </c>
      <c r="P3343" t="s">
        <v>68</v>
      </c>
      <c r="Q3343" t="s">
        <v>68</v>
      </c>
      <c r="R3343" t="s">
        <v>68</v>
      </c>
      <c r="S3343" t="s">
        <v>130</v>
      </c>
    </row>
    <row r="3344" spans="1:19" x14ac:dyDescent="0.35">
      <c r="A3344">
        <v>58479</v>
      </c>
      <c r="B3344" t="str">
        <f>"058479"</f>
        <v>058479</v>
      </c>
      <c r="C3344" t="s">
        <v>10360</v>
      </c>
      <c r="D3344" t="s">
        <v>3394</v>
      </c>
      <c r="E3344" t="s">
        <v>9538</v>
      </c>
      <c r="F3344" t="s">
        <v>3396</v>
      </c>
      <c r="G3344" t="s">
        <v>1239</v>
      </c>
      <c r="H3344" t="s">
        <v>10361</v>
      </c>
      <c r="I3344" t="s">
        <v>10362</v>
      </c>
      <c r="J3344" t="s">
        <v>1242</v>
      </c>
      <c r="K3344" t="s">
        <v>55</v>
      </c>
      <c r="L3344" t="s">
        <v>1243</v>
      </c>
      <c r="M3344" t="s">
        <v>57</v>
      </c>
      <c r="N3344" t="str">
        <f t="shared" si="7"/>
        <v>052548</v>
      </c>
      <c r="O3344" t="s">
        <v>2217</v>
      </c>
      <c r="P3344" t="s">
        <v>68</v>
      </c>
      <c r="Q3344" t="s">
        <v>68</v>
      </c>
      <c r="R3344" t="s">
        <v>68</v>
      </c>
      <c r="S3344" t="s">
        <v>130</v>
      </c>
    </row>
    <row r="3345" spans="1:19" x14ac:dyDescent="0.35">
      <c r="A3345">
        <v>58487</v>
      </c>
      <c r="B3345" t="str">
        <f>"058487"</f>
        <v>058487</v>
      </c>
      <c r="C3345" t="s">
        <v>10247</v>
      </c>
      <c r="D3345" t="s">
        <v>3394</v>
      </c>
      <c r="E3345" t="s">
        <v>9538</v>
      </c>
      <c r="F3345" t="s">
        <v>3396</v>
      </c>
      <c r="G3345" t="s">
        <v>200</v>
      </c>
      <c r="H3345" t="s">
        <v>10363</v>
      </c>
      <c r="I3345" t="s">
        <v>10364</v>
      </c>
      <c r="J3345" t="s">
        <v>304</v>
      </c>
      <c r="K3345" t="s">
        <v>55</v>
      </c>
      <c r="L3345" t="s">
        <v>4721</v>
      </c>
      <c r="M3345" t="s">
        <v>57</v>
      </c>
      <c r="N3345" t="str">
        <f t="shared" ref="N3345:N3388" si="8">"052555"</f>
        <v>052555</v>
      </c>
      <c r="O3345" t="s">
        <v>3167</v>
      </c>
      <c r="P3345" t="s">
        <v>68</v>
      </c>
      <c r="Q3345" t="s">
        <v>68</v>
      </c>
      <c r="R3345" t="s">
        <v>68</v>
      </c>
      <c r="S3345" t="s">
        <v>156</v>
      </c>
    </row>
    <row r="3346" spans="1:19" x14ac:dyDescent="0.35">
      <c r="A3346">
        <v>58495</v>
      </c>
      <c r="B3346" t="str">
        <f>"058495"</f>
        <v>058495</v>
      </c>
      <c r="C3346" t="s">
        <v>10365</v>
      </c>
      <c r="D3346" t="s">
        <v>3394</v>
      </c>
      <c r="E3346" t="s">
        <v>9538</v>
      </c>
      <c r="F3346" t="s">
        <v>3396</v>
      </c>
      <c r="G3346" t="s">
        <v>200</v>
      </c>
      <c r="H3346" t="s">
        <v>10366</v>
      </c>
      <c r="I3346" t="s">
        <v>10367</v>
      </c>
      <c r="J3346" t="s">
        <v>304</v>
      </c>
      <c r="K3346" t="s">
        <v>55</v>
      </c>
      <c r="L3346" t="s">
        <v>6788</v>
      </c>
      <c r="M3346" t="s">
        <v>57</v>
      </c>
      <c r="N3346" t="str">
        <f t="shared" si="8"/>
        <v>052555</v>
      </c>
      <c r="O3346" t="s">
        <v>3167</v>
      </c>
      <c r="P3346" t="s">
        <v>68</v>
      </c>
      <c r="Q3346" t="s">
        <v>68</v>
      </c>
      <c r="R3346" t="s">
        <v>68</v>
      </c>
      <c r="S3346" t="s">
        <v>156</v>
      </c>
    </row>
    <row r="3347" spans="1:19" x14ac:dyDescent="0.35">
      <c r="A3347">
        <v>58503</v>
      </c>
      <c r="B3347" t="str">
        <f>"058503"</f>
        <v>058503</v>
      </c>
      <c r="C3347" t="s">
        <v>10368</v>
      </c>
      <c r="D3347" t="s">
        <v>3394</v>
      </c>
      <c r="E3347" t="s">
        <v>9538</v>
      </c>
      <c r="F3347" t="s">
        <v>3396</v>
      </c>
      <c r="G3347" t="s">
        <v>200</v>
      </c>
      <c r="H3347" t="s">
        <v>10369</v>
      </c>
      <c r="I3347" t="s">
        <v>10370</v>
      </c>
      <c r="J3347" t="s">
        <v>304</v>
      </c>
      <c r="K3347" t="s">
        <v>55</v>
      </c>
      <c r="L3347" t="s">
        <v>6203</v>
      </c>
      <c r="M3347" t="s">
        <v>57</v>
      </c>
      <c r="N3347" t="str">
        <f t="shared" si="8"/>
        <v>052555</v>
      </c>
      <c r="O3347" t="s">
        <v>3167</v>
      </c>
      <c r="P3347" t="s">
        <v>68</v>
      </c>
      <c r="Q3347" t="s">
        <v>68</v>
      </c>
      <c r="R3347" t="s">
        <v>68</v>
      </c>
      <c r="S3347" t="s">
        <v>156</v>
      </c>
    </row>
    <row r="3348" spans="1:19" x14ac:dyDescent="0.35">
      <c r="A3348">
        <v>58552</v>
      </c>
      <c r="B3348" t="str">
        <f>"058552"</f>
        <v>058552</v>
      </c>
      <c r="C3348" t="s">
        <v>9843</v>
      </c>
      <c r="D3348" t="s">
        <v>3394</v>
      </c>
      <c r="E3348" t="s">
        <v>9538</v>
      </c>
      <c r="F3348" t="s">
        <v>3396</v>
      </c>
      <c r="G3348" t="s">
        <v>79</v>
      </c>
      <c r="H3348" t="s">
        <v>10371</v>
      </c>
      <c r="I3348" t="s">
        <v>10372</v>
      </c>
      <c r="J3348" t="s">
        <v>2851</v>
      </c>
      <c r="K3348" t="s">
        <v>55</v>
      </c>
      <c r="L3348" t="s">
        <v>2852</v>
      </c>
      <c r="M3348" t="s">
        <v>57</v>
      </c>
      <c r="N3348" t="str">
        <f t="shared" si="8"/>
        <v>052555</v>
      </c>
      <c r="O3348" t="s">
        <v>3167</v>
      </c>
      <c r="P3348" t="s">
        <v>68</v>
      </c>
      <c r="Q3348" t="s">
        <v>68</v>
      </c>
      <c r="R3348" t="s">
        <v>68</v>
      </c>
      <c r="S3348" t="s">
        <v>69</v>
      </c>
    </row>
    <row r="3349" spans="1:19" x14ac:dyDescent="0.35">
      <c r="A3349">
        <v>58560</v>
      </c>
      <c r="B3349" t="str">
        <f>"058560"</f>
        <v>058560</v>
      </c>
      <c r="C3349" t="s">
        <v>9843</v>
      </c>
      <c r="D3349" t="s">
        <v>3394</v>
      </c>
      <c r="E3349" t="s">
        <v>9538</v>
      </c>
      <c r="F3349" t="s">
        <v>3396</v>
      </c>
      <c r="G3349" t="s">
        <v>257</v>
      </c>
      <c r="H3349" t="s">
        <v>10373</v>
      </c>
      <c r="I3349" t="s">
        <v>10374</v>
      </c>
      <c r="J3349" t="s">
        <v>1725</v>
      </c>
      <c r="K3349" t="s">
        <v>55</v>
      </c>
      <c r="L3349" t="s">
        <v>1726</v>
      </c>
      <c r="M3349" t="s">
        <v>57</v>
      </c>
      <c r="N3349" t="str">
        <f t="shared" si="8"/>
        <v>052555</v>
      </c>
      <c r="O3349" t="s">
        <v>3167</v>
      </c>
      <c r="P3349" t="s">
        <v>68</v>
      </c>
      <c r="Q3349" t="s">
        <v>68</v>
      </c>
      <c r="R3349" t="s">
        <v>68</v>
      </c>
      <c r="S3349" t="s">
        <v>156</v>
      </c>
    </row>
    <row r="3350" spans="1:19" x14ac:dyDescent="0.35">
      <c r="A3350">
        <v>58602</v>
      </c>
      <c r="B3350" t="str">
        <f>"058602"</f>
        <v>058602</v>
      </c>
      <c r="C3350" t="s">
        <v>10115</v>
      </c>
      <c r="D3350" t="s">
        <v>3394</v>
      </c>
      <c r="E3350" t="s">
        <v>9538</v>
      </c>
      <c r="F3350" t="s">
        <v>3396</v>
      </c>
      <c r="G3350" t="s">
        <v>200</v>
      </c>
      <c r="H3350" t="s">
        <v>10375</v>
      </c>
      <c r="I3350" t="s">
        <v>10376</v>
      </c>
      <c r="J3350" t="s">
        <v>304</v>
      </c>
      <c r="K3350" t="s">
        <v>55</v>
      </c>
      <c r="L3350" t="s">
        <v>5763</v>
      </c>
      <c r="M3350" t="s">
        <v>57</v>
      </c>
      <c r="N3350" t="str">
        <f t="shared" si="8"/>
        <v>052555</v>
      </c>
      <c r="O3350" t="s">
        <v>3167</v>
      </c>
      <c r="P3350" t="s">
        <v>68</v>
      </c>
      <c r="Q3350" t="s">
        <v>68</v>
      </c>
      <c r="R3350" t="s">
        <v>68</v>
      </c>
      <c r="S3350" t="s">
        <v>156</v>
      </c>
    </row>
    <row r="3351" spans="1:19" x14ac:dyDescent="0.35">
      <c r="A3351">
        <v>58628</v>
      </c>
      <c r="B3351" t="str">
        <f>"058628"</f>
        <v>058628</v>
      </c>
      <c r="C3351" t="s">
        <v>9996</v>
      </c>
      <c r="D3351" t="s">
        <v>3394</v>
      </c>
      <c r="E3351" t="s">
        <v>9538</v>
      </c>
      <c r="F3351" t="s">
        <v>3396</v>
      </c>
      <c r="G3351" t="s">
        <v>663</v>
      </c>
      <c r="H3351" t="s">
        <v>10377</v>
      </c>
      <c r="I3351" t="s">
        <v>10378</v>
      </c>
      <c r="J3351" t="s">
        <v>572</v>
      </c>
      <c r="K3351" t="s">
        <v>55</v>
      </c>
      <c r="L3351" t="s">
        <v>835</v>
      </c>
      <c r="M3351" t="s">
        <v>57</v>
      </c>
      <c r="N3351" t="str">
        <f t="shared" si="8"/>
        <v>052555</v>
      </c>
      <c r="O3351" t="s">
        <v>3167</v>
      </c>
      <c r="P3351" t="s">
        <v>68</v>
      </c>
      <c r="Q3351" t="s">
        <v>68</v>
      </c>
      <c r="R3351" t="s">
        <v>68</v>
      </c>
      <c r="S3351" t="s">
        <v>77</v>
      </c>
    </row>
    <row r="3352" spans="1:19" x14ac:dyDescent="0.35">
      <c r="A3352">
        <v>58651</v>
      </c>
      <c r="B3352" t="str">
        <f>"058651"</f>
        <v>058651</v>
      </c>
      <c r="C3352" t="s">
        <v>10379</v>
      </c>
      <c r="D3352" t="s">
        <v>3394</v>
      </c>
      <c r="E3352" t="s">
        <v>9538</v>
      </c>
      <c r="F3352" t="s">
        <v>3396</v>
      </c>
      <c r="G3352" t="s">
        <v>1702</v>
      </c>
      <c r="H3352" t="s">
        <v>10380</v>
      </c>
      <c r="I3352" t="s">
        <v>10381</v>
      </c>
      <c r="J3352" t="s">
        <v>2718</v>
      </c>
      <c r="K3352" t="s">
        <v>55</v>
      </c>
      <c r="L3352" t="s">
        <v>2719</v>
      </c>
      <c r="M3352" t="s">
        <v>57</v>
      </c>
      <c r="N3352" t="str">
        <f t="shared" si="8"/>
        <v>052555</v>
      </c>
      <c r="O3352" t="s">
        <v>3167</v>
      </c>
      <c r="P3352" t="s">
        <v>68</v>
      </c>
      <c r="Q3352" t="s">
        <v>68</v>
      </c>
      <c r="R3352" t="s">
        <v>68</v>
      </c>
      <c r="S3352" t="s">
        <v>156</v>
      </c>
    </row>
    <row r="3353" spans="1:19" x14ac:dyDescent="0.35">
      <c r="A3353">
        <v>58677</v>
      </c>
      <c r="B3353" t="str">
        <f>"058677"</f>
        <v>058677</v>
      </c>
      <c r="C3353" t="s">
        <v>10265</v>
      </c>
      <c r="D3353" t="s">
        <v>3394</v>
      </c>
      <c r="E3353" t="s">
        <v>9538</v>
      </c>
      <c r="F3353" t="s">
        <v>3396</v>
      </c>
      <c r="G3353" t="s">
        <v>200</v>
      </c>
      <c r="H3353" t="s">
        <v>10382</v>
      </c>
      <c r="I3353" t="s">
        <v>10383</v>
      </c>
      <c r="J3353" t="s">
        <v>304</v>
      </c>
      <c r="K3353" t="s">
        <v>55</v>
      </c>
      <c r="L3353" t="s">
        <v>3835</v>
      </c>
      <c r="M3353" t="s">
        <v>57</v>
      </c>
      <c r="N3353" t="str">
        <f t="shared" si="8"/>
        <v>052555</v>
      </c>
      <c r="O3353" t="s">
        <v>3167</v>
      </c>
      <c r="P3353" t="s">
        <v>68</v>
      </c>
      <c r="Q3353" t="s">
        <v>68</v>
      </c>
      <c r="R3353" t="s">
        <v>68</v>
      </c>
      <c r="S3353" t="s">
        <v>156</v>
      </c>
    </row>
    <row r="3354" spans="1:19" x14ac:dyDescent="0.35">
      <c r="A3354">
        <v>58685</v>
      </c>
      <c r="B3354" t="str">
        <f>"058685"</f>
        <v>058685</v>
      </c>
      <c r="C3354" t="s">
        <v>10384</v>
      </c>
      <c r="D3354" t="s">
        <v>3394</v>
      </c>
      <c r="E3354" t="s">
        <v>9538</v>
      </c>
      <c r="F3354" t="s">
        <v>3396</v>
      </c>
      <c r="G3354" t="s">
        <v>200</v>
      </c>
      <c r="H3354" t="s">
        <v>10385</v>
      </c>
      <c r="I3354" t="s">
        <v>10386</v>
      </c>
      <c r="J3354" t="s">
        <v>304</v>
      </c>
      <c r="K3354" t="s">
        <v>55</v>
      </c>
      <c r="L3354" t="s">
        <v>6329</v>
      </c>
      <c r="M3354" t="s">
        <v>57</v>
      </c>
      <c r="N3354" t="str">
        <f t="shared" si="8"/>
        <v>052555</v>
      </c>
      <c r="O3354" t="s">
        <v>3167</v>
      </c>
      <c r="P3354" t="s">
        <v>68</v>
      </c>
      <c r="Q3354" t="s">
        <v>68</v>
      </c>
      <c r="R3354" t="s">
        <v>68</v>
      </c>
      <c r="S3354" t="s">
        <v>156</v>
      </c>
    </row>
    <row r="3355" spans="1:19" x14ac:dyDescent="0.35">
      <c r="A3355">
        <v>58693</v>
      </c>
      <c r="B3355" t="str">
        <f>"058693"</f>
        <v>058693</v>
      </c>
      <c r="C3355" t="s">
        <v>10387</v>
      </c>
      <c r="D3355" t="s">
        <v>3394</v>
      </c>
      <c r="E3355" t="s">
        <v>9538</v>
      </c>
      <c r="F3355" t="s">
        <v>3396</v>
      </c>
      <c r="G3355" t="s">
        <v>200</v>
      </c>
      <c r="H3355" t="s">
        <v>10388</v>
      </c>
      <c r="I3355" t="s">
        <v>10389</v>
      </c>
      <c r="J3355" t="s">
        <v>304</v>
      </c>
      <c r="K3355" t="s">
        <v>55</v>
      </c>
      <c r="L3355" t="s">
        <v>5497</v>
      </c>
      <c r="M3355" t="s">
        <v>57</v>
      </c>
      <c r="N3355" t="str">
        <f t="shared" si="8"/>
        <v>052555</v>
      </c>
      <c r="O3355" t="s">
        <v>3167</v>
      </c>
      <c r="P3355" t="s">
        <v>68</v>
      </c>
      <c r="Q3355" t="s">
        <v>68</v>
      </c>
      <c r="R3355" t="s">
        <v>68</v>
      </c>
      <c r="S3355" t="s">
        <v>156</v>
      </c>
    </row>
    <row r="3356" spans="1:19" x14ac:dyDescent="0.35">
      <c r="A3356">
        <v>58727</v>
      </c>
      <c r="B3356" t="str">
        <f>"058727"</f>
        <v>058727</v>
      </c>
      <c r="C3356" t="s">
        <v>9878</v>
      </c>
      <c r="D3356" t="s">
        <v>3394</v>
      </c>
      <c r="E3356" t="s">
        <v>9538</v>
      </c>
      <c r="F3356" t="s">
        <v>3396</v>
      </c>
      <c r="G3356" t="s">
        <v>663</v>
      </c>
      <c r="H3356" t="s">
        <v>10390</v>
      </c>
      <c r="I3356" t="s">
        <v>10391</v>
      </c>
      <c r="J3356" t="s">
        <v>572</v>
      </c>
      <c r="K3356" t="s">
        <v>55</v>
      </c>
      <c r="L3356" t="s">
        <v>835</v>
      </c>
      <c r="M3356" t="s">
        <v>57</v>
      </c>
      <c r="N3356" t="str">
        <f t="shared" si="8"/>
        <v>052555</v>
      </c>
      <c r="O3356" t="s">
        <v>3167</v>
      </c>
      <c r="P3356" t="s">
        <v>68</v>
      </c>
      <c r="Q3356" t="s">
        <v>68</v>
      </c>
      <c r="R3356" t="s">
        <v>68</v>
      </c>
      <c r="S3356" t="s">
        <v>77</v>
      </c>
    </row>
    <row r="3357" spans="1:19" x14ac:dyDescent="0.35">
      <c r="A3357">
        <v>58768</v>
      </c>
      <c r="B3357" t="str">
        <f>"058768"</f>
        <v>058768</v>
      </c>
      <c r="C3357" t="s">
        <v>10392</v>
      </c>
      <c r="D3357" t="s">
        <v>3394</v>
      </c>
      <c r="E3357" t="s">
        <v>9538</v>
      </c>
      <c r="F3357" t="s">
        <v>3396</v>
      </c>
      <c r="G3357" t="s">
        <v>226</v>
      </c>
      <c r="H3357" t="s">
        <v>10393</v>
      </c>
      <c r="I3357" t="s">
        <v>10394</v>
      </c>
      <c r="J3357" t="s">
        <v>810</v>
      </c>
      <c r="K3357" t="s">
        <v>55</v>
      </c>
      <c r="L3357" t="s">
        <v>811</v>
      </c>
      <c r="M3357" t="s">
        <v>57</v>
      </c>
      <c r="N3357" t="str">
        <f t="shared" si="8"/>
        <v>052555</v>
      </c>
      <c r="O3357" t="s">
        <v>3167</v>
      </c>
      <c r="P3357" t="s">
        <v>68</v>
      </c>
      <c r="Q3357" t="s">
        <v>68</v>
      </c>
      <c r="R3357" t="s">
        <v>68</v>
      </c>
      <c r="S3357" t="s">
        <v>156</v>
      </c>
    </row>
    <row r="3358" spans="1:19" x14ac:dyDescent="0.35">
      <c r="A3358">
        <v>58826</v>
      </c>
      <c r="B3358" t="str">
        <f>"058826"</f>
        <v>058826</v>
      </c>
      <c r="C3358" t="s">
        <v>10145</v>
      </c>
      <c r="D3358" t="s">
        <v>3394</v>
      </c>
      <c r="E3358" t="s">
        <v>9538</v>
      </c>
      <c r="F3358" t="s">
        <v>3396</v>
      </c>
      <c r="G3358" t="s">
        <v>150</v>
      </c>
      <c r="H3358" t="s">
        <v>10395</v>
      </c>
      <c r="I3358" t="s">
        <v>10396</v>
      </c>
      <c r="J3358" t="s">
        <v>1685</v>
      </c>
      <c r="K3358" t="s">
        <v>55</v>
      </c>
      <c r="L3358" t="s">
        <v>1686</v>
      </c>
      <c r="M3358" t="s">
        <v>57</v>
      </c>
      <c r="N3358" t="str">
        <f t="shared" si="8"/>
        <v>052555</v>
      </c>
      <c r="O3358" t="s">
        <v>3167</v>
      </c>
      <c r="P3358" t="s">
        <v>68</v>
      </c>
      <c r="Q3358" t="s">
        <v>68</v>
      </c>
      <c r="R3358" t="s">
        <v>68</v>
      </c>
      <c r="S3358" t="s">
        <v>156</v>
      </c>
    </row>
    <row r="3359" spans="1:19" x14ac:dyDescent="0.35">
      <c r="A3359">
        <v>58834</v>
      </c>
      <c r="B3359" t="str">
        <f>"058834"</f>
        <v>058834</v>
      </c>
      <c r="C3359" t="s">
        <v>10201</v>
      </c>
      <c r="D3359" t="s">
        <v>3394</v>
      </c>
      <c r="E3359" t="s">
        <v>9538</v>
      </c>
      <c r="F3359" t="s">
        <v>3396</v>
      </c>
      <c r="G3359" t="s">
        <v>271</v>
      </c>
      <c r="H3359" t="s">
        <v>10397</v>
      </c>
      <c r="I3359" t="s">
        <v>10398</v>
      </c>
      <c r="J3359" t="s">
        <v>3293</v>
      </c>
      <c r="K3359" t="s">
        <v>55</v>
      </c>
      <c r="L3359" t="s">
        <v>3294</v>
      </c>
      <c r="M3359" t="s">
        <v>57</v>
      </c>
      <c r="N3359" t="str">
        <f t="shared" si="8"/>
        <v>052555</v>
      </c>
      <c r="O3359" t="s">
        <v>3167</v>
      </c>
      <c r="P3359" t="s">
        <v>68</v>
      </c>
      <c r="Q3359" t="s">
        <v>68</v>
      </c>
      <c r="R3359" t="s">
        <v>68</v>
      </c>
      <c r="S3359" t="s">
        <v>156</v>
      </c>
    </row>
    <row r="3360" spans="1:19" x14ac:dyDescent="0.35">
      <c r="A3360">
        <v>58859</v>
      </c>
      <c r="B3360" t="str">
        <f>"058859"</f>
        <v>058859</v>
      </c>
      <c r="C3360" t="s">
        <v>9913</v>
      </c>
      <c r="D3360" t="s">
        <v>3394</v>
      </c>
      <c r="E3360" t="s">
        <v>9538</v>
      </c>
      <c r="F3360" t="s">
        <v>3396</v>
      </c>
      <c r="G3360" t="s">
        <v>257</v>
      </c>
      <c r="H3360" t="s">
        <v>10399</v>
      </c>
      <c r="I3360" t="s">
        <v>10400</v>
      </c>
      <c r="J3360" t="s">
        <v>2531</v>
      </c>
      <c r="K3360" t="s">
        <v>55</v>
      </c>
      <c r="L3360" t="s">
        <v>2532</v>
      </c>
      <c r="M3360" t="s">
        <v>57</v>
      </c>
      <c r="N3360" t="str">
        <f t="shared" si="8"/>
        <v>052555</v>
      </c>
      <c r="O3360" t="s">
        <v>3167</v>
      </c>
      <c r="P3360" t="s">
        <v>68</v>
      </c>
      <c r="Q3360" t="s">
        <v>68</v>
      </c>
      <c r="R3360" t="s">
        <v>68</v>
      </c>
      <c r="S3360" t="s">
        <v>156</v>
      </c>
    </row>
    <row r="3361" spans="1:19" x14ac:dyDescent="0.35">
      <c r="A3361">
        <v>58875</v>
      </c>
      <c r="B3361" t="str">
        <f>"058875"</f>
        <v>058875</v>
      </c>
      <c r="C3361" t="s">
        <v>10401</v>
      </c>
      <c r="D3361" t="s">
        <v>3394</v>
      </c>
      <c r="E3361" t="s">
        <v>9538</v>
      </c>
      <c r="F3361" t="s">
        <v>3396</v>
      </c>
      <c r="G3361" t="s">
        <v>1193</v>
      </c>
      <c r="H3361" t="s">
        <v>10402</v>
      </c>
      <c r="I3361" t="s">
        <v>10403</v>
      </c>
      <c r="J3361" t="s">
        <v>1196</v>
      </c>
      <c r="K3361" t="s">
        <v>55</v>
      </c>
      <c r="L3361" t="s">
        <v>9149</v>
      </c>
      <c r="M3361" t="s">
        <v>57</v>
      </c>
      <c r="N3361" t="str">
        <f t="shared" si="8"/>
        <v>052555</v>
      </c>
      <c r="O3361" t="s">
        <v>3167</v>
      </c>
      <c r="P3361" t="s">
        <v>68</v>
      </c>
      <c r="Q3361" t="s">
        <v>68</v>
      </c>
      <c r="R3361" t="s">
        <v>68</v>
      </c>
      <c r="S3361" t="s">
        <v>156</v>
      </c>
    </row>
    <row r="3362" spans="1:19" x14ac:dyDescent="0.35">
      <c r="A3362">
        <v>58909</v>
      </c>
      <c r="B3362" t="str">
        <f>"058909"</f>
        <v>058909</v>
      </c>
      <c r="C3362" t="s">
        <v>10404</v>
      </c>
      <c r="D3362" t="s">
        <v>3394</v>
      </c>
      <c r="E3362" t="s">
        <v>9538</v>
      </c>
      <c r="F3362" t="s">
        <v>3396</v>
      </c>
      <c r="G3362" t="s">
        <v>226</v>
      </c>
      <c r="H3362" t="s">
        <v>10405</v>
      </c>
      <c r="I3362" t="s">
        <v>10406</v>
      </c>
      <c r="J3362" t="s">
        <v>699</v>
      </c>
      <c r="K3362" t="s">
        <v>55</v>
      </c>
      <c r="L3362" t="s">
        <v>700</v>
      </c>
      <c r="M3362" t="s">
        <v>57</v>
      </c>
      <c r="N3362" t="str">
        <f t="shared" si="8"/>
        <v>052555</v>
      </c>
      <c r="O3362" t="s">
        <v>3167</v>
      </c>
      <c r="P3362" t="s">
        <v>68</v>
      </c>
      <c r="Q3362" t="s">
        <v>68</v>
      </c>
      <c r="R3362" t="s">
        <v>68</v>
      </c>
      <c r="S3362" t="s">
        <v>156</v>
      </c>
    </row>
    <row r="3363" spans="1:19" x14ac:dyDescent="0.35">
      <c r="A3363">
        <v>58933</v>
      </c>
      <c r="B3363" t="str">
        <f>"058933"</f>
        <v>058933</v>
      </c>
      <c r="C3363" t="s">
        <v>10407</v>
      </c>
      <c r="D3363" t="s">
        <v>3394</v>
      </c>
      <c r="E3363" t="s">
        <v>9538</v>
      </c>
      <c r="F3363" t="s">
        <v>3396</v>
      </c>
      <c r="G3363" t="s">
        <v>79</v>
      </c>
      <c r="H3363" t="s">
        <v>10408</v>
      </c>
      <c r="I3363" t="s">
        <v>10409</v>
      </c>
      <c r="J3363" t="s">
        <v>82</v>
      </c>
      <c r="K3363" t="s">
        <v>55</v>
      </c>
      <c r="L3363" t="s">
        <v>83</v>
      </c>
      <c r="M3363" t="s">
        <v>57</v>
      </c>
      <c r="N3363" t="str">
        <f t="shared" si="8"/>
        <v>052555</v>
      </c>
      <c r="O3363" t="s">
        <v>3167</v>
      </c>
      <c r="P3363" t="s">
        <v>68</v>
      </c>
      <c r="Q3363" t="s">
        <v>68</v>
      </c>
      <c r="R3363" t="s">
        <v>68</v>
      </c>
      <c r="S3363" t="s">
        <v>69</v>
      </c>
    </row>
    <row r="3364" spans="1:19" x14ac:dyDescent="0.35">
      <c r="A3364">
        <v>58941</v>
      </c>
      <c r="B3364" t="str">
        <f>"058941"</f>
        <v>058941</v>
      </c>
      <c r="C3364" t="s">
        <v>10410</v>
      </c>
      <c r="D3364" t="s">
        <v>3394</v>
      </c>
      <c r="E3364" t="s">
        <v>9538</v>
      </c>
      <c r="F3364" t="s">
        <v>3396</v>
      </c>
      <c r="G3364" t="s">
        <v>1193</v>
      </c>
      <c r="H3364" t="s">
        <v>10411</v>
      </c>
      <c r="I3364" t="s">
        <v>10412</v>
      </c>
      <c r="J3364" t="s">
        <v>1196</v>
      </c>
      <c r="K3364" t="s">
        <v>55</v>
      </c>
      <c r="L3364" t="s">
        <v>1197</v>
      </c>
      <c r="M3364" t="s">
        <v>57</v>
      </c>
      <c r="N3364" t="str">
        <f t="shared" si="8"/>
        <v>052555</v>
      </c>
      <c r="O3364" t="s">
        <v>3167</v>
      </c>
      <c r="P3364" t="s">
        <v>68</v>
      </c>
      <c r="Q3364" t="s">
        <v>68</v>
      </c>
      <c r="R3364" t="s">
        <v>68</v>
      </c>
      <c r="S3364" t="s">
        <v>156</v>
      </c>
    </row>
    <row r="3365" spans="1:19" x14ac:dyDescent="0.35">
      <c r="A3365">
        <v>59014</v>
      </c>
      <c r="B3365" t="str">
        <f>"059014"</f>
        <v>059014</v>
      </c>
      <c r="C3365" t="s">
        <v>10413</v>
      </c>
      <c r="D3365" t="s">
        <v>3394</v>
      </c>
      <c r="E3365" t="s">
        <v>9538</v>
      </c>
      <c r="F3365" t="s">
        <v>3396</v>
      </c>
      <c r="G3365" t="s">
        <v>434</v>
      </c>
      <c r="H3365" t="s">
        <v>10414</v>
      </c>
      <c r="I3365" t="s">
        <v>10415</v>
      </c>
      <c r="J3365" t="s">
        <v>7669</v>
      </c>
      <c r="K3365" t="s">
        <v>55</v>
      </c>
      <c r="L3365" t="s">
        <v>7670</v>
      </c>
      <c r="M3365" t="s">
        <v>57</v>
      </c>
      <c r="N3365" t="str">
        <f t="shared" si="8"/>
        <v>052555</v>
      </c>
      <c r="O3365" t="s">
        <v>3167</v>
      </c>
      <c r="P3365" t="s">
        <v>68</v>
      </c>
      <c r="Q3365" t="s">
        <v>68</v>
      </c>
      <c r="R3365" t="s">
        <v>68</v>
      </c>
      <c r="S3365" t="s">
        <v>156</v>
      </c>
    </row>
    <row r="3366" spans="1:19" x14ac:dyDescent="0.35">
      <c r="A3366">
        <v>59022</v>
      </c>
      <c r="B3366" t="str">
        <f>"059022"</f>
        <v>059022</v>
      </c>
      <c r="C3366" t="s">
        <v>10416</v>
      </c>
      <c r="D3366" t="s">
        <v>3394</v>
      </c>
      <c r="E3366" t="s">
        <v>9538</v>
      </c>
      <c r="F3366" t="s">
        <v>3396</v>
      </c>
      <c r="G3366" t="s">
        <v>2304</v>
      </c>
      <c r="H3366" t="s">
        <v>10417</v>
      </c>
      <c r="I3366" t="s">
        <v>10418</v>
      </c>
      <c r="J3366" t="s">
        <v>2304</v>
      </c>
      <c r="K3366" t="s">
        <v>55</v>
      </c>
      <c r="L3366" t="s">
        <v>2369</v>
      </c>
      <c r="M3366" t="s">
        <v>57</v>
      </c>
      <c r="N3366" t="str">
        <f t="shared" si="8"/>
        <v>052555</v>
      </c>
      <c r="O3366" t="s">
        <v>3167</v>
      </c>
      <c r="P3366" t="s">
        <v>68</v>
      </c>
      <c r="Q3366" t="s">
        <v>68</v>
      </c>
      <c r="R3366" t="s">
        <v>68</v>
      </c>
      <c r="S3366" t="s">
        <v>156</v>
      </c>
    </row>
    <row r="3367" spans="1:19" x14ac:dyDescent="0.35">
      <c r="A3367">
        <v>59055</v>
      </c>
      <c r="B3367" t="str">
        <f>"059055"</f>
        <v>059055</v>
      </c>
      <c r="C3367" t="s">
        <v>9976</v>
      </c>
      <c r="D3367" t="s">
        <v>3394</v>
      </c>
      <c r="E3367" t="s">
        <v>9538</v>
      </c>
      <c r="F3367" t="s">
        <v>3396</v>
      </c>
      <c r="G3367" t="s">
        <v>331</v>
      </c>
      <c r="H3367" t="s">
        <v>10419</v>
      </c>
      <c r="I3367" t="s">
        <v>10420</v>
      </c>
      <c r="J3367" t="s">
        <v>334</v>
      </c>
      <c r="K3367" t="s">
        <v>55</v>
      </c>
      <c r="L3367" t="s">
        <v>335</v>
      </c>
      <c r="M3367" t="s">
        <v>57</v>
      </c>
      <c r="N3367" t="str">
        <f t="shared" si="8"/>
        <v>052555</v>
      </c>
      <c r="O3367" t="s">
        <v>3167</v>
      </c>
      <c r="P3367" t="s">
        <v>68</v>
      </c>
      <c r="Q3367" t="s">
        <v>68</v>
      </c>
      <c r="R3367" t="s">
        <v>68</v>
      </c>
      <c r="S3367" t="s">
        <v>156</v>
      </c>
    </row>
    <row r="3368" spans="1:19" x14ac:dyDescent="0.35">
      <c r="A3368">
        <v>59071</v>
      </c>
      <c r="B3368" t="str">
        <f>"059071"</f>
        <v>059071</v>
      </c>
      <c r="C3368" t="s">
        <v>9976</v>
      </c>
      <c r="D3368" t="s">
        <v>3394</v>
      </c>
      <c r="E3368" t="s">
        <v>9538</v>
      </c>
      <c r="F3368" t="s">
        <v>3396</v>
      </c>
      <c r="G3368" t="s">
        <v>331</v>
      </c>
      <c r="H3368" t="s">
        <v>10421</v>
      </c>
      <c r="I3368" t="s">
        <v>10422</v>
      </c>
      <c r="J3368" t="s">
        <v>1733</v>
      </c>
      <c r="K3368" t="s">
        <v>55</v>
      </c>
      <c r="L3368" t="s">
        <v>1734</v>
      </c>
      <c r="M3368" t="s">
        <v>57</v>
      </c>
      <c r="N3368" t="str">
        <f t="shared" si="8"/>
        <v>052555</v>
      </c>
      <c r="O3368" t="s">
        <v>3167</v>
      </c>
      <c r="P3368" t="s">
        <v>68</v>
      </c>
      <c r="Q3368" t="s">
        <v>68</v>
      </c>
      <c r="R3368" t="s">
        <v>68</v>
      </c>
      <c r="S3368" t="s">
        <v>156</v>
      </c>
    </row>
    <row r="3369" spans="1:19" x14ac:dyDescent="0.35">
      <c r="A3369">
        <v>59089</v>
      </c>
      <c r="B3369" t="str">
        <f>"059089"</f>
        <v>059089</v>
      </c>
      <c r="C3369" t="s">
        <v>9976</v>
      </c>
      <c r="D3369" t="s">
        <v>3394</v>
      </c>
      <c r="E3369" t="s">
        <v>9538</v>
      </c>
      <c r="F3369" t="s">
        <v>3396</v>
      </c>
      <c r="G3369" t="s">
        <v>200</v>
      </c>
      <c r="H3369" t="s">
        <v>10423</v>
      </c>
      <c r="I3369" t="s">
        <v>10424</v>
      </c>
      <c r="J3369" t="s">
        <v>3036</v>
      </c>
      <c r="K3369" t="s">
        <v>55</v>
      </c>
      <c r="L3369" t="s">
        <v>3037</v>
      </c>
      <c r="M3369" t="s">
        <v>57</v>
      </c>
      <c r="N3369" t="str">
        <f t="shared" si="8"/>
        <v>052555</v>
      </c>
      <c r="O3369" t="s">
        <v>3167</v>
      </c>
      <c r="P3369" t="s">
        <v>68</v>
      </c>
      <c r="Q3369" t="s">
        <v>68</v>
      </c>
      <c r="R3369" t="s">
        <v>68</v>
      </c>
      <c r="S3369" t="s">
        <v>156</v>
      </c>
    </row>
    <row r="3370" spans="1:19" x14ac:dyDescent="0.35">
      <c r="A3370">
        <v>59097</v>
      </c>
      <c r="B3370" t="str">
        <f>"059097"</f>
        <v>059097</v>
      </c>
      <c r="C3370" t="s">
        <v>9976</v>
      </c>
      <c r="D3370" t="s">
        <v>3394</v>
      </c>
      <c r="E3370" t="s">
        <v>9538</v>
      </c>
      <c r="F3370" t="s">
        <v>3396</v>
      </c>
      <c r="G3370" t="s">
        <v>79</v>
      </c>
      <c r="H3370" t="s">
        <v>10425</v>
      </c>
      <c r="I3370" t="s">
        <v>10426</v>
      </c>
      <c r="J3370" t="s">
        <v>2707</v>
      </c>
      <c r="K3370" t="s">
        <v>55</v>
      </c>
      <c r="L3370" t="s">
        <v>2708</v>
      </c>
      <c r="M3370" t="s">
        <v>57</v>
      </c>
      <c r="N3370" t="str">
        <f t="shared" si="8"/>
        <v>052555</v>
      </c>
      <c r="O3370" t="s">
        <v>3167</v>
      </c>
      <c r="P3370" t="s">
        <v>68</v>
      </c>
      <c r="Q3370" t="s">
        <v>68</v>
      </c>
      <c r="R3370" t="s">
        <v>68</v>
      </c>
      <c r="S3370" t="s">
        <v>69</v>
      </c>
    </row>
    <row r="3371" spans="1:19" x14ac:dyDescent="0.35">
      <c r="A3371">
        <v>59105</v>
      </c>
      <c r="B3371" t="str">
        <f>"059105"</f>
        <v>059105</v>
      </c>
      <c r="C3371" t="s">
        <v>9976</v>
      </c>
      <c r="D3371" t="s">
        <v>3394</v>
      </c>
      <c r="E3371" t="s">
        <v>9538</v>
      </c>
      <c r="F3371" t="s">
        <v>3396</v>
      </c>
      <c r="G3371" t="s">
        <v>200</v>
      </c>
      <c r="H3371" t="s">
        <v>10427</v>
      </c>
      <c r="I3371" t="s">
        <v>10428</v>
      </c>
      <c r="J3371" t="s">
        <v>203</v>
      </c>
      <c r="K3371" t="s">
        <v>55</v>
      </c>
      <c r="L3371" t="s">
        <v>204</v>
      </c>
      <c r="M3371" t="s">
        <v>57</v>
      </c>
      <c r="N3371" t="str">
        <f t="shared" si="8"/>
        <v>052555</v>
      </c>
      <c r="O3371" t="s">
        <v>3167</v>
      </c>
      <c r="P3371" t="s">
        <v>68</v>
      </c>
      <c r="Q3371" t="s">
        <v>68</v>
      </c>
      <c r="R3371" t="s">
        <v>68</v>
      </c>
      <c r="S3371" t="s">
        <v>156</v>
      </c>
    </row>
    <row r="3372" spans="1:19" x14ac:dyDescent="0.35">
      <c r="A3372">
        <v>59139</v>
      </c>
      <c r="B3372" t="str">
        <f>"059139"</f>
        <v>059139</v>
      </c>
      <c r="C3372" t="s">
        <v>9985</v>
      </c>
      <c r="D3372" t="s">
        <v>3394</v>
      </c>
      <c r="E3372" t="s">
        <v>9538</v>
      </c>
      <c r="F3372" t="s">
        <v>3396</v>
      </c>
      <c r="G3372" t="s">
        <v>226</v>
      </c>
      <c r="H3372" t="s">
        <v>10429</v>
      </c>
      <c r="I3372" t="s">
        <v>10430</v>
      </c>
      <c r="J3372" t="s">
        <v>10431</v>
      </c>
      <c r="K3372" t="s">
        <v>55</v>
      </c>
      <c r="L3372" t="s">
        <v>10432</v>
      </c>
      <c r="M3372" t="s">
        <v>57</v>
      </c>
      <c r="N3372" t="str">
        <f t="shared" si="8"/>
        <v>052555</v>
      </c>
      <c r="O3372" t="s">
        <v>3167</v>
      </c>
      <c r="P3372" t="s">
        <v>68</v>
      </c>
      <c r="Q3372" t="s">
        <v>68</v>
      </c>
      <c r="R3372" t="s">
        <v>68</v>
      </c>
      <c r="S3372" t="s">
        <v>156</v>
      </c>
    </row>
    <row r="3373" spans="1:19" x14ac:dyDescent="0.35">
      <c r="A3373">
        <v>59170</v>
      </c>
      <c r="B3373" t="str">
        <f>"059170"</f>
        <v>059170</v>
      </c>
      <c r="C3373" t="s">
        <v>9996</v>
      </c>
      <c r="D3373" t="s">
        <v>3394</v>
      </c>
      <c r="E3373" t="s">
        <v>9538</v>
      </c>
      <c r="F3373" t="s">
        <v>3396</v>
      </c>
      <c r="G3373" t="s">
        <v>1118</v>
      </c>
      <c r="H3373" t="s">
        <v>10433</v>
      </c>
      <c r="I3373" t="s">
        <v>10434</v>
      </c>
      <c r="J3373" t="s">
        <v>2478</v>
      </c>
      <c r="K3373" t="s">
        <v>55</v>
      </c>
      <c r="L3373" t="s">
        <v>2479</v>
      </c>
      <c r="M3373" t="s">
        <v>57</v>
      </c>
      <c r="N3373" t="str">
        <f t="shared" si="8"/>
        <v>052555</v>
      </c>
      <c r="O3373" t="s">
        <v>3167</v>
      </c>
      <c r="P3373" t="s">
        <v>68</v>
      </c>
      <c r="Q3373" t="s">
        <v>68</v>
      </c>
      <c r="R3373" t="s">
        <v>68</v>
      </c>
      <c r="S3373" t="s">
        <v>156</v>
      </c>
    </row>
    <row r="3374" spans="1:19" x14ac:dyDescent="0.35">
      <c r="A3374">
        <v>59196</v>
      </c>
      <c r="B3374" t="str">
        <f>"059196"</f>
        <v>059196</v>
      </c>
      <c r="C3374" t="s">
        <v>9996</v>
      </c>
      <c r="D3374" t="s">
        <v>3394</v>
      </c>
      <c r="E3374" t="s">
        <v>9538</v>
      </c>
      <c r="F3374" t="s">
        <v>3396</v>
      </c>
      <c r="G3374" t="s">
        <v>150</v>
      </c>
      <c r="H3374" t="s">
        <v>10435</v>
      </c>
      <c r="I3374" t="s">
        <v>10436</v>
      </c>
      <c r="J3374" t="s">
        <v>2884</v>
      </c>
      <c r="K3374" t="s">
        <v>55</v>
      </c>
      <c r="L3374" t="s">
        <v>2885</v>
      </c>
      <c r="M3374" t="s">
        <v>57</v>
      </c>
      <c r="N3374" t="str">
        <f t="shared" si="8"/>
        <v>052555</v>
      </c>
      <c r="O3374" t="s">
        <v>3167</v>
      </c>
      <c r="P3374" t="s">
        <v>68</v>
      </c>
      <c r="Q3374" t="s">
        <v>68</v>
      </c>
      <c r="R3374" t="s">
        <v>68</v>
      </c>
      <c r="S3374" t="s">
        <v>156</v>
      </c>
    </row>
    <row r="3375" spans="1:19" x14ac:dyDescent="0.35">
      <c r="A3375">
        <v>59204</v>
      </c>
      <c r="B3375" t="str">
        <f>"059204"</f>
        <v>059204</v>
      </c>
      <c r="C3375" t="s">
        <v>10437</v>
      </c>
      <c r="D3375" t="s">
        <v>3394</v>
      </c>
      <c r="E3375" t="s">
        <v>9538</v>
      </c>
      <c r="F3375" t="s">
        <v>3396</v>
      </c>
      <c r="G3375" t="s">
        <v>663</v>
      </c>
      <c r="H3375" t="s">
        <v>10438</v>
      </c>
      <c r="I3375" t="s">
        <v>10439</v>
      </c>
      <c r="J3375" t="s">
        <v>666</v>
      </c>
      <c r="K3375" t="s">
        <v>55</v>
      </c>
      <c r="L3375" t="s">
        <v>1994</v>
      </c>
      <c r="M3375" t="s">
        <v>57</v>
      </c>
      <c r="N3375" t="str">
        <f t="shared" si="8"/>
        <v>052555</v>
      </c>
      <c r="O3375" t="s">
        <v>3167</v>
      </c>
      <c r="P3375" t="s">
        <v>68</v>
      </c>
      <c r="Q3375" t="s">
        <v>68</v>
      </c>
      <c r="R3375" t="s">
        <v>68</v>
      </c>
      <c r="S3375" t="s">
        <v>77</v>
      </c>
    </row>
    <row r="3376" spans="1:19" x14ac:dyDescent="0.35">
      <c r="A3376">
        <v>59246</v>
      </c>
      <c r="B3376" t="str">
        <f>"059246"</f>
        <v>059246</v>
      </c>
      <c r="C3376" t="s">
        <v>10440</v>
      </c>
      <c r="D3376" t="s">
        <v>3394</v>
      </c>
      <c r="E3376" t="s">
        <v>9538</v>
      </c>
      <c r="F3376" t="s">
        <v>3396</v>
      </c>
      <c r="G3376" t="s">
        <v>344</v>
      </c>
      <c r="H3376" t="s">
        <v>10441</v>
      </c>
      <c r="I3376" t="s">
        <v>10442</v>
      </c>
      <c r="J3376" t="s">
        <v>2488</v>
      </c>
      <c r="K3376" t="s">
        <v>55</v>
      </c>
      <c r="L3376" t="s">
        <v>2489</v>
      </c>
      <c r="M3376" t="s">
        <v>57</v>
      </c>
      <c r="N3376" t="str">
        <f t="shared" si="8"/>
        <v>052555</v>
      </c>
      <c r="O3376" t="s">
        <v>3167</v>
      </c>
      <c r="P3376" t="s">
        <v>68</v>
      </c>
      <c r="Q3376" t="s">
        <v>68</v>
      </c>
      <c r="R3376" t="s">
        <v>68</v>
      </c>
      <c r="S3376" t="s">
        <v>156</v>
      </c>
    </row>
    <row r="3377" spans="1:19" x14ac:dyDescent="0.35">
      <c r="A3377">
        <v>59279</v>
      </c>
      <c r="B3377" t="str">
        <f>"059279"</f>
        <v>059279</v>
      </c>
      <c r="C3377" t="s">
        <v>9996</v>
      </c>
      <c r="D3377" t="s">
        <v>3394</v>
      </c>
      <c r="E3377" t="s">
        <v>9538</v>
      </c>
      <c r="F3377" t="s">
        <v>3396</v>
      </c>
      <c r="G3377" t="s">
        <v>1020</v>
      </c>
      <c r="H3377" t="s">
        <v>10443</v>
      </c>
      <c r="I3377" t="s">
        <v>10444</v>
      </c>
      <c r="J3377" t="s">
        <v>1020</v>
      </c>
      <c r="K3377" t="s">
        <v>55</v>
      </c>
      <c r="L3377" t="s">
        <v>1023</v>
      </c>
      <c r="M3377" t="s">
        <v>57</v>
      </c>
      <c r="N3377" t="str">
        <f t="shared" si="8"/>
        <v>052555</v>
      </c>
      <c r="O3377" t="s">
        <v>3167</v>
      </c>
      <c r="P3377" t="s">
        <v>68</v>
      </c>
      <c r="Q3377" t="s">
        <v>68</v>
      </c>
      <c r="R3377" t="s">
        <v>68</v>
      </c>
      <c r="S3377" t="s">
        <v>156</v>
      </c>
    </row>
    <row r="3378" spans="1:19" x14ac:dyDescent="0.35">
      <c r="A3378">
        <v>59303</v>
      </c>
      <c r="B3378" t="str">
        <f>"059303"</f>
        <v>059303</v>
      </c>
      <c r="C3378" t="s">
        <v>10445</v>
      </c>
      <c r="D3378" t="s">
        <v>3394</v>
      </c>
      <c r="E3378" t="s">
        <v>9538</v>
      </c>
      <c r="F3378" t="s">
        <v>3396</v>
      </c>
      <c r="G3378" t="s">
        <v>821</v>
      </c>
      <c r="H3378" t="s">
        <v>10446</v>
      </c>
      <c r="I3378" t="s">
        <v>10447</v>
      </c>
      <c r="J3378" t="s">
        <v>1427</v>
      </c>
      <c r="K3378" t="s">
        <v>55</v>
      </c>
      <c r="L3378" t="s">
        <v>1428</v>
      </c>
      <c r="M3378" t="s">
        <v>57</v>
      </c>
      <c r="N3378" t="str">
        <f t="shared" si="8"/>
        <v>052555</v>
      </c>
      <c r="O3378" t="s">
        <v>3167</v>
      </c>
      <c r="P3378" t="s">
        <v>68</v>
      </c>
      <c r="Q3378" t="s">
        <v>68</v>
      </c>
      <c r="R3378" t="s">
        <v>68</v>
      </c>
      <c r="S3378" t="s">
        <v>156</v>
      </c>
    </row>
    <row r="3379" spans="1:19" x14ac:dyDescent="0.35">
      <c r="A3379">
        <v>59337</v>
      </c>
      <c r="B3379" t="str">
        <f>"059337"</f>
        <v>059337</v>
      </c>
      <c r="C3379" t="s">
        <v>10011</v>
      </c>
      <c r="D3379" t="s">
        <v>3394</v>
      </c>
      <c r="E3379" t="s">
        <v>9538</v>
      </c>
      <c r="F3379" t="s">
        <v>3396</v>
      </c>
      <c r="G3379" t="s">
        <v>1118</v>
      </c>
      <c r="H3379" t="s">
        <v>10448</v>
      </c>
      <c r="I3379" t="s">
        <v>10449</v>
      </c>
      <c r="J3379" t="s">
        <v>1625</v>
      </c>
      <c r="K3379" t="s">
        <v>55</v>
      </c>
      <c r="L3379" t="s">
        <v>1626</v>
      </c>
      <c r="M3379" t="s">
        <v>57</v>
      </c>
      <c r="N3379" t="str">
        <f t="shared" si="8"/>
        <v>052555</v>
      </c>
      <c r="O3379" t="s">
        <v>3167</v>
      </c>
      <c r="P3379" t="s">
        <v>68</v>
      </c>
      <c r="Q3379" t="s">
        <v>68</v>
      </c>
      <c r="R3379" t="s">
        <v>68</v>
      </c>
      <c r="S3379" t="s">
        <v>156</v>
      </c>
    </row>
    <row r="3380" spans="1:19" x14ac:dyDescent="0.35">
      <c r="A3380">
        <v>59345</v>
      </c>
      <c r="B3380" t="str">
        <f>"059345"</f>
        <v>059345</v>
      </c>
      <c r="C3380" t="s">
        <v>10450</v>
      </c>
      <c r="D3380" t="s">
        <v>3394</v>
      </c>
      <c r="E3380" t="s">
        <v>9538</v>
      </c>
      <c r="F3380" t="s">
        <v>3396</v>
      </c>
      <c r="G3380" t="s">
        <v>200</v>
      </c>
      <c r="H3380" t="s">
        <v>10451</v>
      </c>
      <c r="I3380" t="s">
        <v>10452</v>
      </c>
      <c r="J3380" t="s">
        <v>304</v>
      </c>
      <c r="K3380" t="s">
        <v>55</v>
      </c>
      <c r="L3380" t="s">
        <v>3835</v>
      </c>
      <c r="M3380" t="s">
        <v>57</v>
      </c>
      <c r="N3380" t="str">
        <f t="shared" si="8"/>
        <v>052555</v>
      </c>
      <c r="O3380" t="s">
        <v>3167</v>
      </c>
      <c r="P3380" t="s">
        <v>68</v>
      </c>
      <c r="Q3380" t="s">
        <v>68</v>
      </c>
      <c r="R3380" t="s">
        <v>68</v>
      </c>
      <c r="S3380" t="s">
        <v>156</v>
      </c>
    </row>
    <row r="3381" spans="1:19" x14ac:dyDescent="0.35">
      <c r="A3381">
        <v>59360</v>
      </c>
      <c r="B3381" t="str">
        <f>"059360"</f>
        <v>059360</v>
      </c>
      <c r="C3381" t="s">
        <v>10014</v>
      </c>
      <c r="D3381" t="s">
        <v>3394</v>
      </c>
      <c r="E3381" t="s">
        <v>9538</v>
      </c>
      <c r="F3381" t="s">
        <v>3396</v>
      </c>
      <c r="G3381" t="s">
        <v>759</v>
      </c>
      <c r="H3381" t="s">
        <v>10453</v>
      </c>
      <c r="I3381" t="s">
        <v>10454</v>
      </c>
      <c r="J3381" t="s">
        <v>79</v>
      </c>
      <c r="K3381" t="s">
        <v>55</v>
      </c>
      <c r="L3381" t="s">
        <v>2191</v>
      </c>
      <c r="M3381" t="s">
        <v>57</v>
      </c>
      <c r="N3381" t="str">
        <f t="shared" si="8"/>
        <v>052555</v>
      </c>
      <c r="O3381" t="s">
        <v>3167</v>
      </c>
      <c r="P3381" t="s">
        <v>68</v>
      </c>
      <c r="Q3381" t="s">
        <v>68</v>
      </c>
      <c r="R3381" t="s">
        <v>68</v>
      </c>
      <c r="S3381" t="s">
        <v>69</v>
      </c>
    </row>
    <row r="3382" spans="1:19" x14ac:dyDescent="0.35">
      <c r="A3382">
        <v>59378</v>
      </c>
      <c r="B3382" t="str">
        <f>"059378"</f>
        <v>059378</v>
      </c>
      <c r="C3382" t="s">
        <v>10014</v>
      </c>
      <c r="D3382" t="s">
        <v>3394</v>
      </c>
      <c r="E3382" t="s">
        <v>9538</v>
      </c>
      <c r="F3382" t="s">
        <v>3396</v>
      </c>
      <c r="G3382" t="s">
        <v>663</v>
      </c>
      <c r="H3382" t="s">
        <v>10455</v>
      </c>
      <c r="I3382" t="s">
        <v>10456</v>
      </c>
      <c r="J3382" t="s">
        <v>666</v>
      </c>
      <c r="K3382" t="s">
        <v>55</v>
      </c>
      <c r="L3382" t="s">
        <v>10457</v>
      </c>
      <c r="M3382" t="s">
        <v>57</v>
      </c>
      <c r="N3382" t="str">
        <f t="shared" si="8"/>
        <v>052555</v>
      </c>
      <c r="O3382" t="s">
        <v>3167</v>
      </c>
      <c r="P3382" t="s">
        <v>68</v>
      </c>
      <c r="Q3382" t="s">
        <v>68</v>
      </c>
      <c r="R3382" t="s">
        <v>68</v>
      </c>
      <c r="S3382" t="s">
        <v>77</v>
      </c>
    </row>
    <row r="3383" spans="1:19" x14ac:dyDescent="0.35">
      <c r="A3383">
        <v>59386</v>
      </c>
      <c r="B3383" t="str">
        <f>"059386"</f>
        <v>059386</v>
      </c>
      <c r="C3383" t="s">
        <v>10014</v>
      </c>
      <c r="D3383" t="s">
        <v>3394</v>
      </c>
      <c r="E3383" t="s">
        <v>9538</v>
      </c>
      <c r="F3383" t="s">
        <v>3396</v>
      </c>
      <c r="G3383" t="s">
        <v>1702</v>
      </c>
      <c r="H3383" t="s">
        <v>10458</v>
      </c>
      <c r="I3383" t="s">
        <v>10459</v>
      </c>
      <c r="J3383" t="s">
        <v>2651</v>
      </c>
      <c r="K3383" t="s">
        <v>55</v>
      </c>
      <c r="L3383" t="s">
        <v>2652</v>
      </c>
      <c r="M3383" t="s">
        <v>57</v>
      </c>
      <c r="N3383" t="str">
        <f t="shared" si="8"/>
        <v>052555</v>
      </c>
      <c r="O3383" t="s">
        <v>3167</v>
      </c>
      <c r="P3383" t="s">
        <v>68</v>
      </c>
      <c r="Q3383" t="s">
        <v>68</v>
      </c>
      <c r="R3383" t="s">
        <v>68</v>
      </c>
      <c r="S3383" t="s">
        <v>156</v>
      </c>
    </row>
    <row r="3384" spans="1:19" x14ac:dyDescent="0.35">
      <c r="A3384">
        <v>59394</v>
      </c>
      <c r="B3384" t="str">
        <f>"059394"</f>
        <v>059394</v>
      </c>
      <c r="C3384" t="s">
        <v>10212</v>
      </c>
      <c r="D3384" t="s">
        <v>3394</v>
      </c>
      <c r="E3384" t="s">
        <v>9538</v>
      </c>
      <c r="F3384" t="s">
        <v>3396</v>
      </c>
      <c r="G3384" t="s">
        <v>150</v>
      </c>
      <c r="H3384" t="s">
        <v>10460</v>
      </c>
      <c r="I3384" t="s">
        <v>10461</v>
      </c>
      <c r="J3384" t="s">
        <v>257</v>
      </c>
      <c r="K3384" t="s">
        <v>55</v>
      </c>
      <c r="L3384" t="s">
        <v>3243</v>
      </c>
      <c r="M3384" t="s">
        <v>57</v>
      </c>
      <c r="N3384" t="str">
        <f t="shared" si="8"/>
        <v>052555</v>
      </c>
      <c r="O3384" t="s">
        <v>3167</v>
      </c>
      <c r="P3384" t="s">
        <v>68</v>
      </c>
      <c r="Q3384" t="s">
        <v>68</v>
      </c>
      <c r="R3384" t="s">
        <v>68</v>
      </c>
      <c r="S3384" t="s">
        <v>156</v>
      </c>
    </row>
    <row r="3385" spans="1:19" x14ac:dyDescent="0.35">
      <c r="A3385">
        <v>59428</v>
      </c>
      <c r="B3385" t="str">
        <f>"059428"</f>
        <v>059428</v>
      </c>
      <c r="C3385" t="s">
        <v>10335</v>
      </c>
      <c r="D3385" t="s">
        <v>3394</v>
      </c>
      <c r="E3385" t="s">
        <v>9538</v>
      </c>
      <c r="F3385" t="s">
        <v>3396</v>
      </c>
      <c r="G3385" t="s">
        <v>200</v>
      </c>
      <c r="H3385" t="s">
        <v>10462</v>
      </c>
      <c r="I3385" t="s">
        <v>10463</v>
      </c>
      <c r="J3385" t="s">
        <v>304</v>
      </c>
      <c r="K3385" t="s">
        <v>55</v>
      </c>
      <c r="L3385" t="s">
        <v>305</v>
      </c>
      <c r="M3385" t="s">
        <v>57</v>
      </c>
      <c r="N3385" t="str">
        <f t="shared" si="8"/>
        <v>052555</v>
      </c>
      <c r="O3385" t="s">
        <v>3167</v>
      </c>
      <c r="P3385" t="s">
        <v>68</v>
      </c>
      <c r="Q3385" t="s">
        <v>68</v>
      </c>
      <c r="R3385" t="s">
        <v>68</v>
      </c>
      <c r="S3385" t="s">
        <v>156</v>
      </c>
    </row>
    <row r="3386" spans="1:19" x14ac:dyDescent="0.35">
      <c r="A3386">
        <v>59436</v>
      </c>
      <c r="B3386" t="str">
        <f>"059436"</f>
        <v>059436</v>
      </c>
      <c r="C3386" t="s">
        <v>10464</v>
      </c>
      <c r="D3386" t="s">
        <v>3394</v>
      </c>
      <c r="E3386" t="s">
        <v>9538</v>
      </c>
      <c r="F3386" t="s">
        <v>3396</v>
      </c>
      <c r="G3386" t="s">
        <v>344</v>
      </c>
      <c r="H3386" t="s">
        <v>10465</v>
      </c>
      <c r="I3386" t="s">
        <v>10466</v>
      </c>
      <c r="J3386" t="s">
        <v>2488</v>
      </c>
      <c r="K3386" t="s">
        <v>55</v>
      </c>
      <c r="L3386" t="s">
        <v>2489</v>
      </c>
      <c r="M3386" t="s">
        <v>57</v>
      </c>
      <c r="N3386" t="str">
        <f t="shared" si="8"/>
        <v>052555</v>
      </c>
      <c r="O3386" t="s">
        <v>3167</v>
      </c>
      <c r="P3386" t="s">
        <v>68</v>
      </c>
      <c r="Q3386" t="s">
        <v>68</v>
      </c>
      <c r="R3386" t="s">
        <v>68</v>
      </c>
      <c r="S3386" t="s">
        <v>156</v>
      </c>
    </row>
    <row r="3387" spans="1:19" x14ac:dyDescent="0.35">
      <c r="A3387">
        <v>59444</v>
      </c>
      <c r="B3387" t="str">
        <f>"059444"</f>
        <v>059444</v>
      </c>
      <c r="C3387" t="s">
        <v>10467</v>
      </c>
      <c r="D3387" t="s">
        <v>3394</v>
      </c>
      <c r="E3387" t="s">
        <v>9538</v>
      </c>
      <c r="F3387" t="s">
        <v>3396</v>
      </c>
      <c r="G3387" t="s">
        <v>1193</v>
      </c>
      <c r="H3387" t="s">
        <v>10468</v>
      </c>
      <c r="I3387" t="s">
        <v>10469</v>
      </c>
      <c r="J3387" t="s">
        <v>1196</v>
      </c>
      <c r="K3387" t="s">
        <v>55</v>
      </c>
      <c r="L3387" t="s">
        <v>1197</v>
      </c>
      <c r="M3387" t="s">
        <v>57</v>
      </c>
      <c r="N3387" t="str">
        <f t="shared" si="8"/>
        <v>052555</v>
      </c>
      <c r="O3387" t="s">
        <v>3167</v>
      </c>
      <c r="P3387" t="s">
        <v>68</v>
      </c>
      <c r="Q3387" t="s">
        <v>68</v>
      </c>
      <c r="R3387" t="s">
        <v>68</v>
      </c>
      <c r="S3387" t="s">
        <v>156</v>
      </c>
    </row>
    <row r="3388" spans="1:19" x14ac:dyDescent="0.35">
      <c r="A3388">
        <v>59451</v>
      </c>
      <c r="B3388" t="str">
        <f>"059451"</f>
        <v>059451</v>
      </c>
      <c r="C3388" t="s">
        <v>10467</v>
      </c>
      <c r="D3388" t="s">
        <v>3394</v>
      </c>
      <c r="E3388" t="s">
        <v>9538</v>
      </c>
      <c r="F3388" t="s">
        <v>3396</v>
      </c>
      <c r="G3388" t="s">
        <v>226</v>
      </c>
      <c r="H3388" t="s">
        <v>10470</v>
      </c>
      <c r="I3388" t="s">
        <v>10471</v>
      </c>
      <c r="J3388" t="s">
        <v>944</v>
      </c>
      <c r="K3388" t="s">
        <v>55</v>
      </c>
      <c r="L3388" t="s">
        <v>945</v>
      </c>
      <c r="M3388" t="s">
        <v>57</v>
      </c>
      <c r="N3388" t="str">
        <f t="shared" si="8"/>
        <v>052555</v>
      </c>
      <c r="O3388" t="s">
        <v>3167</v>
      </c>
      <c r="P3388" t="s">
        <v>68</v>
      </c>
      <c r="Q3388" t="s">
        <v>68</v>
      </c>
      <c r="R3388" t="s">
        <v>68</v>
      </c>
      <c r="S3388" t="s">
        <v>156</v>
      </c>
    </row>
    <row r="3389" spans="1:19" x14ac:dyDescent="0.35">
      <c r="A3389">
        <v>59535</v>
      </c>
      <c r="B3389" t="str">
        <f>"059535"</f>
        <v>059535</v>
      </c>
      <c r="C3389" t="s">
        <v>10384</v>
      </c>
      <c r="D3389" t="s">
        <v>3394</v>
      </c>
      <c r="E3389" t="s">
        <v>9538</v>
      </c>
      <c r="F3389" t="s">
        <v>3396</v>
      </c>
      <c r="G3389" t="s">
        <v>117</v>
      </c>
      <c r="H3389" t="s">
        <v>10472</v>
      </c>
      <c r="I3389" t="s">
        <v>10473</v>
      </c>
      <c r="J3389" t="s">
        <v>120</v>
      </c>
      <c r="K3389" t="s">
        <v>55</v>
      </c>
      <c r="L3389" t="s">
        <v>121</v>
      </c>
      <c r="M3389" t="s">
        <v>57</v>
      </c>
      <c r="N3389" t="str">
        <f t="shared" ref="N3389:N3407" si="9">"052563"</f>
        <v>052563</v>
      </c>
      <c r="O3389" t="s">
        <v>1399</v>
      </c>
      <c r="P3389" t="s">
        <v>68</v>
      </c>
      <c r="Q3389" t="s">
        <v>68</v>
      </c>
      <c r="R3389" t="s">
        <v>68</v>
      </c>
      <c r="S3389" t="s">
        <v>77</v>
      </c>
    </row>
    <row r="3390" spans="1:19" x14ac:dyDescent="0.35">
      <c r="A3390">
        <v>59592</v>
      </c>
      <c r="B3390" t="str">
        <f>"059592"</f>
        <v>059592</v>
      </c>
      <c r="C3390" t="s">
        <v>10401</v>
      </c>
      <c r="D3390" t="s">
        <v>3394</v>
      </c>
      <c r="E3390" t="s">
        <v>9538</v>
      </c>
      <c r="F3390" t="s">
        <v>3396</v>
      </c>
      <c r="G3390" t="s">
        <v>383</v>
      </c>
      <c r="H3390" t="s">
        <v>10474</v>
      </c>
      <c r="I3390" t="s">
        <v>10475</v>
      </c>
      <c r="J3390" t="s">
        <v>10476</v>
      </c>
      <c r="K3390" t="s">
        <v>55</v>
      </c>
      <c r="L3390" t="s">
        <v>2451</v>
      </c>
      <c r="M3390" t="s">
        <v>57</v>
      </c>
      <c r="N3390" t="str">
        <f t="shared" si="9"/>
        <v>052563</v>
      </c>
      <c r="O3390" t="s">
        <v>1399</v>
      </c>
      <c r="P3390" t="s">
        <v>68</v>
      </c>
      <c r="Q3390" t="s">
        <v>68</v>
      </c>
      <c r="R3390" t="s">
        <v>68</v>
      </c>
      <c r="S3390" t="s">
        <v>77</v>
      </c>
    </row>
    <row r="3391" spans="1:19" x14ac:dyDescent="0.35">
      <c r="A3391">
        <v>59626</v>
      </c>
      <c r="B3391" t="str">
        <f>"059626"</f>
        <v>059626</v>
      </c>
      <c r="C3391" t="s">
        <v>10477</v>
      </c>
      <c r="D3391" t="s">
        <v>3394</v>
      </c>
      <c r="E3391" t="s">
        <v>9538</v>
      </c>
      <c r="F3391" t="s">
        <v>3396</v>
      </c>
      <c r="G3391" t="s">
        <v>383</v>
      </c>
      <c r="H3391" t="s">
        <v>10478</v>
      </c>
      <c r="I3391" t="s">
        <v>10479</v>
      </c>
      <c r="J3391" t="s">
        <v>1215</v>
      </c>
      <c r="K3391" t="s">
        <v>55</v>
      </c>
      <c r="L3391" t="s">
        <v>10480</v>
      </c>
      <c r="M3391" t="s">
        <v>57</v>
      </c>
      <c r="N3391" t="str">
        <f t="shared" si="9"/>
        <v>052563</v>
      </c>
      <c r="O3391" t="s">
        <v>1399</v>
      </c>
      <c r="P3391" t="s">
        <v>68</v>
      </c>
      <c r="Q3391" t="s">
        <v>68</v>
      </c>
      <c r="R3391" t="s">
        <v>68</v>
      </c>
      <c r="S3391" t="s">
        <v>77</v>
      </c>
    </row>
    <row r="3392" spans="1:19" x14ac:dyDescent="0.35">
      <c r="A3392">
        <v>59634</v>
      </c>
      <c r="B3392" t="str">
        <f>"059634"</f>
        <v>059634</v>
      </c>
      <c r="C3392" t="s">
        <v>10481</v>
      </c>
      <c r="D3392" t="s">
        <v>3394</v>
      </c>
      <c r="E3392" t="s">
        <v>9538</v>
      </c>
      <c r="F3392" t="s">
        <v>3396</v>
      </c>
      <c r="G3392" t="s">
        <v>117</v>
      </c>
      <c r="H3392" t="s">
        <v>10482</v>
      </c>
      <c r="I3392" t="s">
        <v>10483</v>
      </c>
      <c r="J3392" t="s">
        <v>1806</v>
      </c>
      <c r="K3392" t="s">
        <v>55</v>
      </c>
      <c r="L3392" t="s">
        <v>1807</v>
      </c>
      <c r="M3392" t="s">
        <v>57</v>
      </c>
      <c r="N3392" t="str">
        <f t="shared" si="9"/>
        <v>052563</v>
      </c>
      <c r="O3392" t="s">
        <v>1399</v>
      </c>
      <c r="P3392" t="s">
        <v>68</v>
      </c>
      <c r="Q3392" t="s">
        <v>68</v>
      </c>
      <c r="R3392" t="s">
        <v>68</v>
      </c>
      <c r="S3392" t="s">
        <v>77</v>
      </c>
    </row>
    <row r="3393" spans="1:19" x14ac:dyDescent="0.35">
      <c r="A3393">
        <v>59667</v>
      </c>
      <c r="B3393" t="str">
        <f>"059667"</f>
        <v>059667</v>
      </c>
      <c r="C3393" t="s">
        <v>9724</v>
      </c>
      <c r="D3393" t="s">
        <v>3394</v>
      </c>
      <c r="E3393" t="s">
        <v>9538</v>
      </c>
      <c r="F3393" t="s">
        <v>3396</v>
      </c>
      <c r="G3393" t="s">
        <v>117</v>
      </c>
      <c r="H3393" t="s">
        <v>10484</v>
      </c>
      <c r="I3393" t="s">
        <v>10485</v>
      </c>
      <c r="J3393" t="s">
        <v>1409</v>
      </c>
      <c r="K3393" t="s">
        <v>55</v>
      </c>
      <c r="L3393" t="s">
        <v>4213</v>
      </c>
      <c r="M3393" t="s">
        <v>57</v>
      </c>
      <c r="N3393" t="str">
        <f t="shared" si="9"/>
        <v>052563</v>
      </c>
      <c r="O3393" t="s">
        <v>1399</v>
      </c>
      <c r="P3393" t="s">
        <v>68</v>
      </c>
      <c r="Q3393" t="s">
        <v>68</v>
      </c>
      <c r="R3393" t="s">
        <v>68</v>
      </c>
      <c r="S3393" t="s">
        <v>77</v>
      </c>
    </row>
    <row r="3394" spans="1:19" x14ac:dyDescent="0.35">
      <c r="A3394">
        <v>59691</v>
      </c>
      <c r="B3394" t="str">
        <f>"059691"</f>
        <v>059691</v>
      </c>
      <c r="C3394" t="s">
        <v>10007</v>
      </c>
      <c r="D3394" t="s">
        <v>3394</v>
      </c>
      <c r="E3394" t="s">
        <v>9538</v>
      </c>
      <c r="F3394" t="s">
        <v>3396</v>
      </c>
      <c r="G3394" t="s">
        <v>117</v>
      </c>
      <c r="H3394" t="s">
        <v>10486</v>
      </c>
      <c r="I3394" t="s">
        <v>10487</v>
      </c>
      <c r="J3394" t="s">
        <v>1409</v>
      </c>
      <c r="K3394" t="s">
        <v>55</v>
      </c>
      <c r="L3394" t="s">
        <v>6280</v>
      </c>
      <c r="M3394" t="s">
        <v>57</v>
      </c>
      <c r="N3394" t="str">
        <f t="shared" si="9"/>
        <v>052563</v>
      </c>
      <c r="O3394" t="s">
        <v>1399</v>
      </c>
      <c r="P3394" t="s">
        <v>68</v>
      </c>
      <c r="Q3394" t="s">
        <v>68</v>
      </c>
      <c r="R3394" t="s">
        <v>68</v>
      </c>
      <c r="S3394" t="s">
        <v>77</v>
      </c>
    </row>
    <row r="3395" spans="1:19" x14ac:dyDescent="0.35">
      <c r="A3395">
        <v>59717</v>
      </c>
      <c r="B3395" t="str">
        <f>"059717"</f>
        <v>059717</v>
      </c>
      <c r="C3395" t="s">
        <v>10014</v>
      </c>
      <c r="D3395" t="s">
        <v>3394</v>
      </c>
      <c r="E3395" t="s">
        <v>9538</v>
      </c>
      <c r="F3395" t="s">
        <v>3396</v>
      </c>
      <c r="G3395" t="s">
        <v>117</v>
      </c>
      <c r="H3395" t="s">
        <v>10488</v>
      </c>
      <c r="I3395" t="s">
        <v>10489</v>
      </c>
      <c r="J3395" t="s">
        <v>1409</v>
      </c>
      <c r="K3395" t="s">
        <v>55</v>
      </c>
      <c r="L3395" t="s">
        <v>2662</v>
      </c>
      <c r="M3395" t="s">
        <v>57</v>
      </c>
      <c r="N3395" t="str">
        <f t="shared" si="9"/>
        <v>052563</v>
      </c>
      <c r="O3395" t="s">
        <v>1399</v>
      </c>
      <c r="P3395" t="s">
        <v>68</v>
      </c>
      <c r="Q3395" t="s">
        <v>68</v>
      </c>
      <c r="R3395" t="s">
        <v>68</v>
      </c>
      <c r="S3395" t="s">
        <v>77</v>
      </c>
    </row>
    <row r="3396" spans="1:19" x14ac:dyDescent="0.35">
      <c r="A3396">
        <v>59733</v>
      </c>
      <c r="B3396" t="str">
        <f>"059733"</f>
        <v>059733</v>
      </c>
      <c r="C3396" t="s">
        <v>10262</v>
      </c>
      <c r="D3396" t="s">
        <v>3394</v>
      </c>
      <c r="E3396" t="s">
        <v>9538</v>
      </c>
      <c r="F3396" t="s">
        <v>3396</v>
      </c>
      <c r="G3396" t="s">
        <v>117</v>
      </c>
      <c r="H3396" t="s">
        <v>10490</v>
      </c>
      <c r="I3396" t="s">
        <v>10491</v>
      </c>
      <c r="J3396" t="s">
        <v>1409</v>
      </c>
      <c r="K3396" t="s">
        <v>55</v>
      </c>
      <c r="L3396" t="s">
        <v>1410</v>
      </c>
      <c r="M3396" t="s">
        <v>57</v>
      </c>
      <c r="N3396" t="str">
        <f t="shared" si="9"/>
        <v>052563</v>
      </c>
      <c r="O3396" t="s">
        <v>1399</v>
      </c>
      <c r="P3396" t="s">
        <v>68</v>
      </c>
      <c r="Q3396" t="s">
        <v>68</v>
      </c>
      <c r="R3396" t="s">
        <v>68</v>
      </c>
      <c r="S3396" t="s">
        <v>77</v>
      </c>
    </row>
    <row r="3397" spans="1:19" x14ac:dyDescent="0.35">
      <c r="A3397">
        <v>59790</v>
      </c>
      <c r="B3397" t="str">
        <f>"059790"</f>
        <v>059790</v>
      </c>
      <c r="C3397" t="s">
        <v>10467</v>
      </c>
      <c r="D3397" t="s">
        <v>3394</v>
      </c>
      <c r="E3397" t="s">
        <v>9538</v>
      </c>
      <c r="F3397" t="s">
        <v>3396</v>
      </c>
      <c r="G3397" t="s">
        <v>169</v>
      </c>
      <c r="H3397" t="s">
        <v>10492</v>
      </c>
      <c r="I3397" t="s">
        <v>10493</v>
      </c>
      <c r="J3397" t="s">
        <v>2933</v>
      </c>
      <c r="K3397" t="s">
        <v>55</v>
      </c>
      <c r="L3397" t="s">
        <v>2934</v>
      </c>
      <c r="M3397" t="s">
        <v>57</v>
      </c>
      <c r="N3397" t="str">
        <f t="shared" si="9"/>
        <v>052563</v>
      </c>
      <c r="O3397" t="s">
        <v>1399</v>
      </c>
      <c r="P3397" t="s">
        <v>68</v>
      </c>
      <c r="Q3397" t="s">
        <v>68</v>
      </c>
      <c r="R3397" t="s">
        <v>68</v>
      </c>
      <c r="S3397" t="s">
        <v>77</v>
      </c>
    </row>
    <row r="3398" spans="1:19" x14ac:dyDescent="0.35">
      <c r="A3398">
        <v>59816</v>
      </c>
      <c r="B3398" t="str">
        <f>"059816"</f>
        <v>059816</v>
      </c>
      <c r="C3398" t="s">
        <v>10011</v>
      </c>
      <c r="D3398" t="s">
        <v>3394</v>
      </c>
      <c r="E3398" t="s">
        <v>9538</v>
      </c>
      <c r="F3398" t="s">
        <v>3396</v>
      </c>
      <c r="G3398" t="s">
        <v>295</v>
      </c>
      <c r="H3398" t="s">
        <v>10494</v>
      </c>
      <c r="I3398" t="s">
        <v>10495</v>
      </c>
      <c r="J3398" t="s">
        <v>1012</v>
      </c>
      <c r="K3398" t="s">
        <v>55</v>
      </c>
      <c r="L3398" t="s">
        <v>1013</v>
      </c>
      <c r="M3398" t="s">
        <v>57</v>
      </c>
      <c r="N3398" t="str">
        <f t="shared" si="9"/>
        <v>052563</v>
      </c>
      <c r="O3398" t="s">
        <v>1399</v>
      </c>
      <c r="P3398" t="s">
        <v>68</v>
      </c>
      <c r="Q3398" t="s">
        <v>68</v>
      </c>
      <c r="R3398" t="s">
        <v>68</v>
      </c>
      <c r="S3398" t="s">
        <v>77</v>
      </c>
    </row>
    <row r="3399" spans="1:19" x14ac:dyDescent="0.35">
      <c r="A3399">
        <v>59881</v>
      </c>
      <c r="B3399" t="str">
        <f>"059881"</f>
        <v>059881</v>
      </c>
      <c r="C3399" t="s">
        <v>9996</v>
      </c>
      <c r="D3399" t="s">
        <v>3394</v>
      </c>
      <c r="E3399" t="s">
        <v>9538</v>
      </c>
      <c r="F3399" t="s">
        <v>3396</v>
      </c>
      <c r="G3399" t="s">
        <v>117</v>
      </c>
      <c r="H3399" t="s">
        <v>10496</v>
      </c>
      <c r="I3399" t="s">
        <v>10497</v>
      </c>
      <c r="J3399" t="s">
        <v>977</v>
      </c>
      <c r="K3399" t="s">
        <v>55</v>
      </c>
      <c r="L3399" t="s">
        <v>978</v>
      </c>
      <c r="M3399" t="s">
        <v>57</v>
      </c>
      <c r="N3399" t="str">
        <f t="shared" si="9"/>
        <v>052563</v>
      </c>
      <c r="O3399" t="s">
        <v>1399</v>
      </c>
      <c r="P3399" t="s">
        <v>68</v>
      </c>
      <c r="Q3399" t="s">
        <v>68</v>
      </c>
      <c r="R3399" t="s">
        <v>68</v>
      </c>
      <c r="S3399" t="s">
        <v>77</v>
      </c>
    </row>
    <row r="3400" spans="1:19" x14ac:dyDescent="0.35">
      <c r="A3400">
        <v>59956</v>
      </c>
      <c r="B3400" t="str">
        <f>"059956"</f>
        <v>059956</v>
      </c>
      <c r="C3400" t="s">
        <v>10498</v>
      </c>
      <c r="D3400" t="s">
        <v>3394</v>
      </c>
      <c r="E3400" t="s">
        <v>9538</v>
      </c>
      <c r="F3400" t="s">
        <v>3396</v>
      </c>
      <c r="G3400" t="s">
        <v>117</v>
      </c>
      <c r="H3400" t="s">
        <v>10499</v>
      </c>
      <c r="I3400" t="s">
        <v>10500</v>
      </c>
      <c r="J3400" t="s">
        <v>3199</v>
      </c>
      <c r="K3400" t="s">
        <v>55</v>
      </c>
      <c r="L3400" t="s">
        <v>3200</v>
      </c>
      <c r="M3400" t="s">
        <v>57</v>
      </c>
      <c r="N3400" t="str">
        <f t="shared" si="9"/>
        <v>052563</v>
      </c>
      <c r="O3400" t="s">
        <v>1399</v>
      </c>
      <c r="P3400" t="s">
        <v>68</v>
      </c>
      <c r="Q3400" t="s">
        <v>68</v>
      </c>
      <c r="R3400" t="s">
        <v>68</v>
      </c>
      <c r="S3400" t="s">
        <v>77</v>
      </c>
    </row>
    <row r="3401" spans="1:19" x14ac:dyDescent="0.35">
      <c r="A3401">
        <v>59964</v>
      </c>
      <c r="B3401" t="str">
        <f>"059964"</f>
        <v>059964</v>
      </c>
      <c r="C3401" t="s">
        <v>9837</v>
      </c>
      <c r="D3401" t="s">
        <v>3394</v>
      </c>
      <c r="E3401" t="s">
        <v>9538</v>
      </c>
      <c r="F3401" t="s">
        <v>3396</v>
      </c>
      <c r="G3401" t="s">
        <v>383</v>
      </c>
      <c r="H3401" t="s">
        <v>10501</v>
      </c>
      <c r="I3401" t="s">
        <v>10502</v>
      </c>
      <c r="J3401" t="s">
        <v>1064</v>
      </c>
      <c r="K3401" t="s">
        <v>55</v>
      </c>
      <c r="L3401" t="s">
        <v>1065</v>
      </c>
      <c r="M3401" t="s">
        <v>57</v>
      </c>
      <c r="N3401" t="str">
        <f t="shared" si="9"/>
        <v>052563</v>
      </c>
      <c r="O3401" t="s">
        <v>1399</v>
      </c>
      <c r="P3401" t="s">
        <v>68</v>
      </c>
      <c r="Q3401" t="s">
        <v>68</v>
      </c>
      <c r="R3401" t="s">
        <v>68</v>
      </c>
      <c r="S3401" t="s">
        <v>77</v>
      </c>
    </row>
    <row r="3402" spans="1:19" x14ac:dyDescent="0.35">
      <c r="A3402">
        <v>59980</v>
      </c>
      <c r="B3402" t="str">
        <f>"059980"</f>
        <v>059980</v>
      </c>
      <c r="C3402" t="s">
        <v>10498</v>
      </c>
      <c r="D3402" t="s">
        <v>3394</v>
      </c>
      <c r="E3402" t="s">
        <v>9538</v>
      </c>
      <c r="F3402" t="s">
        <v>3396</v>
      </c>
      <c r="G3402" t="s">
        <v>536</v>
      </c>
      <c r="H3402" t="s">
        <v>10503</v>
      </c>
      <c r="I3402" t="s">
        <v>10504</v>
      </c>
      <c r="J3402" t="s">
        <v>2351</v>
      </c>
      <c r="K3402" t="s">
        <v>55</v>
      </c>
      <c r="L3402" t="s">
        <v>2352</v>
      </c>
      <c r="M3402" t="s">
        <v>57</v>
      </c>
      <c r="N3402" t="str">
        <f t="shared" si="9"/>
        <v>052563</v>
      </c>
      <c r="O3402" t="s">
        <v>1399</v>
      </c>
      <c r="P3402" t="s">
        <v>68</v>
      </c>
      <c r="Q3402" t="s">
        <v>68</v>
      </c>
      <c r="R3402" t="s">
        <v>68</v>
      </c>
      <c r="S3402" t="s">
        <v>77</v>
      </c>
    </row>
    <row r="3403" spans="1:19" x14ac:dyDescent="0.35">
      <c r="A3403">
        <v>60004</v>
      </c>
      <c r="B3403" t="str">
        <f>"060004"</f>
        <v>060004</v>
      </c>
      <c r="C3403" t="s">
        <v>10505</v>
      </c>
      <c r="D3403" t="s">
        <v>3394</v>
      </c>
      <c r="E3403" t="s">
        <v>9538</v>
      </c>
      <c r="F3403" t="s">
        <v>3396</v>
      </c>
      <c r="G3403" t="s">
        <v>383</v>
      </c>
      <c r="H3403" t="s">
        <v>10506</v>
      </c>
      <c r="I3403" t="s">
        <v>10507</v>
      </c>
      <c r="J3403" t="s">
        <v>3349</v>
      </c>
      <c r="K3403" t="s">
        <v>55</v>
      </c>
      <c r="L3403" t="s">
        <v>3350</v>
      </c>
      <c r="M3403" t="s">
        <v>57</v>
      </c>
      <c r="N3403" t="str">
        <f t="shared" si="9"/>
        <v>052563</v>
      </c>
      <c r="O3403" t="s">
        <v>1399</v>
      </c>
      <c r="P3403" t="s">
        <v>68</v>
      </c>
      <c r="Q3403" t="s">
        <v>68</v>
      </c>
      <c r="R3403" t="s">
        <v>68</v>
      </c>
      <c r="S3403" t="s">
        <v>77</v>
      </c>
    </row>
    <row r="3404" spans="1:19" x14ac:dyDescent="0.35">
      <c r="A3404">
        <v>60012</v>
      </c>
      <c r="B3404" t="str">
        <f>"060012"</f>
        <v>060012</v>
      </c>
      <c r="C3404" t="s">
        <v>9976</v>
      </c>
      <c r="D3404" t="s">
        <v>3394</v>
      </c>
      <c r="E3404" t="s">
        <v>9538</v>
      </c>
      <c r="F3404" t="s">
        <v>3396</v>
      </c>
      <c r="G3404" t="s">
        <v>295</v>
      </c>
      <c r="H3404" t="s">
        <v>10508</v>
      </c>
      <c r="I3404" t="s">
        <v>10509</v>
      </c>
      <c r="J3404" t="s">
        <v>298</v>
      </c>
      <c r="K3404" t="s">
        <v>55</v>
      </c>
      <c r="L3404" t="s">
        <v>299</v>
      </c>
      <c r="M3404" t="s">
        <v>57</v>
      </c>
      <c r="N3404" t="str">
        <f t="shared" si="9"/>
        <v>052563</v>
      </c>
      <c r="O3404" t="s">
        <v>1399</v>
      </c>
      <c r="P3404" t="s">
        <v>68</v>
      </c>
      <c r="Q3404" t="s">
        <v>68</v>
      </c>
      <c r="R3404" t="s">
        <v>68</v>
      </c>
      <c r="S3404" t="s">
        <v>77</v>
      </c>
    </row>
    <row r="3405" spans="1:19" x14ac:dyDescent="0.35">
      <c r="A3405">
        <v>60020</v>
      </c>
      <c r="B3405" t="str">
        <f>"060020"</f>
        <v>060020</v>
      </c>
      <c r="C3405" t="s">
        <v>10510</v>
      </c>
      <c r="D3405" t="s">
        <v>3394</v>
      </c>
      <c r="E3405" t="s">
        <v>9538</v>
      </c>
      <c r="F3405" t="s">
        <v>3396</v>
      </c>
      <c r="G3405" t="s">
        <v>169</v>
      </c>
      <c r="H3405" t="s">
        <v>10511</v>
      </c>
      <c r="I3405" t="s">
        <v>10512</v>
      </c>
      <c r="J3405" t="s">
        <v>172</v>
      </c>
      <c r="K3405" t="s">
        <v>55</v>
      </c>
      <c r="L3405" t="s">
        <v>173</v>
      </c>
      <c r="M3405" t="s">
        <v>57</v>
      </c>
      <c r="N3405" t="str">
        <f t="shared" si="9"/>
        <v>052563</v>
      </c>
      <c r="O3405" t="s">
        <v>1399</v>
      </c>
      <c r="P3405" t="s">
        <v>68</v>
      </c>
      <c r="Q3405" t="s">
        <v>68</v>
      </c>
      <c r="R3405" t="s">
        <v>68</v>
      </c>
      <c r="S3405" t="s">
        <v>77</v>
      </c>
    </row>
    <row r="3406" spans="1:19" x14ac:dyDescent="0.35">
      <c r="A3406">
        <v>60095</v>
      </c>
      <c r="B3406" t="str">
        <f>"060095"</f>
        <v>060095</v>
      </c>
      <c r="C3406" t="s">
        <v>9964</v>
      </c>
      <c r="D3406" t="s">
        <v>3394</v>
      </c>
      <c r="E3406" t="s">
        <v>9538</v>
      </c>
      <c r="F3406" t="s">
        <v>3396</v>
      </c>
      <c r="G3406" t="s">
        <v>117</v>
      </c>
      <c r="H3406" t="s">
        <v>10513</v>
      </c>
      <c r="I3406" t="s">
        <v>10514</v>
      </c>
      <c r="J3406" t="s">
        <v>10515</v>
      </c>
      <c r="K3406" t="s">
        <v>55</v>
      </c>
      <c r="L3406" t="s">
        <v>10516</v>
      </c>
      <c r="M3406" t="s">
        <v>57</v>
      </c>
      <c r="N3406" t="str">
        <f t="shared" si="9"/>
        <v>052563</v>
      </c>
      <c r="O3406" t="s">
        <v>1399</v>
      </c>
      <c r="P3406" t="s">
        <v>68</v>
      </c>
      <c r="Q3406" t="s">
        <v>68</v>
      </c>
      <c r="R3406" t="s">
        <v>68</v>
      </c>
      <c r="S3406" t="s">
        <v>77</v>
      </c>
    </row>
    <row r="3407" spans="1:19" x14ac:dyDescent="0.35">
      <c r="A3407">
        <v>60152</v>
      </c>
      <c r="B3407" t="str">
        <f>"060152"</f>
        <v>060152</v>
      </c>
      <c r="C3407" t="s">
        <v>10517</v>
      </c>
      <c r="D3407" t="s">
        <v>3394</v>
      </c>
      <c r="E3407" t="s">
        <v>9538</v>
      </c>
      <c r="F3407" t="s">
        <v>3396</v>
      </c>
      <c r="G3407" t="s">
        <v>383</v>
      </c>
      <c r="H3407" t="s">
        <v>10518</v>
      </c>
      <c r="I3407" t="s">
        <v>10519</v>
      </c>
      <c r="J3407" t="s">
        <v>1215</v>
      </c>
      <c r="K3407" t="s">
        <v>55</v>
      </c>
      <c r="L3407" t="s">
        <v>10520</v>
      </c>
      <c r="M3407" t="s">
        <v>57</v>
      </c>
      <c r="N3407" t="str">
        <f t="shared" si="9"/>
        <v>052563</v>
      </c>
      <c r="O3407" t="s">
        <v>1399</v>
      </c>
      <c r="P3407" t="s">
        <v>68</v>
      </c>
      <c r="Q3407" t="s">
        <v>68</v>
      </c>
      <c r="R3407" t="s">
        <v>68</v>
      </c>
      <c r="S3407" t="s">
        <v>77</v>
      </c>
    </row>
    <row r="3408" spans="1:19" x14ac:dyDescent="0.35">
      <c r="A3408">
        <v>60301</v>
      </c>
      <c r="B3408" t="str">
        <f>"060301"</f>
        <v>060301</v>
      </c>
      <c r="C3408" t="s">
        <v>10521</v>
      </c>
      <c r="D3408" t="s">
        <v>3394</v>
      </c>
      <c r="E3408" t="s">
        <v>9538</v>
      </c>
      <c r="F3408" t="s">
        <v>3396</v>
      </c>
      <c r="G3408" t="s">
        <v>63</v>
      </c>
      <c r="H3408" t="s">
        <v>10522</v>
      </c>
      <c r="I3408" t="s">
        <v>10523</v>
      </c>
      <c r="J3408" t="s">
        <v>66</v>
      </c>
      <c r="K3408" t="s">
        <v>55</v>
      </c>
      <c r="L3408" t="s">
        <v>7937</v>
      </c>
      <c r="M3408" t="s">
        <v>57</v>
      </c>
      <c r="N3408" t="str">
        <f t="shared" ref="N3408:N3418" si="10">"052597"</f>
        <v>052597</v>
      </c>
      <c r="O3408" t="s">
        <v>2565</v>
      </c>
      <c r="P3408" t="s">
        <v>68</v>
      </c>
      <c r="Q3408" t="s">
        <v>68</v>
      </c>
      <c r="R3408" t="s">
        <v>68</v>
      </c>
      <c r="S3408" t="s">
        <v>69</v>
      </c>
    </row>
    <row r="3409" spans="1:19" x14ac:dyDescent="0.35">
      <c r="A3409">
        <v>60327</v>
      </c>
      <c r="B3409" t="str">
        <f>"060327"</f>
        <v>060327</v>
      </c>
      <c r="C3409" t="s">
        <v>10524</v>
      </c>
      <c r="D3409" t="s">
        <v>3394</v>
      </c>
      <c r="E3409" t="s">
        <v>9538</v>
      </c>
      <c r="F3409" t="s">
        <v>3396</v>
      </c>
      <c r="G3409" t="s">
        <v>244</v>
      </c>
      <c r="H3409" t="s">
        <v>10525</v>
      </c>
      <c r="I3409" t="s">
        <v>10526</v>
      </c>
      <c r="J3409" t="s">
        <v>212</v>
      </c>
      <c r="K3409" t="s">
        <v>55</v>
      </c>
      <c r="L3409" t="s">
        <v>2312</v>
      </c>
      <c r="M3409" t="s">
        <v>57</v>
      </c>
      <c r="N3409" t="str">
        <f t="shared" si="10"/>
        <v>052597</v>
      </c>
      <c r="O3409" t="s">
        <v>2565</v>
      </c>
      <c r="P3409" t="s">
        <v>68</v>
      </c>
      <c r="Q3409" t="s">
        <v>68</v>
      </c>
      <c r="R3409" t="s">
        <v>68</v>
      </c>
      <c r="S3409" t="s">
        <v>217</v>
      </c>
    </row>
    <row r="3410" spans="1:19" x14ac:dyDescent="0.35">
      <c r="A3410">
        <v>60335</v>
      </c>
      <c r="B3410" t="str">
        <f>"060335"</f>
        <v>060335</v>
      </c>
      <c r="C3410" t="s">
        <v>10527</v>
      </c>
      <c r="D3410" t="s">
        <v>3394</v>
      </c>
      <c r="E3410" t="s">
        <v>9538</v>
      </c>
      <c r="F3410" t="s">
        <v>3396</v>
      </c>
      <c r="G3410" t="s">
        <v>63</v>
      </c>
      <c r="H3410" t="s">
        <v>10528</v>
      </c>
      <c r="I3410" t="s">
        <v>10529</v>
      </c>
      <c r="J3410" t="s">
        <v>1271</v>
      </c>
      <c r="K3410" t="s">
        <v>55</v>
      </c>
      <c r="L3410" t="s">
        <v>1272</v>
      </c>
      <c r="M3410" t="s">
        <v>57</v>
      </c>
      <c r="N3410" t="str">
        <f t="shared" si="10"/>
        <v>052597</v>
      </c>
      <c r="O3410" t="s">
        <v>2565</v>
      </c>
      <c r="P3410" t="s">
        <v>68</v>
      </c>
      <c r="Q3410" t="s">
        <v>68</v>
      </c>
      <c r="R3410" t="s">
        <v>68</v>
      </c>
      <c r="S3410" t="s">
        <v>69</v>
      </c>
    </row>
    <row r="3411" spans="1:19" x14ac:dyDescent="0.35">
      <c r="A3411">
        <v>60343</v>
      </c>
      <c r="B3411" t="str">
        <f>"060343"</f>
        <v>060343</v>
      </c>
      <c r="C3411" t="s">
        <v>10530</v>
      </c>
      <c r="D3411" t="s">
        <v>3394</v>
      </c>
      <c r="E3411" t="s">
        <v>9538</v>
      </c>
      <c r="F3411" t="s">
        <v>3396</v>
      </c>
      <c r="G3411" t="s">
        <v>63</v>
      </c>
      <c r="H3411" t="s">
        <v>10531</v>
      </c>
      <c r="I3411" t="s">
        <v>10532</v>
      </c>
      <c r="J3411" t="s">
        <v>285</v>
      </c>
      <c r="K3411" t="s">
        <v>55</v>
      </c>
      <c r="L3411" t="s">
        <v>3798</v>
      </c>
      <c r="M3411" t="s">
        <v>57</v>
      </c>
      <c r="N3411" t="str">
        <f t="shared" si="10"/>
        <v>052597</v>
      </c>
      <c r="O3411" t="s">
        <v>2565</v>
      </c>
      <c r="P3411" t="s">
        <v>68</v>
      </c>
      <c r="Q3411" t="s">
        <v>68</v>
      </c>
      <c r="R3411" t="s">
        <v>68</v>
      </c>
      <c r="S3411" t="s">
        <v>69</v>
      </c>
    </row>
    <row r="3412" spans="1:19" x14ac:dyDescent="0.35">
      <c r="A3412">
        <v>60368</v>
      </c>
      <c r="B3412" t="str">
        <f>"060368"</f>
        <v>060368</v>
      </c>
      <c r="C3412" t="s">
        <v>10533</v>
      </c>
      <c r="D3412" t="s">
        <v>3394</v>
      </c>
      <c r="E3412" t="s">
        <v>9538</v>
      </c>
      <c r="F3412" t="s">
        <v>3396</v>
      </c>
      <c r="G3412" t="s">
        <v>264</v>
      </c>
      <c r="H3412" t="s">
        <v>10534</v>
      </c>
      <c r="I3412" t="s">
        <v>10535</v>
      </c>
      <c r="J3412" t="s">
        <v>2497</v>
      </c>
      <c r="K3412" t="s">
        <v>55</v>
      </c>
      <c r="L3412" t="s">
        <v>2498</v>
      </c>
      <c r="M3412" t="s">
        <v>57</v>
      </c>
      <c r="N3412" t="str">
        <f t="shared" si="10"/>
        <v>052597</v>
      </c>
      <c r="O3412" t="s">
        <v>2565</v>
      </c>
      <c r="P3412" t="s">
        <v>68</v>
      </c>
      <c r="Q3412" t="s">
        <v>68</v>
      </c>
      <c r="R3412" t="s">
        <v>68</v>
      </c>
      <c r="S3412" t="s">
        <v>77</v>
      </c>
    </row>
    <row r="3413" spans="1:19" x14ac:dyDescent="0.35">
      <c r="A3413">
        <v>60384</v>
      </c>
      <c r="B3413" t="str">
        <f>"060384"</f>
        <v>060384</v>
      </c>
      <c r="C3413" t="s">
        <v>10536</v>
      </c>
      <c r="D3413" t="s">
        <v>3394</v>
      </c>
      <c r="E3413" t="s">
        <v>9538</v>
      </c>
      <c r="F3413" t="s">
        <v>3396</v>
      </c>
      <c r="G3413" t="s">
        <v>63</v>
      </c>
      <c r="H3413" t="s">
        <v>10537</v>
      </c>
      <c r="I3413" t="s">
        <v>10538</v>
      </c>
      <c r="J3413" t="s">
        <v>285</v>
      </c>
      <c r="K3413" t="s">
        <v>55</v>
      </c>
      <c r="L3413" t="s">
        <v>6421</v>
      </c>
      <c r="M3413" t="s">
        <v>57</v>
      </c>
      <c r="N3413" t="str">
        <f t="shared" si="10"/>
        <v>052597</v>
      </c>
      <c r="O3413" t="s">
        <v>2565</v>
      </c>
      <c r="P3413" t="s">
        <v>68</v>
      </c>
      <c r="Q3413" t="s">
        <v>68</v>
      </c>
      <c r="R3413" t="s">
        <v>68</v>
      </c>
      <c r="S3413" t="s">
        <v>69</v>
      </c>
    </row>
    <row r="3414" spans="1:19" x14ac:dyDescent="0.35">
      <c r="A3414">
        <v>60392</v>
      </c>
      <c r="B3414" t="str">
        <f>"060392"</f>
        <v>060392</v>
      </c>
      <c r="C3414" t="s">
        <v>10536</v>
      </c>
      <c r="D3414" t="s">
        <v>3394</v>
      </c>
      <c r="E3414" t="s">
        <v>9538</v>
      </c>
      <c r="F3414" t="s">
        <v>3396</v>
      </c>
      <c r="G3414" t="s">
        <v>2304</v>
      </c>
      <c r="H3414" t="s">
        <v>10539</v>
      </c>
      <c r="I3414" t="s">
        <v>10540</v>
      </c>
      <c r="J3414" t="s">
        <v>2304</v>
      </c>
      <c r="K3414" t="s">
        <v>55</v>
      </c>
      <c r="L3414" t="s">
        <v>2369</v>
      </c>
      <c r="M3414" t="s">
        <v>57</v>
      </c>
      <c r="N3414" t="str">
        <f t="shared" si="10"/>
        <v>052597</v>
      </c>
      <c r="O3414" t="s">
        <v>2565</v>
      </c>
      <c r="P3414" t="s">
        <v>68</v>
      </c>
      <c r="Q3414" t="s">
        <v>68</v>
      </c>
      <c r="R3414" t="s">
        <v>68</v>
      </c>
      <c r="S3414" t="s">
        <v>156</v>
      </c>
    </row>
    <row r="3415" spans="1:19" x14ac:dyDescent="0.35">
      <c r="A3415">
        <v>60426</v>
      </c>
      <c r="B3415" t="str">
        <f>"060426"</f>
        <v>060426</v>
      </c>
      <c r="C3415" t="s">
        <v>10536</v>
      </c>
      <c r="D3415" t="s">
        <v>3394</v>
      </c>
      <c r="E3415" t="s">
        <v>9538</v>
      </c>
      <c r="F3415" t="s">
        <v>3396</v>
      </c>
      <c r="G3415" t="s">
        <v>1948</v>
      </c>
      <c r="H3415" t="s">
        <v>10541</v>
      </c>
      <c r="I3415" t="s">
        <v>10542</v>
      </c>
      <c r="J3415" t="s">
        <v>1951</v>
      </c>
      <c r="K3415" t="s">
        <v>55</v>
      </c>
      <c r="L3415" t="s">
        <v>1952</v>
      </c>
      <c r="M3415" t="s">
        <v>57</v>
      </c>
      <c r="N3415" t="str">
        <f t="shared" si="10"/>
        <v>052597</v>
      </c>
      <c r="O3415" t="s">
        <v>2565</v>
      </c>
      <c r="P3415" t="s">
        <v>68</v>
      </c>
      <c r="Q3415" t="s">
        <v>68</v>
      </c>
      <c r="R3415" t="s">
        <v>68</v>
      </c>
      <c r="S3415" t="s">
        <v>60</v>
      </c>
    </row>
    <row r="3416" spans="1:19" x14ac:dyDescent="0.35">
      <c r="A3416">
        <v>60434</v>
      </c>
      <c r="B3416" t="str">
        <f>"060434"</f>
        <v>060434</v>
      </c>
      <c r="C3416" t="s">
        <v>10536</v>
      </c>
      <c r="D3416" t="s">
        <v>3394</v>
      </c>
      <c r="E3416" t="s">
        <v>9538</v>
      </c>
      <c r="F3416" t="s">
        <v>3396</v>
      </c>
      <c r="G3416" t="s">
        <v>271</v>
      </c>
      <c r="H3416" t="s">
        <v>10543</v>
      </c>
      <c r="I3416" t="s">
        <v>10544</v>
      </c>
      <c r="J3416" t="s">
        <v>3293</v>
      </c>
      <c r="K3416" t="s">
        <v>55</v>
      </c>
      <c r="L3416" t="s">
        <v>3294</v>
      </c>
      <c r="M3416" t="s">
        <v>57</v>
      </c>
      <c r="N3416" t="str">
        <f t="shared" si="10"/>
        <v>052597</v>
      </c>
      <c r="O3416" t="s">
        <v>2565</v>
      </c>
      <c r="P3416" t="s">
        <v>68</v>
      </c>
      <c r="Q3416" t="s">
        <v>68</v>
      </c>
      <c r="R3416" t="s">
        <v>68</v>
      </c>
      <c r="S3416" t="s">
        <v>156</v>
      </c>
    </row>
    <row r="3417" spans="1:19" x14ac:dyDescent="0.35">
      <c r="A3417">
        <v>60491</v>
      </c>
      <c r="B3417" t="str">
        <f>"060491"</f>
        <v>060491</v>
      </c>
      <c r="C3417" t="s">
        <v>10545</v>
      </c>
      <c r="D3417" t="s">
        <v>3394</v>
      </c>
      <c r="E3417" t="s">
        <v>9538</v>
      </c>
      <c r="F3417" t="s">
        <v>3396</v>
      </c>
      <c r="G3417" t="s">
        <v>271</v>
      </c>
      <c r="H3417" t="s">
        <v>10546</v>
      </c>
      <c r="I3417" t="s">
        <v>10547</v>
      </c>
      <c r="J3417" t="s">
        <v>3293</v>
      </c>
      <c r="K3417" t="s">
        <v>55</v>
      </c>
      <c r="L3417" t="s">
        <v>3294</v>
      </c>
      <c r="M3417" t="s">
        <v>57</v>
      </c>
      <c r="N3417" t="str">
        <f t="shared" si="10"/>
        <v>052597</v>
      </c>
      <c r="O3417" t="s">
        <v>2565</v>
      </c>
      <c r="P3417" t="s">
        <v>68</v>
      </c>
      <c r="Q3417" t="s">
        <v>68</v>
      </c>
      <c r="R3417" t="s">
        <v>68</v>
      </c>
      <c r="S3417" t="s">
        <v>156</v>
      </c>
    </row>
    <row r="3418" spans="1:19" x14ac:dyDescent="0.35">
      <c r="A3418">
        <v>60509</v>
      </c>
      <c r="B3418" t="str">
        <f>"060509"</f>
        <v>060509</v>
      </c>
      <c r="C3418" t="s">
        <v>10545</v>
      </c>
      <c r="D3418" t="s">
        <v>3394</v>
      </c>
      <c r="E3418" t="s">
        <v>9538</v>
      </c>
      <c r="F3418" t="s">
        <v>3396</v>
      </c>
      <c r="G3418" t="s">
        <v>63</v>
      </c>
      <c r="H3418" t="s">
        <v>10548</v>
      </c>
      <c r="I3418" t="s">
        <v>10549</v>
      </c>
      <c r="J3418" t="s">
        <v>3051</v>
      </c>
      <c r="K3418" t="s">
        <v>55</v>
      </c>
      <c r="L3418" t="s">
        <v>3052</v>
      </c>
      <c r="M3418" t="s">
        <v>57</v>
      </c>
      <c r="N3418" t="str">
        <f t="shared" si="10"/>
        <v>052597</v>
      </c>
      <c r="O3418" t="s">
        <v>2565</v>
      </c>
      <c r="P3418" t="s">
        <v>68</v>
      </c>
      <c r="Q3418" t="s">
        <v>68</v>
      </c>
      <c r="R3418" t="s">
        <v>68</v>
      </c>
      <c r="S3418" t="s">
        <v>69</v>
      </c>
    </row>
    <row r="3419" spans="1:19" x14ac:dyDescent="0.35">
      <c r="A3419">
        <v>60533</v>
      </c>
      <c r="B3419" t="str">
        <f>"060533"</f>
        <v>060533</v>
      </c>
      <c r="C3419" t="s">
        <v>10550</v>
      </c>
      <c r="D3419" t="s">
        <v>3394</v>
      </c>
      <c r="E3419" t="s">
        <v>9538</v>
      </c>
      <c r="F3419" t="s">
        <v>3396</v>
      </c>
      <c r="G3419" t="s">
        <v>63</v>
      </c>
      <c r="H3419" t="s">
        <v>10551</v>
      </c>
      <c r="I3419" t="s">
        <v>10552</v>
      </c>
      <c r="J3419" t="s">
        <v>871</v>
      </c>
      <c r="K3419" t="s">
        <v>55</v>
      </c>
      <c r="L3419" t="s">
        <v>872</v>
      </c>
      <c r="M3419" t="s">
        <v>57</v>
      </c>
      <c r="N3419" t="str">
        <f>"060533"</f>
        <v>060533</v>
      </c>
      <c r="O3419" t="s">
        <v>10550</v>
      </c>
      <c r="P3419" t="s">
        <v>68</v>
      </c>
      <c r="Q3419" t="s">
        <v>68</v>
      </c>
      <c r="R3419" t="s">
        <v>68</v>
      </c>
      <c r="S3419" t="s">
        <v>69</v>
      </c>
    </row>
    <row r="3420" spans="1:19" x14ac:dyDescent="0.35">
      <c r="A3420">
        <v>60541</v>
      </c>
      <c r="B3420" t="str">
        <f>"060541"</f>
        <v>060541</v>
      </c>
      <c r="C3420" t="s">
        <v>10553</v>
      </c>
      <c r="D3420" t="s">
        <v>3394</v>
      </c>
      <c r="E3420" t="s">
        <v>9538</v>
      </c>
      <c r="F3420" t="s">
        <v>3396</v>
      </c>
      <c r="G3420" t="s">
        <v>200</v>
      </c>
      <c r="H3420" t="s">
        <v>10554</v>
      </c>
      <c r="I3420" t="s">
        <v>10555</v>
      </c>
      <c r="J3420" t="s">
        <v>304</v>
      </c>
      <c r="K3420" t="s">
        <v>55</v>
      </c>
      <c r="L3420" t="s">
        <v>3835</v>
      </c>
      <c r="M3420" t="s">
        <v>57</v>
      </c>
      <c r="N3420" t="str">
        <f>"052597"</f>
        <v>052597</v>
      </c>
      <c r="O3420" t="s">
        <v>2565</v>
      </c>
      <c r="P3420" t="s">
        <v>68</v>
      </c>
      <c r="Q3420" t="s">
        <v>68</v>
      </c>
      <c r="R3420" t="s">
        <v>68</v>
      </c>
      <c r="S3420" t="s">
        <v>156</v>
      </c>
    </row>
    <row r="3421" spans="1:19" x14ac:dyDescent="0.35">
      <c r="A3421">
        <v>60574</v>
      </c>
      <c r="B3421" t="str">
        <f>"060574"</f>
        <v>060574</v>
      </c>
      <c r="C3421" t="s">
        <v>10556</v>
      </c>
      <c r="D3421" t="s">
        <v>3394</v>
      </c>
      <c r="E3421" t="s">
        <v>9538</v>
      </c>
      <c r="F3421" t="s">
        <v>3396</v>
      </c>
      <c r="G3421" t="s">
        <v>63</v>
      </c>
      <c r="H3421" t="s">
        <v>10557</v>
      </c>
      <c r="I3421" t="s">
        <v>10558</v>
      </c>
      <c r="J3421" t="s">
        <v>2869</v>
      </c>
      <c r="K3421" t="s">
        <v>55</v>
      </c>
      <c r="L3421" t="s">
        <v>2870</v>
      </c>
      <c r="M3421" t="s">
        <v>57</v>
      </c>
      <c r="N3421" t="str">
        <f>"052597"</f>
        <v>052597</v>
      </c>
      <c r="O3421" t="s">
        <v>2565</v>
      </c>
      <c r="P3421" t="s">
        <v>68</v>
      </c>
      <c r="Q3421" t="s">
        <v>68</v>
      </c>
      <c r="R3421" t="s">
        <v>68</v>
      </c>
      <c r="S3421" t="s">
        <v>69</v>
      </c>
    </row>
    <row r="3422" spans="1:19" x14ac:dyDescent="0.35">
      <c r="A3422">
        <v>60582</v>
      </c>
      <c r="B3422" t="str">
        <f>"060582"</f>
        <v>060582</v>
      </c>
      <c r="C3422" t="s">
        <v>10559</v>
      </c>
      <c r="D3422" t="s">
        <v>3398</v>
      </c>
      <c r="E3422" t="s">
        <v>9538</v>
      </c>
      <c r="F3422" t="s">
        <v>3396</v>
      </c>
      <c r="G3422" t="s">
        <v>79</v>
      </c>
      <c r="H3422" t="s">
        <v>10560</v>
      </c>
      <c r="I3422" t="s">
        <v>10561</v>
      </c>
      <c r="J3422" t="s">
        <v>82</v>
      </c>
      <c r="K3422" t="s">
        <v>55</v>
      </c>
      <c r="L3422" t="s">
        <v>83</v>
      </c>
      <c r="M3422" t="s">
        <v>57</v>
      </c>
      <c r="N3422" t="str">
        <f>"060582"</f>
        <v>060582</v>
      </c>
      <c r="O3422" t="s">
        <v>10559</v>
      </c>
      <c r="P3422" t="s">
        <v>68</v>
      </c>
      <c r="Q3422" t="s">
        <v>68</v>
      </c>
      <c r="R3422" t="s">
        <v>68</v>
      </c>
      <c r="S3422" t="s">
        <v>69</v>
      </c>
    </row>
    <row r="3423" spans="1:19" x14ac:dyDescent="0.35">
      <c r="A3423">
        <v>60590</v>
      </c>
      <c r="B3423" t="str">
        <f>"060590"</f>
        <v>060590</v>
      </c>
      <c r="C3423" t="s">
        <v>10562</v>
      </c>
      <c r="D3423" t="s">
        <v>3398</v>
      </c>
      <c r="E3423" t="s">
        <v>9538</v>
      </c>
      <c r="F3423" t="s">
        <v>3396</v>
      </c>
      <c r="G3423" t="s">
        <v>212</v>
      </c>
      <c r="H3423" t="s">
        <v>10563</v>
      </c>
      <c r="I3423" t="s">
        <v>10564</v>
      </c>
      <c r="J3423" t="s">
        <v>215</v>
      </c>
      <c r="K3423" t="s">
        <v>55</v>
      </c>
      <c r="L3423" t="s">
        <v>3919</v>
      </c>
      <c r="M3423" t="s">
        <v>57</v>
      </c>
      <c r="N3423" t="str">
        <f>"060590"</f>
        <v>060590</v>
      </c>
      <c r="O3423" t="s">
        <v>10562</v>
      </c>
      <c r="P3423" t="s">
        <v>68</v>
      </c>
      <c r="Q3423" t="s">
        <v>68</v>
      </c>
      <c r="R3423" t="s">
        <v>68</v>
      </c>
      <c r="S3423" t="s">
        <v>217</v>
      </c>
    </row>
    <row r="3424" spans="1:19" x14ac:dyDescent="0.35">
      <c r="A3424">
        <v>60624</v>
      </c>
      <c r="B3424" t="str">
        <f>"060624"</f>
        <v>060624</v>
      </c>
      <c r="C3424" t="s">
        <v>10565</v>
      </c>
      <c r="D3424" t="s">
        <v>3394</v>
      </c>
      <c r="E3424" t="s">
        <v>9538</v>
      </c>
      <c r="F3424" t="s">
        <v>3396</v>
      </c>
      <c r="G3424" t="s">
        <v>212</v>
      </c>
      <c r="H3424" t="s">
        <v>10566</v>
      </c>
      <c r="I3424" t="s">
        <v>10567</v>
      </c>
      <c r="J3424" t="s">
        <v>215</v>
      </c>
      <c r="K3424" t="s">
        <v>55</v>
      </c>
      <c r="L3424" t="s">
        <v>5475</v>
      </c>
      <c r="M3424" t="s">
        <v>57</v>
      </c>
      <c r="N3424" t="str">
        <f>"060624"</f>
        <v>060624</v>
      </c>
      <c r="O3424" t="s">
        <v>10565</v>
      </c>
      <c r="P3424" t="s">
        <v>68</v>
      </c>
      <c r="Q3424" t="s">
        <v>68</v>
      </c>
      <c r="R3424" t="s">
        <v>68</v>
      </c>
      <c r="S3424" t="s">
        <v>217</v>
      </c>
    </row>
    <row r="3425" spans="1:19" x14ac:dyDescent="0.35">
      <c r="A3425">
        <v>60640</v>
      </c>
      <c r="B3425" t="str">
        <f>"060640"</f>
        <v>060640</v>
      </c>
      <c r="C3425" t="s">
        <v>10568</v>
      </c>
      <c r="D3425" t="s">
        <v>3394</v>
      </c>
      <c r="E3425" t="s">
        <v>9538</v>
      </c>
      <c r="F3425" t="s">
        <v>3396</v>
      </c>
      <c r="G3425" t="s">
        <v>117</v>
      </c>
      <c r="H3425" t="s">
        <v>10569</v>
      </c>
      <c r="I3425" t="s">
        <v>10570</v>
      </c>
      <c r="J3425" t="s">
        <v>1409</v>
      </c>
      <c r="K3425" t="s">
        <v>55</v>
      </c>
      <c r="L3425" t="s">
        <v>6280</v>
      </c>
      <c r="M3425" t="s">
        <v>57</v>
      </c>
      <c r="N3425" t="str">
        <f>"000136"</f>
        <v>000136</v>
      </c>
      <c r="O3425" t="s">
        <v>2853</v>
      </c>
      <c r="P3425" t="s">
        <v>68</v>
      </c>
      <c r="Q3425" t="s">
        <v>68</v>
      </c>
      <c r="R3425" t="s">
        <v>68</v>
      </c>
      <c r="S3425" t="s">
        <v>77</v>
      </c>
    </row>
    <row r="3426" spans="1:19" x14ac:dyDescent="0.35">
      <c r="A3426">
        <v>60640</v>
      </c>
      <c r="B3426" t="str">
        <f>"060640"</f>
        <v>060640</v>
      </c>
      <c r="C3426" t="s">
        <v>10568</v>
      </c>
      <c r="D3426" t="s">
        <v>9541</v>
      </c>
      <c r="E3426" t="s">
        <v>9538</v>
      </c>
      <c r="F3426" t="s">
        <v>3396</v>
      </c>
      <c r="G3426" t="s">
        <v>117</v>
      </c>
      <c r="H3426" t="s">
        <v>10569</v>
      </c>
      <c r="I3426" t="s">
        <v>10570</v>
      </c>
      <c r="J3426" t="s">
        <v>1409</v>
      </c>
      <c r="K3426" t="s">
        <v>55</v>
      </c>
      <c r="L3426" t="s">
        <v>6280</v>
      </c>
      <c r="M3426" t="s">
        <v>57</v>
      </c>
      <c r="N3426" t="str">
        <f>"000136"</f>
        <v>000136</v>
      </c>
      <c r="O3426" t="s">
        <v>2853</v>
      </c>
      <c r="P3426" t="s">
        <v>68</v>
      </c>
      <c r="Q3426" t="s">
        <v>68</v>
      </c>
      <c r="R3426" t="s">
        <v>68</v>
      </c>
      <c r="S3426" t="s">
        <v>77</v>
      </c>
    </row>
    <row r="3427" spans="1:19" x14ac:dyDescent="0.35">
      <c r="A3427">
        <v>60657</v>
      </c>
      <c r="B3427" t="str">
        <f>"060657"</f>
        <v>060657</v>
      </c>
      <c r="C3427" t="s">
        <v>10571</v>
      </c>
      <c r="D3427" t="s">
        <v>3394</v>
      </c>
      <c r="E3427" t="s">
        <v>9538</v>
      </c>
      <c r="F3427" t="s">
        <v>3396</v>
      </c>
      <c r="G3427" t="s">
        <v>264</v>
      </c>
      <c r="H3427" t="s">
        <v>10572</v>
      </c>
      <c r="I3427" t="s">
        <v>10573</v>
      </c>
      <c r="J3427" t="s">
        <v>2497</v>
      </c>
      <c r="K3427" t="s">
        <v>55</v>
      </c>
      <c r="L3427" t="s">
        <v>2498</v>
      </c>
      <c r="M3427" t="s">
        <v>57</v>
      </c>
      <c r="N3427" t="str">
        <f>"000129"</f>
        <v>000129</v>
      </c>
      <c r="O3427" t="s">
        <v>1284</v>
      </c>
      <c r="P3427" t="s">
        <v>68</v>
      </c>
      <c r="Q3427" t="s">
        <v>68</v>
      </c>
      <c r="R3427" t="s">
        <v>68</v>
      </c>
      <c r="S3427" t="s">
        <v>77</v>
      </c>
    </row>
    <row r="3428" spans="1:19" x14ac:dyDescent="0.35">
      <c r="A3428">
        <v>60723</v>
      </c>
      <c r="B3428" t="str">
        <f>"060723"</f>
        <v>060723</v>
      </c>
      <c r="C3428" t="s">
        <v>10574</v>
      </c>
      <c r="D3428" t="s">
        <v>3394</v>
      </c>
      <c r="E3428" t="s">
        <v>9538</v>
      </c>
      <c r="F3428" t="s">
        <v>3396</v>
      </c>
      <c r="G3428" t="s">
        <v>63</v>
      </c>
      <c r="H3428" t="s">
        <v>10575</v>
      </c>
      <c r="I3428" t="s">
        <v>10576</v>
      </c>
      <c r="J3428" t="s">
        <v>2334</v>
      </c>
      <c r="K3428" t="s">
        <v>55</v>
      </c>
      <c r="L3428" t="s">
        <v>286</v>
      </c>
      <c r="M3428" t="s">
        <v>57</v>
      </c>
      <c r="N3428" t="str">
        <f t="shared" ref="N3428:N3435" si="11">"000136"</f>
        <v>000136</v>
      </c>
      <c r="O3428" t="s">
        <v>2853</v>
      </c>
      <c r="P3428" t="s">
        <v>68</v>
      </c>
      <c r="Q3428" t="s">
        <v>68</v>
      </c>
      <c r="R3428" t="s">
        <v>68</v>
      </c>
      <c r="S3428" t="s">
        <v>69</v>
      </c>
    </row>
    <row r="3429" spans="1:19" x14ac:dyDescent="0.35">
      <c r="A3429">
        <v>60723</v>
      </c>
      <c r="B3429" t="str">
        <f>"060723"</f>
        <v>060723</v>
      </c>
      <c r="C3429" t="s">
        <v>10574</v>
      </c>
      <c r="D3429" t="s">
        <v>9541</v>
      </c>
      <c r="E3429" t="s">
        <v>9538</v>
      </c>
      <c r="F3429" t="s">
        <v>3396</v>
      </c>
      <c r="G3429" t="s">
        <v>63</v>
      </c>
      <c r="H3429" t="s">
        <v>10575</v>
      </c>
      <c r="I3429" t="s">
        <v>10576</v>
      </c>
      <c r="J3429" t="s">
        <v>2334</v>
      </c>
      <c r="K3429" t="s">
        <v>55</v>
      </c>
      <c r="L3429" t="s">
        <v>286</v>
      </c>
      <c r="M3429" t="s">
        <v>57</v>
      </c>
      <c r="N3429" t="str">
        <f t="shared" si="11"/>
        <v>000136</v>
      </c>
      <c r="O3429" t="s">
        <v>2853</v>
      </c>
      <c r="P3429" t="s">
        <v>68</v>
      </c>
      <c r="Q3429" t="s">
        <v>68</v>
      </c>
      <c r="R3429" t="s">
        <v>68</v>
      </c>
      <c r="S3429" t="s">
        <v>69</v>
      </c>
    </row>
    <row r="3430" spans="1:19" x14ac:dyDescent="0.35">
      <c r="A3430">
        <v>60764</v>
      </c>
      <c r="B3430" t="str">
        <f>"060764"</f>
        <v>060764</v>
      </c>
      <c r="C3430" t="s">
        <v>10577</v>
      </c>
      <c r="D3430" t="s">
        <v>3398</v>
      </c>
      <c r="E3430" t="s">
        <v>9538</v>
      </c>
      <c r="F3430" t="s">
        <v>3396</v>
      </c>
      <c r="G3430" t="s">
        <v>63</v>
      </c>
      <c r="H3430" t="s">
        <v>10578</v>
      </c>
      <c r="I3430" t="s">
        <v>10579</v>
      </c>
      <c r="J3430" t="s">
        <v>101</v>
      </c>
      <c r="K3430" t="s">
        <v>55</v>
      </c>
      <c r="L3430" t="s">
        <v>3032</v>
      </c>
      <c r="M3430" t="s">
        <v>57</v>
      </c>
      <c r="N3430" t="str">
        <f t="shared" si="11"/>
        <v>000136</v>
      </c>
      <c r="O3430" t="s">
        <v>2853</v>
      </c>
      <c r="P3430" t="s">
        <v>68</v>
      </c>
      <c r="Q3430" t="s">
        <v>68</v>
      </c>
      <c r="R3430" t="s">
        <v>68</v>
      </c>
      <c r="S3430" t="s">
        <v>69</v>
      </c>
    </row>
    <row r="3431" spans="1:19" x14ac:dyDescent="0.35">
      <c r="A3431">
        <v>60764</v>
      </c>
      <c r="B3431" t="str">
        <f>"060764"</f>
        <v>060764</v>
      </c>
      <c r="C3431" t="s">
        <v>10577</v>
      </c>
      <c r="D3431" t="s">
        <v>9541</v>
      </c>
      <c r="E3431" t="s">
        <v>9538</v>
      </c>
      <c r="F3431" t="s">
        <v>3396</v>
      </c>
      <c r="G3431" t="s">
        <v>63</v>
      </c>
      <c r="H3431" t="s">
        <v>10578</v>
      </c>
      <c r="I3431" t="s">
        <v>10579</v>
      </c>
      <c r="J3431" t="s">
        <v>101</v>
      </c>
      <c r="K3431" t="s">
        <v>55</v>
      </c>
      <c r="L3431" t="s">
        <v>3032</v>
      </c>
      <c r="M3431" t="s">
        <v>57</v>
      </c>
      <c r="N3431" t="str">
        <f t="shared" si="11"/>
        <v>000136</v>
      </c>
      <c r="O3431" t="s">
        <v>2853</v>
      </c>
      <c r="P3431" t="s">
        <v>68</v>
      </c>
      <c r="Q3431" t="s">
        <v>68</v>
      </c>
      <c r="R3431" t="s">
        <v>68</v>
      </c>
      <c r="S3431" t="s">
        <v>69</v>
      </c>
    </row>
    <row r="3432" spans="1:19" x14ac:dyDescent="0.35">
      <c r="A3432">
        <v>60806</v>
      </c>
      <c r="B3432" t="str">
        <f>"060806"</f>
        <v>060806</v>
      </c>
      <c r="C3432" t="s">
        <v>10580</v>
      </c>
      <c r="D3432" t="s">
        <v>3398</v>
      </c>
      <c r="E3432" t="s">
        <v>9538</v>
      </c>
      <c r="F3432" t="s">
        <v>3396</v>
      </c>
      <c r="G3432" t="s">
        <v>200</v>
      </c>
      <c r="H3432" t="s">
        <v>10581</v>
      </c>
      <c r="I3432" t="s">
        <v>10582</v>
      </c>
      <c r="J3432" t="s">
        <v>304</v>
      </c>
      <c r="K3432" t="s">
        <v>55</v>
      </c>
      <c r="L3432" t="s">
        <v>3835</v>
      </c>
      <c r="M3432" t="s">
        <v>57</v>
      </c>
      <c r="N3432" t="str">
        <f t="shared" si="11"/>
        <v>000136</v>
      </c>
      <c r="O3432" t="s">
        <v>2853</v>
      </c>
      <c r="P3432" t="s">
        <v>68</v>
      </c>
      <c r="Q3432" t="s">
        <v>68</v>
      </c>
      <c r="R3432" t="s">
        <v>68</v>
      </c>
      <c r="S3432" t="s">
        <v>156</v>
      </c>
    </row>
    <row r="3433" spans="1:19" x14ac:dyDescent="0.35">
      <c r="A3433">
        <v>60806</v>
      </c>
      <c r="B3433" t="str">
        <f>"060806"</f>
        <v>060806</v>
      </c>
      <c r="C3433" t="s">
        <v>10580</v>
      </c>
      <c r="D3433" t="s">
        <v>9541</v>
      </c>
      <c r="E3433" t="s">
        <v>9538</v>
      </c>
      <c r="F3433" t="s">
        <v>3396</v>
      </c>
      <c r="G3433" t="s">
        <v>200</v>
      </c>
      <c r="H3433" t="s">
        <v>10581</v>
      </c>
      <c r="I3433" t="s">
        <v>10582</v>
      </c>
      <c r="J3433" t="s">
        <v>304</v>
      </c>
      <c r="K3433" t="s">
        <v>55</v>
      </c>
      <c r="L3433" t="s">
        <v>3835</v>
      </c>
      <c r="M3433" t="s">
        <v>57</v>
      </c>
      <c r="N3433" t="str">
        <f t="shared" si="11"/>
        <v>000136</v>
      </c>
      <c r="O3433" t="s">
        <v>2853</v>
      </c>
      <c r="P3433" t="s">
        <v>68</v>
      </c>
      <c r="Q3433" t="s">
        <v>68</v>
      </c>
      <c r="R3433" t="s">
        <v>68</v>
      </c>
      <c r="S3433" t="s">
        <v>156</v>
      </c>
    </row>
    <row r="3434" spans="1:19" x14ac:dyDescent="0.35">
      <c r="A3434">
        <v>60848</v>
      </c>
      <c r="B3434" t="str">
        <f>"060848"</f>
        <v>060848</v>
      </c>
      <c r="C3434" t="s">
        <v>10583</v>
      </c>
      <c r="D3434" t="s">
        <v>3394</v>
      </c>
      <c r="E3434" t="s">
        <v>9538</v>
      </c>
      <c r="F3434" t="s">
        <v>3396</v>
      </c>
      <c r="G3434" t="s">
        <v>264</v>
      </c>
      <c r="H3434" t="s">
        <v>10584</v>
      </c>
      <c r="I3434" t="s">
        <v>10585</v>
      </c>
      <c r="J3434" t="s">
        <v>10586</v>
      </c>
      <c r="K3434" t="s">
        <v>55</v>
      </c>
      <c r="L3434" t="s">
        <v>10587</v>
      </c>
      <c r="M3434" t="s">
        <v>57</v>
      </c>
      <c r="N3434" t="str">
        <f t="shared" si="11"/>
        <v>000136</v>
      </c>
      <c r="O3434" t="s">
        <v>2853</v>
      </c>
      <c r="P3434" t="s">
        <v>68</v>
      </c>
      <c r="Q3434" t="s">
        <v>68</v>
      </c>
      <c r="R3434" t="s">
        <v>68</v>
      </c>
      <c r="S3434" t="s">
        <v>77</v>
      </c>
    </row>
    <row r="3435" spans="1:19" x14ac:dyDescent="0.35">
      <c r="A3435">
        <v>60848</v>
      </c>
      <c r="B3435" t="str">
        <f>"060848"</f>
        <v>060848</v>
      </c>
      <c r="C3435" t="s">
        <v>10583</v>
      </c>
      <c r="D3435" t="s">
        <v>9541</v>
      </c>
      <c r="E3435" t="s">
        <v>9538</v>
      </c>
      <c r="F3435" t="s">
        <v>3396</v>
      </c>
      <c r="G3435" t="s">
        <v>264</v>
      </c>
      <c r="H3435" t="s">
        <v>10584</v>
      </c>
      <c r="I3435" t="s">
        <v>10585</v>
      </c>
      <c r="J3435" t="s">
        <v>10586</v>
      </c>
      <c r="K3435" t="s">
        <v>55</v>
      </c>
      <c r="L3435" t="s">
        <v>10587</v>
      </c>
      <c r="M3435" t="s">
        <v>57</v>
      </c>
      <c r="N3435" t="str">
        <f t="shared" si="11"/>
        <v>000136</v>
      </c>
      <c r="O3435" t="s">
        <v>2853</v>
      </c>
      <c r="P3435" t="s">
        <v>68</v>
      </c>
      <c r="Q3435" t="s">
        <v>68</v>
      </c>
      <c r="R3435" t="s">
        <v>68</v>
      </c>
      <c r="S3435" t="s">
        <v>77</v>
      </c>
    </row>
    <row r="3436" spans="1:19" x14ac:dyDescent="0.35">
      <c r="A3436">
        <v>60863</v>
      </c>
      <c r="B3436" t="str">
        <f>"060863"</f>
        <v>060863</v>
      </c>
      <c r="C3436" t="s">
        <v>10588</v>
      </c>
      <c r="D3436" t="s">
        <v>3394</v>
      </c>
      <c r="E3436" t="s">
        <v>9538</v>
      </c>
      <c r="F3436" t="s">
        <v>3396</v>
      </c>
      <c r="G3436" t="s">
        <v>400</v>
      </c>
      <c r="H3436" t="s">
        <v>10589</v>
      </c>
      <c r="I3436" t="s">
        <v>10590</v>
      </c>
      <c r="J3436" t="s">
        <v>9366</v>
      </c>
      <c r="K3436" t="s">
        <v>55</v>
      </c>
      <c r="L3436" t="s">
        <v>9367</v>
      </c>
      <c r="M3436" t="s">
        <v>57</v>
      </c>
      <c r="N3436" t="str">
        <f>"060863"</f>
        <v>060863</v>
      </c>
      <c r="O3436" t="s">
        <v>10588</v>
      </c>
      <c r="P3436" t="s">
        <v>68</v>
      </c>
      <c r="Q3436" t="s">
        <v>68</v>
      </c>
      <c r="R3436" t="s">
        <v>68</v>
      </c>
      <c r="S3436" t="s">
        <v>156</v>
      </c>
    </row>
    <row r="3437" spans="1:19" x14ac:dyDescent="0.35">
      <c r="A3437">
        <v>60889</v>
      </c>
      <c r="B3437" t="str">
        <f>"060889"</f>
        <v>060889</v>
      </c>
      <c r="C3437" t="s">
        <v>10591</v>
      </c>
      <c r="D3437" t="s">
        <v>3394</v>
      </c>
      <c r="E3437" t="s">
        <v>9538</v>
      </c>
      <c r="F3437" t="s">
        <v>3396</v>
      </c>
      <c r="G3437" t="s">
        <v>821</v>
      </c>
      <c r="H3437" t="s">
        <v>10592</v>
      </c>
      <c r="I3437" t="s">
        <v>10593</v>
      </c>
      <c r="J3437" t="s">
        <v>10594</v>
      </c>
      <c r="K3437" t="s">
        <v>55</v>
      </c>
      <c r="L3437" t="s">
        <v>10595</v>
      </c>
      <c r="M3437" t="s">
        <v>57</v>
      </c>
      <c r="N3437" t="str">
        <f>"060889"</f>
        <v>060889</v>
      </c>
      <c r="O3437" t="s">
        <v>10591</v>
      </c>
      <c r="P3437" t="s">
        <v>68</v>
      </c>
      <c r="Q3437" t="s">
        <v>68</v>
      </c>
      <c r="R3437" t="s">
        <v>68</v>
      </c>
      <c r="S3437" t="s">
        <v>156</v>
      </c>
    </row>
    <row r="3438" spans="1:19" x14ac:dyDescent="0.35">
      <c r="A3438">
        <v>60905</v>
      </c>
      <c r="B3438" t="str">
        <f>"060905"</f>
        <v>060905</v>
      </c>
      <c r="C3438" t="s">
        <v>10596</v>
      </c>
      <c r="D3438" t="s">
        <v>3394</v>
      </c>
      <c r="E3438" t="s">
        <v>9538</v>
      </c>
      <c r="F3438" t="s">
        <v>3396</v>
      </c>
      <c r="G3438" t="s">
        <v>63</v>
      </c>
      <c r="H3438" t="s">
        <v>10597</v>
      </c>
      <c r="I3438" t="s">
        <v>10598</v>
      </c>
      <c r="J3438" t="s">
        <v>101</v>
      </c>
      <c r="K3438" t="s">
        <v>55</v>
      </c>
      <c r="L3438" t="s">
        <v>3032</v>
      </c>
      <c r="M3438" t="s">
        <v>57</v>
      </c>
      <c r="N3438" t="str">
        <f>"000136"</f>
        <v>000136</v>
      </c>
      <c r="O3438" t="s">
        <v>2853</v>
      </c>
      <c r="P3438" t="s">
        <v>68</v>
      </c>
      <c r="Q3438" t="s">
        <v>68</v>
      </c>
      <c r="R3438" t="s">
        <v>68</v>
      </c>
      <c r="S3438" t="s">
        <v>69</v>
      </c>
    </row>
    <row r="3439" spans="1:19" x14ac:dyDescent="0.35">
      <c r="A3439">
        <v>60905</v>
      </c>
      <c r="B3439" t="str">
        <f>"060905"</f>
        <v>060905</v>
      </c>
      <c r="C3439" t="s">
        <v>10596</v>
      </c>
      <c r="D3439" t="s">
        <v>9541</v>
      </c>
      <c r="E3439" t="s">
        <v>9538</v>
      </c>
      <c r="F3439" t="s">
        <v>3396</v>
      </c>
      <c r="G3439" t="s">
        <v>63</v>
      </c>
      <c r="H3439" t="s">
        <v>10597</v>
      </c>
      <c r="I3439" t="s">
        <v>10598</v>
      </c>
      <c r="J3439" t="s">
        <v>101</v>
      </c>
      <c r="K3439" t="s">
        <v>55</v>
      </c>
      <c r="L3439" t="s">
        <v>3032</v>
      </c>
      <c r="M3439" t="s">
        <v>57</v>
      </c>
      <c r="N3439" t="str">
        <f>"000136"</f>
        <v>000136</v>
      </c>
      <c r="O3439" t="s">
        <v>2853</v>
      </c>
      <c r="P3439" t="s">
        <v>68</v>
      </c>
      <c r="Q3439" t="s">
        <v>68</v>
      </c>
      <c r="R3439" t="s">
        <v>68</v>
      </c>
      <c r="S3439" t="s">
        <v>69</v>
      </c>
    </row>
    <row r="3440" spans="1:19" x14ac:dyDescent="0.35">
      <c r="A3440">
        <v>60921</v>
      </c>
      <c r="B3440" t="str">
        <f>"060921"</f>
        <v>060921</v>
      </c>
      <c r="C3440" t="s">
        <v>10545</v>
      </c>
      <c r="D3440" t="s">
        <v>3394</v>
      </c>
      <c r="E3440" t="s">
        <v>9538</v>
      </c>
      <c r="F3440" t="s">
        <v>3396</v>
      </c>
      <c r="G3440" t="s">
        <v>600</v>
      </c>
      <c r="H3440" t="s">
        <v>10599</v>
      </c>
      <c r="I3440" t="s">
        <v>10600</v>
      </c>
      <c r="J3440" t="s">
        <v>1348</v>
      </c>
      <c r="K3440" t="s">
        <v>55</v>
      </c>
      <c r="L3440" t="s">
        <v>8325</v>
      </c>
      <c r="M3440" t="s">
        <v>57</v>
      </c>
      <c r="N3440" t="str">
        <f>"060921"</f>
        <v>060921</v>
      </c>
      <c r="O3440" t="s">
        <v>10545</v>
      </c>
      <c r="P3440" t="s">
        <v>68</v>
      </c>
      <c r="Q3440" t="s">
        <v>68</v>
      </c>
      <c r="R3440" t="s">
        <v>68</v>
      </c>
      <c r="S3440" t="s">
        <v>60</v>
      </c>
    </row>
    <row r="3441" spans="1:19" x14ac:dyDescent="0.35">
      <c r="A3441">
        <v>60947</v>
      </c>
      <c r="B3441" t="str">
        <f>"060947"</f>
        <v>060947</v>
      </c>
      <c r="C3441" t="s">
        <v>10601</v>
      </c>
      <c r="D3441" t="s">
        <v>3394</v>
      </c>
      <c r="E3441" t="s">
        <v>9538</v>
      </c>
      <c r="F3441" t="s">
        <v>3396</v>
      </c>
      <c r="G3441" t="s">
        <v>511</v>
      </c>
      <c r="H3441" t="s">
        <v>10602</v>
      </c>
      <c r="I3441" t="s">
        <v>10603</v>
      </c>
      <c r="J3441" t="s">
        <v>2044</v>
      </c>
      <c r="K3441" t="s">
        <v>55</v>
      </c>
      <c r="L3441" t="s">
        <v>2045</v>
      </c>
      <c r="M3441" t="s">
        <v>57</v>
      </c>
      <c r="N3441" t="str">
        <f>"052522"</f>
        <v>052522</v>
      </c>
      <c r="O3441" t="s">
        <v>605</v>
      </c>
      <c r="P3441" t="s">
        <v>68</v>
      </c>
      <c r="Q3441" t="s">
        <v>68</v>
      </c>
      <c r="R3441" t="s">
        <v>68</v>
      </c>
      <c r="S3441" t="s">
        <v>69</v>
      </c>
    </row>
    <row r="3442" spans="1:19" x14ac:dyDescent="0.35">
      <c r="A3442">
        <v>60954</v>
      </c>
      <c r="B3442" t="str">
        <f>"060954"</f>
        <v>060954</v>
      </c>
      <c r="C3442" t="s">
        <v>10407</v>
      </c>
      <c r="D3442" t="s">
        <v>3394</v>
      </c>
      <c r="E3442" t="s">
        <v>9538</v>
      </c>
      <c r="F3442" t="s">
        <v>3396</v>
      </c>
      <c r="G3442" t="s">
        <v>406</v>
      </c>
      <c r="H3442" t="s">
        <v>10604</v>
      </c>
      <c r="I3442" t="s">
        <v>10605</v>
      </c>
      <c r="J3442" t="s">
        <v>406</v>
      </c>
      <c r="K3442" t="s">
        <v>55</v>
      </c>
      <c r="L3442" t="s">
        <v>409</v>
      </c>
      <c r="M3442" t="s">
        <v>57</v>
      </c>
      <c r="N3442" t="str">
        <f>"052522"</f>
        <v>052522</v>
      </c>
      <c r="O3442" t="s">
        <v>605</v>
      </c>
      <c r="P3442" t="s">
        <v>68</v>
      </c>
      <c r="Q3442" t="s">
        <v>68</v>
      </c>
      <c r="R3442" t="s">
        <v>68</v>
      </c>
      <c r="S3442" t="s">
        <v>77</v>
      </c>
    </row>
    <row r="3443" spans="1:19" x14ac:dyDescent="0.35">
      <c r="A3443">
        <v>60962</v>
      </c>
      <c r="B3443" t="str">
        <f>"060962"</f>
        <v>060962</v>
      </c>
      <c r="C3443" t="s">
        <v>10606</v>
      </c>
      <c r="D3443" t="s">
        <v>3394</v>
      </c>
      <c r="E3443" t="s">
        <v>9538</v>
      </c>
      <c r="F3443" t="s">
        <v>3396</v>
      </c>
      <c r="G3443" t="s">
        <v>264</v>
      </c>
      <c r="H3443" t="s">
        <v>10607</v>
      </c>
      <c r="I3443" t="s">
        <v>10608</v>
      </c>
      <c r="J3443" t="s">
        <v>267</v>
      </c>
      <c r="K3443" t="s">
        <v>55</v>
      </c>
      <c r="L3443" t="s">
        <v>4045</v>
      </c>
      <c r="M3443" t="s">
        <v>57</v>
      </c>
      <c r="N3443" t="str">
        <f>"052522"</f>
        <v>052522</v>
      </c>
      <c r="O3443" t="s">
        <v>605</v>
      </c>
      <c r="P3443" t="s">
        <v>68</v>
      </c>
      <c r="Q3443" t="s">
        <v>68</v>
      </c>
      <c r="R3443" t="s">
        <v>68</v>
      </c>
      <c r="S3443" t="s">
        <v>77</v>
      </c>
    </row>
    <row r="3444" spans="1:19" x14ac:dyDescent="0.35">
      <c r="A3444">
        <v>60962</v>
      </c>
      <c r="B3444" t="str">
        <f>"060962"</f>
        <v>060962</v>
      </c>
      <c r="C3444" t="s">
        <v>10606</v>
      </c>
      <c r="D3444" t="s">
        <v>3929</v>
      </c>
      <c r="E3444" t="s">
        <v>9538</v>
      </c>
      <c r="F3444" t="s">
        <v>3396</v>
      </c>
      <c r="G3444" t="s">
        <v>264</v>
      </c>
      <c r="H3444" t="s">
        <v>10607</v>
      </c>
      <c r="I3444" t="s">
        <v>10608</v>
      </c>
      <c r="J3444" t="s">
        <v>267</v>
      </c>
      <c r="K3444" t="s">
        <v>55</v>
      </c>
      <c r="L3444" t="s">
        <v>4045</v>
      </c>
      <c r="M3444" t="s">
        <v>57</v>
      </c>
      <c r="N3444" t="str">
        <f>"052522"</f>
        <v>052522</v>
      </c>
      <c r="O3444" t="s">
        <v>605</v>
      </c>
      <c r="P3444" t="s">
        <v>68</v>
      </c>
      <c r="Q3444" t="s">
        <v>68</v>
      </c>
      <c r="R3444" t="s">
        <v>68</v>
      </c>
      <c r="S3444" t="s">
        <v>77</v>
      </c>
    </row>
    <row r="3445" spans="1:19" x14ac:dyDescent="0.35">
      <c r="A3445">
        <v>61218</v>
      </c>
      <c r="B3445" t="str">
        <f>"061218"</f>
        <v>061218</v>
      </c>
      <c r="C3445" t="s">
        <v>10609</v>
      </c>
      <c r="D3445" t="s">
        <v>3394</v>
      </c>
      <c r="E3445" t="s">
        <v>3395</v>
      </c>
      <c r="F3445" t="s">
        <v>3396</v>
      </c>
      <c r="G3445" t="s">
        <v>543</v>
      </c>
      <c r="H3445" t="s">
        <v>10610</v>
      </c>
      <c r="I3445" t="s">
        <v>10611</v>
      </c>
      <c r="J3445" t="s">
        <v>1858</v>
      </c>
      <c r="K3445" t="s">
        <v>55</v>
      </c>
      <c r="L3445" t="s">
        <v>4246</v>
      </c>
      <c r="M3445" t="s">
        <v>57</v>
      </c>
      <c r="N3445" t="str">
        <f>"043737"</f>
        <v>043737</v>
      </c>
      <c r="O3445" t="s">
        <v>1855</v>
      </c>
      <c r="P3445" t="s">
        <v>68</v>
      </c>
      <c r="Q3445">
        <v>17</v>
      </c>
      <c r="R3445">
        <v>24.5</v>
      </c>
      <c r="S3445" t="s">
        <v>180</v>
      </c>
    </row>
    <row r="3446" spans="1:19" x14ac:dyDescent="0.35">
      <c r="A3446">
        <v>61275</v>
      </c>
      <c r="B3446" t="str">
        <f>"061275"</f>
        <v>061275</v>
      </c>
      <c r="C3446" t="s">
        <v>10612</v>
      </c>
      <c r="D3446" t="s">
        <v>3394</v>
      </c>
      <c r="E3446" t="s">
        <v>3395</v>
      </c>
      <c r="F3446" t="s">
        <v>3396</v>
      </c>
      <c r="G3446" t="s">
        <v>212</v>
      </c>
      <c r="H3446" t="s">
        <v>10613</v>
      </c>
      <c r="I3446" t="s">
        <v>10614</v>
      </c>
      <c r="J3446" t="s">
        <v>215</v>
      </c>
      <c r="K3446" t="s">
        <v>55</v>
      </c>
      <c r="L3446" t="s">
        <v>1693</v>
      </c>
      <c r="M3446" t="s">
        <v>57</v>
      </c>
      <c r="N3446" t="str">
        <f>"044313"</f>
        <v>044313</v>
      </c>
      <c r="O3446" t="s">
        <v>1690</v>
      </c>
      <c r="P3446" t="s">
        <v>68</v>
      </c>
      <c r="Q3446">
        <v>8.1</v>
      </c>
      <c r="R3446">
        <v>12.099999999999994</v>
      </c>
      <c r="S3446" t="s">
        <v>217</v>
      </c>
    </row>
    <row r="3447" spans="1:19" x14ac:dyDescent="0.35">
      <c r="A3447">
        <v>61291</v>
      </c>
      <c r="B3447" t="str">
        <f>"061291"</f>
        <v>061291</v>
      </c>
      <c r="C3447" t="s">
        <v>10615</v>
      </c>
      <c r="D3447" t="s">
        <v>3400</v>
      </c>
      <c r="E3447" t="s">
        <v>3395</v>
      </c>
      <c r="F3447" t="s">
        <v>3396</v>
      </c>
      <c r="G3447" t="s">
        <v>264</v>
      </c>
      <c r="H3447" t="s">
        <v>10616</v>
      </c>
      <c r="I3447" t="s">
        <v>10617</v>
      </c>
      <c r="J3447" t="s">
        <v>7991</v>
      </c>
      <c r="K3447" t="s">
        <v>55</v>
      </c>
      <c r="L3447" t="s">
        <v>7992</v>
      </c>
      <c r="M3447" t="s">
        <v>57</v>
      </c>
      <c r="N3447" t="str">
        <f>"044834"</f>
        <v>044834</v>
      </c>
      <c r="O3447" t="s">
        <v>1207</v>
      </c>
      <c r="P3447" t="s">
        <v>68</v>
      </c>
      <c r="Q3447">
        <v>34.4</v>
      </c>
      <c r="R3447">
        <v>17.700000000000003</v>
      </c>
      <c r="S3447" t="s">
        <v>77</v>
      </c>
    </row>
    <row r="3448" spans="1:19" x14ac:dyDescent="0.35">
      <c r="A3448">
        <v>61309</v>
      </c>
      <c r="B3448" t="str">
        <f>"061309"</f>
        <v>061309</v>
      </c>
      <c r="C3448" t="s">
        <v>10618</v>
      </c>
      <c r="D3448" t="s">
        <v>3506</v>
      </c>
      <c r="E3448" t="s">
        <v>3395</v>
      </c>
      <c r="F3448" t="s">
        <v>3396</v>
      </c>
      <c r="G3448" t="s">
        <v>200</v>
      </c>
      <c r="H3448" t="s">
        <v>10619</v>
      </c>
      <c r="I3448" t="s">
        <v>10620</v>
      </c>
      <c r="J3448" t="s">
        <v>203</v>
      </c>
      <c r="K3448" t="s">
        <v>55</v>
      </c>
      <c r="L3448" t="s">
        <v>204</v>
      </c>
      <c r="M3448" t="s">
        <v>57</v>
      </c>
      <c r="N3448" t="str">
        <f>"044875"</f>
        <v>044875</v>
      </c>
      <c r="O3448" t="s">
        <v>521</v>
      </c>
      <c r="P3448" t="s">
        <v>68</v>
      </c>
      <c r="Q3448">
        <v>36.200000000000003</v>
      </c>
      <c r="R3448">
        <v>26.400000000000006</v>
      </c>
      <c r="S3448" t="s">
        <v>156</v>
      </c>
    </row>
    <row r="3449" spans="1:19" x14ac:dyDescent="0.35">
      <c r="A3449">
        <v>61317</v>
      </c>
      <c r="B3449" t="str">
        <f>"061317"</f>
        <v>061317</v>
      </c>
      <c r="C3449" t="s">
        <v>10621</v>
      </c>
      <c r="D3449" t="s">
        <v>3398</v>
      </c>
      <c r="E3449" t="s">
        <v>3395</v>
      </c>
      <c r="F3449" t="s">
        <v>3396</v>
      </c>
      <c r="G3449" t="s">
        <v>143</v>
      </c>
      <c r="H3449" t="s">
        <v>10622</v>
      </c>
      <c r="I3449" t="s">
        <v>10623</v>
      </c>
      <c r="J3449" t="s">
        <v>1969</v>
      </c>
      <c r="K3449" t="s">
        <v>55</v>
      </c>
      <c r="L3449" t="s">
        <v>1970</v>
      </c>
      <c r="M3449" t="s">
        <v>57</v>
      </c>
      <c r="N3449" t="str">
        <f>"045658"</f>
        <v>045658</v>
      </c>
      <c r="O3449" t="s">
        <v>1966</v>
      </c>
      <c r="P3449" t="s">
        <v>68</v>
      </c>
      <c r="Q3449">
        <v>28.5</v>
      </c>
      <c r="R3449">
        <v>13.799999999999997</v>
      </c>
      <c r="S3449" t="s">
        <v>69</v>
      </c>
    </row>
    <row r="3450" spans="1:19" x14ac:dyDescent="0.35">
      <c r="A3450">
        <v>61325</v>
      </c>
      <c r="B3450" t="str">
        <f>"061325"</f>
        <v>061325</v>
      </c>
      <c r="C3450" t="s">
        <v>10624</v>
      </c>
      <c r="D3450" t="s">
        <v>3398</v>
      </c>
      <c r="E3450" t="s">
        <v>3395</v>
      </c>
      <c r="F3450" t="s">
        <v>3396</v>
      </c>
      <c r="G3450" t="s">
        <v>600</v>
      </c>
      <c r="H3450" t="s">
        <v>10625</v>
      </c>
      <c r="I3450" t="s">
        <v>10626</v>
      </c>
      <c r="J3450" t="s">
        <v>1136</v>
      </c>
      <c r="K3450" t="s">
        <v>55</v>
      </c>
      <c r="L3450" t="s">
        <v>1137</v>
      </c>
      <c r="M3450" t="s">
        <v>57</v>
      </c>
      <c r="N3450" t="str">
        <f>"044800"</f>
        <v>044800</v>
      </c>
      <c r="O3450" t="s">
        <v>1133</v>
      </c>
      <c r="P3450" t="s">
        <v>68</v>
      </c>
      <c r="Q3450">
        <v>24.9</v>
      </c>
      <c r="R3450">
        <v>18.900000000000006</v>
      </c>
      <c r="S3450" t="s">
        <v>60</v>
      </c>
    </row>
    <row r="3451" spans="1:19" x14ac:dyDescent="0.35">
      <c r="A3451">
        <v>61333</v>
      </c>
      <c r="B3451" t="str">
        <f>"061333"</f>
        <v>061333</v>
      </c>
      <c r="C3451" t="s">
        <v>10627</v>
      </c>
      <c r="D3451" t="s">
        <v>3398</v>
      </c>
      <c r="E3451" t="s">
        <v>3395</v>
      </c>
      <c r="F3451" t="s">
        <v>3396</v>
      </c>
      <c r="G3451" t="s">
        <v>600</v>
      </c>
      <c r="H3451" t="s">
        <v>10628</v>
      </c>
      <c r="I3451" t="s">
        <v>10629</v>
      </c>
      <c r="J3451" t="s">
        <v>3466</v>
      </c>
      <c r="K3451" t="s">
        <v>55</v>
      </c>
      <c r="L3451" t="s">
        <v>3467</v>
      </c>
      <c r="M3451" t="s">
        <v>57</v>
      </c>
      <c r="N3451" t="str">
        <f>"044800"</f>
        <v>044800</v>
      </c>
      <c r="O3451" t="s">
        <v>1133</v>
      </c>
      <c r="P3451" t="s">
        <v>68</v>
      </c>
      <c r="Q3451">
        <v>69.900000000000006</v>
      </c>
      <c r="R3451">
        <v>66.7</v>
      </c>
      <c r="S3451" t="s">
        <v>60</v>
      </c>
    </row>
    <row r="3452" spans="1:19" x14ac:dyDescent="0.35">
      <c r="A3452">
        <v>61358</v>
      </c>
      <c r="B3452" t="str">
        <f>"061358"</f>
        <v>061358</v>
      </c>
      <c r="C3452" t="s">
        <v>10630</v>
      </c>
      <c r="D3452" t="s">
        <v>3394</v>
      </c>
      <c r="E3452" t="s">
        <v>3395</v>
      </c>
      <c r="F3452" t="s">
        <v>3396</v>
      </c>
      <c r="G3452" t="s">
        <v>600</v>
      </c>
      <c r="H3452" t="s">
        <v>10631</v>
      </c>
      <c r="I3452" t="s">
        <v>10632</v>
      </c>
      <c r="J3452" t="s">
        <v>2690</v>
      </c>
      <c r="K3452" t="s">
        <v>55</v>
      </c>
      <c r="L3452" t="s">
        <v>2691</v>
      </c>
      <c r="M3452" t="s">
        <v>57</v>
      </c>
      <c r="N3452" t="str">
        <f>"045047"</f>
        <v>045047</v>
      </c>
      <c r="O3452" t="s">
        <v>2687</v>
      </c>
      <c r="P3452" t="s">
        <v>68</v>
      </c>
      <c r="Q3452">
        <v>38.799999999999997</v>
      </c>
      <c r="R3452">
        <v>50.2</v>
      </c>
      <c r="S3452" t="s">
        <v>60</v>
      </c>
    </row>
    <row r="3453" spans="1:19" x14ac:dyDescent="0.35">
      <c r="A3453">
        <v>61366</v>
      </c>
      <c r="B3453" t="str">
        <f>"061366"</f>
        <v>061366</v>
      </c>
      <c r="C3453" t="s">
        <v>10633</v>
      </c>
      <c r="D3453" t="s">
        <v>3394</v>
      </c>
      <c r="E3453" t="s">
        <v>3395</v>
      </c>
      <c r="F3453" t="s">
        <v>3396</v>
      </c>
      <c r="G3453" t="s">
        <v>821</v>
      </c>
      <c r="H3453" t="s">
        <v>10634</v>
      </c>
      <c r="I3453" t="s">
        <v>10635</v>
      </c>
      <c r="J3453" t="s">
        <v>1427</v>
      </c>
      <c r="K3453" t="s">
        <v>55</v>
      </c>
      <c r="L3453" t="s">
        <v>1428</v>
      </c>
      <c r="M3453" t="s">
        <v>57</v>
      </c>
      <c r="N3453" t="str">
        <f>"043984"</f>
        <v>043984</v>
      </c>
      <c r="O3453" t="s">
        <v>1424</v>
      </c>
      <c r="P3453" t="s">
        <v>68</v>
      </c>
      <c r="Q3453">
        <v>39.1</v>
      </c>
      <c r="R3453">
        <v>22.599999999999994</v>
      </c>
      <c r="S3453" t="s">
        <v>156</v>
      </c>
    </row>
    <row r="3454" spans="1:19" x14ac:dyDescent="0.35">
      <c r="A3454">
        <v>61382</v>
      </c>
      <c r="B3454" t="str">
        <f>"061382"</f>
        <v>061382</v>
      </c>
      <c r="C3454" t="s">
        <v>10636</v>
      </c>
      <c r="D3454" t="s">
        <v>3394</v>
      </c>
      <c r="E3454" t="s">
        <v>3395</v>
      </c>
      <c r="F3454" t="s">
        <v>3396</v>
      </c>
      <c r="G3454" t="s">
        <v>543</v>
      </c>
      <c r="H3454" t="s">
        <v>10637</v>
      </c>
      <c r="I3454" t="s">
        <v>10638</v>
      </c>
      <c r="J3454" t="s">
        <v>3061</v>
      </c>
      <c r="K3454" t="s">
        <v>55</v>
      </c>
      <c r="L3454" t="s">
        <v>3062</v>
      </c>
      <c r="M3454" t="s">
        <v>57</v>
      </c>
      <c r="N3454" t="str">
        <f>"044958"</f>
        <v>044958</v>
      </c>
      <c r="O3454" t="s">
        <v>3058</v>
      </c>
      <c r="P3454" t="s">
        <v>68</v>
      </c>
      <c r="Q3454">
        <v>37.299999999999997</v>
      </c>
      <c r="R3454">
        <v>29</v>
      </c>
      <c r="S3454" t="s">
        <v>180</v>
      </c>
    </row>
    <row r="3455" spans="1:19" x14ac:dyDescent="0.35">
      <c r="A3455">
        <v>61432</v>
      </c>
      <c r="B3455" t="str">
        <f>"061432"</f>
        <v>061432</v>
      </c>
      <c r="C3455" t="s">
        <v>10639</v>
      </c>
      <c r="D3455" t="s">
        <v>3400</v>
      </c>
      <c r="E3455" t="s">
        <v>3395</v>
      </c>
      <c r="F3455" t="s">
        <v>3396</v>
      </c>
      <c r="G3455" t="s">
        <v>406</v>
      </c>
      <c r="H3455" t="s">
        <v>10640</v>
      </c>
      <c r="I3455" t="s">
        <v>10641</v>
      </c>
      <c r="J3455" t="s">
        <v>8242</v>
      </c>
      <c r="K3455" t="s">
        <v>55</v>
      </c>
      <c r="L3455" t="s">
        <v>8243</v>
      </c>
      <c r="M3455" t="s">
        <v>57</v>
      </c>
      <c r="N3455" t="str">
        <f>"048488"</f>
        <v>048488</v>
      </c>
      <c r="O3455" t="s">
        <v>2164</v>
      </c>
      <c r="P3455" t="s">
        <v>68</v>
      </c>
      <c r="Q3455">
        <v>33.5</v>
      </c>
      <c r="R3455">
        <v>8</v>
      </c>
      <c r="S3455" t="s">
        <v>77</v>
      </c>
    </row>
    <row r="3456" spans="1:19" x14ac:dyDescent="0.35">
      <c r="A3456">
        <v>61457</v>
      </c>
      <c r="B3456" t="str">
        <f>"061457"</f>
        <v>061457</v>
      </c>
      <c r="C3456" t="s">
        <v>10642</v>
      </c>
      <c r="D3456" t="s">
        <v>3400</v>
      </c>
      <c r="E3456" t="s">
        <v>3395</v>
      </c>
      <c r="F3456" t="s">
        <v>3396</v>
      </c>
      <c r="G3456" t="s">
        <v>901</v>
      </c>
      <c r="H3456" t="s">
        <v>10643</v>
      </c>
      <c r="I3456" t="s">
        <v>10644</v>
      </c>
      <c r="J3456" t="s">
        <v>904</v>
      </c>
      <c r="K3456" t="s">
        <v>55</v>
      </c>
      <c r="L3456" t="s">
        <v>905</v>
      </c>
      <c r="M3456" t="s">
        <v>57</v>
      </c>
      <c r="N3456" t="str">
        <f>"044420"</f>
        <v>044420</v>
      </c>
      <c r="O3456" t="s">
        <v>2345</v>
      </c>
      <c r="P3456" t="s">
        <v>68</v>
      </c>
      <c r="Q3456">
        <v>43.3</v>
      </c>
      <c r="R3456">
        <v>10.400000000000006</v>
      </c>
      <c r="S3456" t="s">
        <v>60</v>
      </c>
    </row>
    <row r="3457" spans="1:19" x14ac:dyDescent="0.35">
      <c r="A3457">
        <v>61465</v>
      </c>
      <c r="B3457" t="str">
        <f>"061465"</f>
        <v>061465</v>
      </c>
      <c r="C3457" t="s">
        <v>10645</v>
      </c>
      <c r="D3457" t="s">
        <v>3394</v>
      </c>
      <c r="E3457" t="s">
        <v>3395</v>
      </c>
      <c r="F3457" t="s">
        <v>3396</v>
      </c>
      <c r="G3457" t="s">
        <v>901</v>
      </c>
      <c r="H3457" t="s">
        <v>10646</v>
      </c>
      <c r="I3457" t="s">
        <v>10647</v>
      </c>
      <c r="J3457" t="s">
        <v>904</v>
      </c>
      <c r="K3457" t="s">
        <v>55</v>
      </c>
      <c r="L3457" t="s">
        <v>905</v>
      </c>
      <c r="M3457" t="s">
        <v>57</v>
      </c>
      <c r="N3457" t="str">
        <f>"044420"</f>
        <v>044420</v>
      </c>
      <c r="O3457" t="s">
        <v>2345</v>
      </c>
      <c r="P3457" t="s">
        <v>68</v>
      </c>
      <c r="Q3457">
        <v>97.4</v>
      </c>
      <c r="R3457">
        <v>8.0999999999999943</v>
      </c>
      <c r="S3457" t="s">
        <v>60</v>
      </c>
    </row>
    <row r="3458" spans="1:19" x14ac:dyDescent="0.35">
      <c r="A3458">
        <v>61473</v>
      </c>
      <c r="B3458" t="str">
        <f>"061473"</f>
        <v>061473</v>
      </c>
      <c r="C3458" t="s">
        <v>10648</v>
      </c>
      <c r="D3458" t="s">
        <v>3394</v>
      </c>
      <c r="E3458" t="s">
        <v>3395</v>
      </c>
      <c r="F3458" t="s">
        <v>3396</v>
      </c>
      <c r="G3458" t="s">
        <v>264</v>
      </c>
      <c r="H3458" t="s">
        <v>10649</v>
      </c>
      <c r="I3458" t="s">
        <v>10650</v>
      </c>
      <c r="J3458" t="s">
        <v>886</v>
      </c>
      <c r="K3458" t="s">
        <v>55</v>
      </c>
      <c r="L3458" t="s">
        <v>887</v>
      </c>
      <c r="M3458" t="s">
        <v>57</v>
      </c>
      <c r="N3458" t="str">
        <f>"050047"</f>
        <v>050047</v>
      </c>
      <c r="O3458" t="s">
        <v>883</v>
      </c>
      <c r="P3458" t="s">
        <v>68</v>
      </c>
      <c r="Q3458">
        <v>15.8</v>
      </c>
      <c r="R3458">
        <v>20.5</v>
      </c>
      <c r="S3458" t="s">
        <v>77</v>
      </c>
    </row>
    <row r="3459" spans="1:19" x14ac:dyDescent="0.35">
      <c r="A3459">
        <v>61481</v>
      </c>
      <c r="B3459" t="str">
        <f>"061481"</f>
        <v>061481</v>
      </c>
      <c r="C3459" t="s">
        <v>10651</v>
      </c>
      <c r="D3459" t="s">
        <v>3394</v>
      </c>
      <c r="E3459" t="s">
        <v>3395</v>
      </c>
      <c r="F3459" t="s">
        <v>3396</v>
      </c>
      <c r="G3459" t="s">
        <v>264</v>
      </c>
      <c r="H3459" t="s">
        <v>10652</v>
      </c>
      <c r="I3459" t="s">
        <v>10653</v>
      </c>
      <c r="J3459" t="s">
        <v>3386</v>
      </c>
      <c r="K3459" t="s">
        <v>55</v>
      </c>
      <c r="L3459" t="s">
        <v>3387</v>
      </c>
      <c r="M3459" t="s">
        <v>57</v>
      </c>
      <c r="N3459" t="str">
        <f>"050070"</f>
        <v>050070</v>
      </c>
      <c r="O3459" t="s">
        <v>3383</v>
      </c>
      <c r="P3459" t="s">
        <v>68</v>
      </c>
      <c r="Q3459">
        <v>20.8</v>
      </c>
      <c r="R3459">
        <v>47.9</v>
      </c>
      <c r="S3459" t="s">
        <v>77</v>
      </c>
    </row>
    <row r="3460" spans="1:19" x14ac:dyDescent="0.35">
      <c r="A3460">
        <v>61499</v>
      </c>
      <c r="B3460" t="str">
        <f>"061499"</f>
        <v>061499</v>
      </c>
      <c r="C3460" t="s">
        <v>10654</v>
      </c>
      <c r="D3460" t="s">
        <v>3400</v>
      </c>
      <c r="E3460" t="s">
        <v>3395</v>
      </c>
      <c r="F3460" t="s">
        <v>3396</v>
      </c>
      <c r="G3460" t="s">
        <v>226</v>
      </c>
      <c r="H3460" t="s">
        <v>10655</v>
      </c>
      <c r="I3460" t="s">
        <v>10656</v>
      </c>
      <c r="J3460" t="s">
        <v>1257</v>
      </c>
      <c r="K3460" t="s">
        <v>55</v>
      </c>
      <c r="L3460" t="s">
        <v>1258</v>
      </c>
      <c r="M3460" t="s">
        <v>57</v>
      </c>
      <c r="N3460" t="str">
        <f>"050674"</f>
        <v>050674</v>
      </c>
      <c r="O3460" t="s">
        <v>1254</v>
      </c>
      <c r="P3460" t="s">
        <v>68</v>
      </c>
      <c r="Q3460">
        <v>25.1</v>
      </c>
      <c r="R3460">
        <v>8.7000000000000028</v>
      </c>
      <c r="S3460" t="s">
        <v>156</v>
      </c>
    </row>
    <row r="3461" spans="1:19" x14ac:dyDescent="0.35">
      <c r="A3461">
        <v>61507</v>
      </c>
      <c r="B3461" t="str">
        <f>"061507"</f>
        <v>061507</v>
      </c>
      <c r="C3461" t="s">
        <v>7423</v>
      </c>
      <c r="D3461" t="s">
        <v>3394</v>
      </c>
      <c r="E3461" t="s">
        <v>3395</v>
      </c>
      <c r="F3461" t="s">
        <v>3396</v>
      </c>
      <c r="G3461" t="s">
        <v>543</v>
      </c>
      <c r="H3461" t="s">
        <v>10657</v>
      </c>
      <c r="I3461" t="s">
        <v>10658</v>
      </c>
      <c r="J3461" t="s">
        <v>687</v>
      </c>
      <c r="K3461" t="s">
        <v>55</v>
      </c>
      <c r="L3461" t="s">
        <v>10659</v>
      </c>
      <c r="M3461" t="s">
        <v>57</v>
      </c>
      <c r="N3461" t="str">
        <f>"048728"</f>
        <v>048728</v>
      </c>
      <c r="O3461" t="s">
        <v>2876</v>
      </c>
      <c r="P3461" t="s">
        <v>68</v>
      </c>
      <c r="Q3461">
        <v>49.5</v>
      </c>
      <c r="R3461">
        <v>48.9</v>
      </c>
      <c r="S3461" t="s">
        <v>180</v>
      </c>
    </row>
    <row r="3462" spans="1:19" x14ac:dyDescent="0.35">
      <c r="A3462">
        <v>61515</v>
      </c>
      <c r="B3462" t="str">
        <f>"061515"</f>
        <v>061515</v>
      </c>
      <c r="C3462" t="s">
        <v>10660</v>
      </c>
      <c r="D3462" t="s">
        <v>3543</v>
      </c>
      <c r="E3462" t="s">
        <v>3395</v>
      </c>
      <c r="F3462" t="s">
        <v>3396</v>
      </c>
      <c r="G3462" t="s">
        <v>63</v>
      </c>
      <c r="H3462" t="s">
        <v>10661</v>
      </c>
      <c r="I3462" t="s">
        <v>6762</v>
      </c>
      <c r="J3462" t="s">
        <v>10662</v>
      </c>
      <c r="K3462" t="s">
        <v>55</v>
      </c>
      <c r="L3462" t="s">
        <v>2291</v>
      </c>
      <c r="M3462" t="s">
        <v>57</v>
      </c>
      <c r="N3462" t="str">
        <f>"044370"</f>
        <v>044370</v>
      </c>
      <c r="O3462" t="s">
        <v>2456</v>
      </c>
      <c r="P3462" t="s">
        <v>68</v>
      </c>
      <c r="Q3462" t="s">
        <v>68</v>
      </c>
      <c r="R3462" t="s">
        <v>68</v>
      </c>
      <c r="S3462" t="s">
        <v>69</v>
      </c>
    </row>
    <row r="3463" spans="1:19" x14ac:dyDescent="0.35">
      <c r="A3463">
        <v>61523</v>
      </c>
      <c r="B3463" t="str">
        <f>"061523"</f>
        <v>061523</v>
      </c>
      <c r="C3463" t="s">
        <v>8787</v>
      </c>
      <c r="D3463" t="s">
        <v>3394</v>
      </c>
      <c r="E3463" t="s">
        <v>3395</v>
      </c>
      <c r="F3463" t="s">
        <v>3396</v>
      </c>
      <c r="G3463" t="s">
        <v>543</v>
      </c>
      <c r="H3463" t="s">
        <v>10663</v>
      </c>
      <c r="I3463" t="s">
        <v>10664</v>
      </c>
      <c r="J3463" t="s">
        <v>1252</v>
      </c>
      <c r="K3463" t="s">
        <v>55</v>
      </c>
      <c r="L3463" t="s">
        <v>1253</v>
      </c>
      <c r="M3463" t="s">
        <v>57</v>
      </c>
      <c r="N3463" t="str">
        <f>"048751"</f>
        <v>048751</v>
      </c>
      <c r="O3463" t="s">
        <v>1249</v>
      </c>
      <c r="P3463" t="s">
        <v>68</v>
      </c>
      <c r="Q3463">
        <v>50</v>
      </c>
      <c r="R3463">
        <v>52.2</v>
      </c>
      <c r="S3463" t="s">
        <v>180</v>
      </c>
    </row>
    <row r="3464" spans="1:19" x14ac:dyDescent="0.35">
      <c r="A3464">
        <v>61549</v>
      </c>
      <c r="B3464" t="str">
        <f>"061549"</f>
        <v>061549</v>
      </c>
      <c r="C3464" t="s">
        <v>10665</v>
      </c>
      <c r="D3464" t="s">
        <v>3394</v>
      </c>
      <c r="E3464" t="s">
        <v>3395</v>
      </c>
      <c r="F3464" t="s">
        <v>3396</v>
      </c>
      <c r="G3464" t="s">
        <v>600</v>
      </c>
      <c r="H3464" t="s">
        <v>10666</v>
      </c>
      <c r="I3464" t="s">
        <v>10667</v>
      </c>
      <c r="J3464" t="s">
        <v>1081</v>
      </c>
      <c r="K3464" t="s">
        <v>55</v>
      </c>
      <c r="L3464" t="s">
        <v>1082</v>
      </c>
      <c r="M3464" t="s">
        <v>57</v>
      </c>
      <c r="N3464" t="str">
        <f>"046979"</f>
        <v>046979</v>
      </c>
      <c r="O3464" t="s">
        <v>1587</v>
      </c>
      <c r="P3464" t="s">
        <v>68</v>
      </c>
      <c r="Q3464">
        <v>72</v>
      </c>
      <c r="R3464">
        <v>65.3</v>
      </c>
      <c r="S3464" t="s">
        <v>60</v>
      </c>
    </row>
    <row r="3465" spans="1:19" x14ac:dyDescent="0.35">
      <c r="A3465">
        <v>61556</v>
      </c>
      <c r="B3465" t="str">
        <f>"061556"</f>
        <v>061556</v>
      </c>
      <c r="C3465" t="s">
        <v>10668</v>
      </c>
      <c r="D3465" t="s">
        <v>3394</v>
      </c>
      <c r="E3465" t="s">
        <v>3395</v>
      </c>
      <c r="F3465" t="s">
        <v>3396</v>
      </c>
      <c r="G3465" t="s">
        <v>600</v>
      </c>
      <c r="H3465" t="s">
        <v>10669</v>
      </c>
      <c r="I3465" t="s">
        <v>10670</v>
      </c>
      <c r="J3465" t="s">
        <v>1348</v>
      </c>
      <c r="K3465" t="s">
        <v>55</v>
      </c>
      <c r="L3465" t="s">
        <v>3568</v>
      </c>
      <c r="M3465" t="s">
        <v>57</v>
      </c>
      <c r="N3465" t="str">
        <f>"046979"</f>
        <v>046979</v>
      </c>
      <c r="O3465" t="s">
        <v>1587</v>
      </c>
      <c r="P3465" t="s">
        <v>68</v>
      </c>
      <c r="Q3465">
        <v>69.599999999999994</v>
      </c>
      <c r="R3465">
        <v>73.7</v>
      </c>
      <c r="S3465" t="s">
        <v>60</v>
      </c>
    </row>
    <row r="3466" spans="1:19" x14ac:dyDescent="0.35">
      <c r="A3466">
        <v>61572</v>
      </c>
      <c r="B3466" t="str">
        <f>"061572"</f>
        <v>061572</v>
      </c>
      <c r="C3466" t="s">
        <v>10671</v>
      </c>
      <c r="D3466" t="s">
        <v>3400</v>
      </c>
      <c r="E3466" t="s">
        <v>3395</v>
      </c>
      <c r="F3466" t="s">
        <v>3396</v>
      </c>
      <c r="G3466" t="s">
        <v>175</v>
      </c>
      <c r="H3466" t="s">
        <v>3513</v>
      </c>
      <c r="I3466" t="s">
        <v>3514</v>
      </c>
      <c r="J3466" t="s">
        <v>379</v>
      </c>
      <c r="K3466" t="s">
        <v>55</v>
      </c>
      <c r="L3466" t="s">
        <v>380</v>
      </c>
      <c r="M3466" t="s">
        <v>57</v>
      </c>
      <c r="N3466" t="str">
        <f>"046623"</f>
        <v>046623</v>
      </c>
      <c r="O3466" t="s">
        <v>376</v>
      </c>
      <c r="P3466" t="s">
        <v>68</v>
      </c>
      <c r="Q3466">
        <v>37.200000000000003</v>
      </c>
      <c r="R3466">
        <v>3.2999999999999972</v>
      </c>
      <c r="S3466" t="s">
        <v>180</v>
      </c>
    </row>
    <row r="3467" spans="1:19" x14ac:dyDescent="0.35">
      <c r="A3467">
        <v>61598</v>
      </c>
      <c r="B3467" t="str">
        <f>"061598"</f>
        <v>061598</v>
      </c>
      <c r="C3467" t="s">
        <v>10672</v>
      </c>
      <c r="D3467" t="s">
        <v>3400</v>
      </c>
      <c r="E3467" t="s">
        <v>3395</v>
      </c>
      <c r="F3467" t="s">
        <v>3396</v>
      </c>
      <c r="G3467" t="s">
        <v>1551</v>
      </c>
      <c r="H3467" t="s">
        <v>10673</v>
      </c>
      <c r="I3467" t="s">
        <v>10674</v>
      </c>
      <c r="J3467" t="s">
        <v>1593</v>
      </c>
      <c r="K3467" t="s">
        <v>55</v>
      </c>
      <c r="L3467" t="s">
        <v>1594</v>
      </c>
      <c r="M3467" t="s">
        <v>57</v>
      </c>
      <c r="N3467" t="str">
        <f>"049056"</f>
        <v>049056</v>
      </c>
      <c r="O3467" t="s">
        <v>1590</v>
      </c>
      <c r="P3467" t="s">
        <v>68</v>
      </c>
      <c r="Q3467">
        <v>27</v>
      </c>
      <c r="R3467">
        <v>4.2999999999999972</v>
      </c>
      <c r="S3467" t="s">
        <v>130</v>
      </c>
    </row>
    <row r="3468" spans="1:19" x14ac:dyDescent="0.35">
      <c r="A3468">
        <v>61614</v>
      </c>
      <c r="B3468" t="str">
        <f>"061614"</f>
        <v>061614</v>
      </c>
      <c r="C3468" t="s">
        <v>10675</v>
      </c>
      <c r="D3468" t="s">
        <v>3400</v>
      </c>
      <c r="E3468" t="s">
        <v>3395</v>
      </c>
      <c r="F3468" t="s">
        <v>3396</v>
      </c>
      <c r="G3468" t="s">
        <v>172</v>
      </c>
      <c r="H3468" t="s">
        <v>10676</v>
      </c>
      <c r="I3468" t="s">
        <v>10677</v>
      </c>
      <c r="J3468" t="s">
        <v>682</v>
      </c>
      <c r="K3468" t="s">
        <v>55</v>
      </c>
      <c r="L3468" t="s">
        <v>683</v>
      </c>
      <c r="M3468" t="s">
        <v>57</v>
      </c>
      <c r="N3468" t="str">
        <f>"050468"</f>
        <v>050468</v>
      </c>
      <c r="O3468" t="s">
        <v>679</v>
      </c>
      <c r="P3468" t="s">
        <v>68</v>
      </c>
      <c r="Q3468">
        <v>12.7</v>
      </c>
      <c r="R3468">
        <v>9.2999999999999972</v>
      </c>
      <c r="S3468" t="s">
        <v>217</v>
      </c>
    </row>
    <row r="3469" spans="1:19" x14ac:dyDescent="0.35">
      <c r="A3469">
        <v>61622</v>
      </c>
      <c r="B3469" t="str">
        <f>"061622"</f>
        <v>061622</v>
      </c>
      <c r="C3469" t="s">
        <v>10678</v>
      </c>
      <c r="D3469" t="s">
        <v>3400</v>
      </c>
      <c r="E3469" t="s">
        <v>3395</v>
      </c>
      <c r="F3469" t="s">
        <v>3396</v>
      </c>
      <c r="G3469" t="s">
        <v>187</v>
      </c>
      <c r="H3469" t="s">
        <v>10679</v>
      </c>
      <c r="I3469" t="s">
        <v>10680</v>
      </c>
      <c r="J3469" t="s">
        <v>309</v>
      </c>
      <c r="K3469" t="s">
        <v>55</v>
      </c>
      <c r="L3469" t="s">
        <v>310</v>
      </c>
      <c r="M3469" t="s">
        <v>57</v>
      </c>
      <c r="N3469" t="str">
        <f>"050591"</f>
        <v>050591</v>
      </c>
      <c r="O3469" t="s">
        <v>522</v>
      </c>
      <c r="P3469" t="s">
        <v>68</v>
      </c>
      <c r="Q3469">
        <v>30.8</v>
      </c>
      <c r="R3469">
        <v>6.7000000000000028</v>
      </c>
      <c r="S3469" t="s">
        <v>77</v>
      </c>
    </row>
    <row r="3470" spans="1:19" x14ac:dyDescent="0.35">
      <c r="A3470">
        <v>61630</v>
      </c>
      <c r="B3470" t="str">
        <f>"061630"</f>
        <v>061630</v>
      </c>
      <c r="C3470" t="s">
        <v>10681</v>
      </c>
      <c r="D3470" t="s">
        <v>3506</v>
      </c>
      <c r="E3470" t="s">
        <v>3395</v>
      </c>
      <c r="F3470" t="s">
        <v>3396</v>
      </c>
      <c r="G3470" t="s">
        <v>92</v>
      </c>
      <c r="H3470" t="s">
        <v>10682</v>
      </c>
      <c r="I3470" t="s">
        <v>10683</v>
      </c>
      <c r="J3470" t="s">
        <v>1940</v>
      </c>
      <c r="K3470" t="s">
        <v>55</v>
      </c>
      <c r="L3470" t="s">
        <v>1941</v>
      </c>
      <c r="M3470" t="s">
        <v>57</v>
      </c>
      <c r="N3470" t="str">
        <f>"044206"</f>
        <v>044206</v>
      </c>
      <c r="O3470" t="s">
        <v>2980</v>
      </c>
      <c r="P3470" t="s">
        <v>68</v>
      </c>
      <c r="Q3470">
        <v>50.8</v>
      </c>
      <c r="R3470">
        <v>12</v>
      </c>
      <c r="S3470" t="s">
        <v>60</v>
      </c>
    </row>
    <row r="3471" spans="1:19" x14ac:dyDescent="0.35">
      <c r="A3471">
        <v>61655</v>
      </c>
      <c r="B3471" t="str">
        <f>"061655"</f>
        <v>061655</v>
      </c>
      <c r="C3471" t="s">
        <v>10684</v>
      </c>
      <c r="D3471" t="s">
        <v>3506</v>
      </c>
      <c r="E3471" t="s">
        <v>3395</v>
      </c>
      <c r="F3471" t="s">
        <v>3396</v>
      </c>
      <c r="G3471" t="s">
        <v>92</v>
      </c>
      <c r="H3471" t="s">
        <v>10685</v>
      </c>
      <c r="I3471" t="s">
        <v>10686</v>
      </c>
      <c r="J3471" t="s">
        <v>1940</v>
      </c>
      <c r="K3471" t="s">
        <v>55</v>
      </c>
      <c r="L3471" t="s">
        <v>1941</v>
      </c>
      <c r="M3471" t="s">
        <v>57</v>
      </c>
      <c r="N3471" t="str">
        <f>"044206"</f>
        <v>044206</v>
      </c>
      <c r="O3471" t="s">
        <v>2980</v>
      </c>
      <c r="P3471" t="s">
        <v>68</v>
      </c>
      <c r="Q3471">
        <v>51.7</v>
      </c>
      <c r="R3471">
        <v>14.599999999999994</v>
      </c>
      <c r="S3471" t="s">
        <v>60</v>
      </c>
    </row>
    <row r="3472" spans="1:19" x14ac:dyDescent="0.35">
      <c r="A3472">
        <v>61663</v>
      </c>
      <c r="B3472" t="str">
        <f>"061663"</f>
        <v>061663</v>
      </c>
      <c r="C3472" t="s">
        <v>10687</v>
      </c>
      <c r="D3472" t="s">
        <v>3394</v>
      </c>
      <c r="E3472" t="s">
        <v>3395</v>
      </c>
      <c r="F3472" t="s">
        <v>3396</v>
      </c>
      <c r="G3472" t="s">
        <v>481</v>
      </c>
      <c r="H3472" t="s">
        <v>10688</v>
      </c>
      <c r="I3472" t="s">
        <v>10689</v>
      </c>
      <c r="J3472" t="s">
        <v>484</v>
      </c>
      <c r="K3472" t="s">
        <v>55</v>
      </c>
      <c r="L3472" t="s">
        <v>485</v>
      </c>
      <c r="M3472" t="s">
        <v>57</v>
      </c>
      <c r="N3472" t="str">
        <f>"045492"</f>
        <v>045492</v>
      </c>
      <c r="O3472" t="s">
        <v>3003</v>
      </c>
      <c r="P3472" t="s">
        <v>68</v>
      </c>
      <c r="Q3472">
        <v>20.9</v>
      </c>
      <c r="R3472">
        <v>15.299999999999997</v>
      </c>
      <c r="S3472" t="s">
        <v>69</v>
      </c>
    </row>
    <row r="3473" spans="1:19" x14ac:dyDescent="0.35">
      <c r="A3473">
        <v>61671</v>
      </c>
      <c r="B3473" t="str">
        <f>"061671"</f>
        <v>061671</v>
      </c>
      <c r="C3473" t="s">
        <v>10690</v>
      </c>
      <c r="D3473" t="s">
        <v>3400</v>
      </c>
      <c r="E3473" t="s">
        <v>3395</v>
      </c>
      <c r="F3473" t="s">
        <v>3396</v>
      </c>
      <c r="G3473" t="s">
        <v>481</v>
      </c>
      <c r="H3473" t="s">
        <v>10691</v>
      </c>
      <c r="I3473" t="s">
        <v>10692</v>
      </c>
      <c r="J3473" t="s">
        <v>484</v>
      </c>
      <c r="K3473" t="s">
        <v>55</v>
      </c>
      <c r="L3473" t="s">
        <v>485</v>
      </c>
      <c r="M3473" t="s">
        <v>57</v>
      </c>
      <c r="N3473" t="str">
        <f>"045492"</f>
        <v>045492</v>
      </c>
      <c r="O3473" t="s">
        <v>3003</v>
      </c>
      <c r="P3473" t="s">
        <v>68</v>
      </c>
      <c r="Q3473">
        <v>37.9</v>
      </c>
      <c r="R3473">
        <v>16.599999999999994</v>
      </c>
      <c r="S3473" t="s">
        <v>69</v>
      </c>
    </row>
    <row r="3474" spans="1:19" x14ac:dyDescent="0.35">
      <c r="A3474">
        <v>61697</v>
      </c>
      <c r="B3474" t="str">
        <f>"061697"</f>
        <v>061697</v>
      </c>
      <c r="C3474" t="s">
        <v>10693</v>
      </c>
      <c r="D3474" t="s">
        <v>3394</v>
      </c>
      <c r="E3474" t="s">
        <v>3395</v>
      </c>
      <c r="F3474" t="s">
        <v>3396</v>
      </c>
      <c r="G3474" t="s">
        <v>244</v>
      </c>
      <c r="H3474" t="s">
        <v>10694</v>
      </c>
      <c r="I3474" t="s">
        <v>10695</v>
      </c>
      <c r="J3474" t="s">
        <v>247</v>
      </c>
      <c r="K3474" t="s">
        <v>55</v>
      </c>
      <c r="L3474" t="s">
        <v>248</v>
      </c>
      <c r="M3474" t="s">
        <v>57</v>
      </c>
      <c r="N3474" t="str">
        <f>"046094"</f>
        <v>046094</v>
      </c>
      <c r="O3474" t="s">
        <v>243</v>
      </c>
      <c r="P3474" t="s">
        <v>68</v>
      </c>
      <c r="Q3474">
        <v>46.5</v>
      </c>
      <c r="R3474">
        <v>14.5</v>
      </c>
      <c r="S3474" t="s">
        <v>217</v>
      </c>
    </row>
    <row r="3475" spans="1:19" x14ac:dyDescent="0.35">
      <c r="A3475">
        <v>61705</v>
      </c>
      <c r="B3475" t="str">
        <f>"061705"</f>
        <v>061705</v>
      </c>
      <c r="C3475" t="s">
        <v>10696</v>
      </c>
      <c r="D3475" t="s">
        <v>3394</v>
      </c>
      <c r="E3475" t="s">
        <v>3395</v>
      </c>
      <c r="F3475" t="s">
        <v>3396</v>
      </c>
      <c r="G3475" t="s">
        <v>777</v>
      </c>
      <c r="H3475" t="s">
        <v>10697</v>
      </c>
      <c r="I3475" t="s">
        <v>10698</v>
      </c>
      <c r="J3475" t="s">
        <v>780</v>
      </c>
      <c r="K3475" t="s">
        <v>55</v>
      </c>
      <c r="L3475" t="s">
        <v>6175</v>
      </c>
      <c r="M3475" t="s">
        <v>57</v>
      </c>
      <c r="N3475" t="str">
        <f>"046250"</f>
        <v>046250</v>
      </c>
      <c r="O3475" t="s">
        <v>776</v>
      </c>
      <c r="P3475" t="s">
        <v>68</v>
      </c>
      <c r="Q3475">
        <v>36.200000000000003</v>
      </c>
      <c r="R3475">
        <v>11.599999999999994</v>
      </c>
      <c r="S3475" t="s">
        <v>180</v>
      </c>
    </row>
    <row r="3476" spans="1:19" x14ac:dyDescent="0.35">
      <c r="A3476">
        <v>61713</v>
      </c>
      <c r="B3476" t="str">
        <f>"061713"</f>
        <v>061713</v>
      </c>
      <c r="C3476" t="s">
        <v>10699</v>
      </c>
      <c r="D3476" t="s">
        <v>3394</v>
      </c>
      <c r="E3476" t="s">
        <v>3395</v>
      </c>
      <c r="F3476" t="s">
        <v>3396</v>
      </c>
      <c r="G3476" t="s">
        <v>777</v>
      </c>
      <c r="H3476" t="s">
        <v>7369</v>
      </c>
      <c r="I3476" t="s">
        <v>7370</v>
      </c>
      <c r="J3476" t="s">
        <v>7371</v>
      </c>
      <c r="K3476" t="s">
        <v>55</v>
      </c>
      <c r="L3476" t="s">
        <v>7372</v>
      </c>
      <c r="M3476" t="s">
        <v>57</v>
      </c>
      <c r="N3476" t="str">
        <f>"046250"</f>
        <v>046250</v>
      </c>
      <c r="O3476" t="s">
        <v>776</v>
      </c>
      <c r="P3476" t="s">
        <v>68</v>
      </c>
      <c r="Q3476">
        <v>35.799999999999997</v>
      </c>
      <c r="R3476">
        <v>2.5</v>
      </c>
      <c r="S3476" t="s">
        <v>180</v>
      </c>
    </row>
    <row r="3477" spans="1:19" x14ac:dyDescent="0.35">
      <c r="A3477">
        <v>61804</v>
      </c>
      <c r="B3477" t="str">
        <f>"061804"</f>
        <v>061804</v>
      </c>
      <c r="C3477" t="s">
        <v>10700</v>
      </c>
      <c r="D3477" t="s">
        <v>3394</v>
      </c>
      <c r="E3477" t="s">
        <v>3395</v>
      </c>
      <c r="F3477" t="s">
        <v>3396</v>
      </c>
      <c r="G3477" t="s">
        <v>117</v>
      </c>
      <c r="H3477" t="s">
        <v>10701</v>
      </c>
      <c r="I3477" t="s">
        <v>10702</v>
      </c>
      <c r="J3477" t="s">
        <v>1409</v>
      </c>
      <c r="K3477" t="s">
        <v>55</v>
      </c>
      <c r="L3477" t="s">
        <v>6784</v>
      </c>
      <c r="M3477" t="s">
        <v>57</v>
      </c>
      <c r="N3477" t="str">
        <f>"049833"</f>
        <v>049833</v>
      </c>
      <c r="O3477" t="s">
        <v>1983</v>
      </c>
      <c r="P3477" t="s">
        <v>68</v>
      </c>
      <c r="Q3477">
        <v>100</v>
      </c>
      <c r="R3477">
        <v>21.799999999999997</v>
      </c>
      <c r="S3477" t="s">
        <v>77</v>
      </c>
    </row>
    <row r="3478" spans="1:19" x14ac:dyDescent="0.35">
      <c r="A3478">
        <v>61812</v>
      </c>
      <c r="B3478" t="str">
        <f>"061812"</f>
        <v>061812</v>
      </c>
      <c r="C3478" t="s">
        <v>10703</v>
      </c>
      <c r="D3478" t="s">
        <v>3398</v>
      </c>
      <c r="E3478" t="s">
        <v>3395</v>
      </c>
      <c r="F3478" t="s">
        <v>3396</v>
      </c>
      <c r="G3478" t="s">
        <v>117</v>
      </c>
      <c r="H3478" t="s">
        <v>10704</v>
      </c>
      <c r="I3478" t="s">
        <v>10705</v>
      </c>
      <c r="J3478" t="s">
        <v>160</v>
      </c>
      <c r="K3478" t="s">
        <v>55</v>
      </c>
      <c r="L3478" t="s">
        <v>161</v>
      </c>
      <c r="M3478" t="s">
        <v>57</v>
      </c>
      <c r="N3478" t="str">
        <f>"049866"</f>
        <v>049866</v>
      </c>
      <c r="O3478" t="s">
        <v>157</v>
      </c>
      <c r="P3478" t="s">
        <v>68</v>
      </c>
      <c r="Q3478">
        <v>13.1</v>
      </c>
      <c r="R3478">
        <v>6.0999999999999943</v>
      </c>
      <c r="S3478" t="s">
        <v>77</v>
      </c>
    </row>
    <row r="3479" spans="1:19" x14ac:dyDescent="0.35">
      <c r="A3479">
        <v>61820</v>
      </c>
      <c r="B3479" t="str">
        <f>"061820"</f>
        <v>061820</v>
      </c>
      <c r="C3479" t="s">
        <v>10706</v>
      </c>
      <c r="D3479" t="s">
        <v>3400</v>
      </c>
      <c r="E3479" t="s">
        <v>3395</v>
      </c>
      <c r="F3479" t="s">
        <v>3396</v>
      </c>
      <c r="G3479" t="s">
        <v>117</v>
      </c>
      <c r="H3479" t="s">
        <v>10707</v>
      </c>
      <c r="I3479" t="s">
        <v>10708</v>
      </c>
      <c r="J3479" t="s">
        <v>120</v>
      </c>
      <c r="K3479" t="s">
        <v>55</v>
      </c>
      <c r="L3479" t="s">
        <v>121</v>
      </c>
      <c r="M3479" t="s">
        <v>57</v>
      </c>
      <c r="N3479" t="str">
        <f>"049882"</f>
        <v>049882</v>
      </c>
      <c r="O3479" t="s">
        <v>116</v>
      </c>
      <c r="P3479" t="s">
        <v>68</v>
      </c>
      <c r="Q3479">
        <v>37.6</v>
      </c>
      <c r="R3479">
        <v>9.0999999999999943</v>
      </c>
      <c r="S3479" t="s">
        <v>77</v>
      </c>
    </row>
    <row r="3480" spans="1:19" x14ac:dyDescent="0.35">
      <c r="A3480">
        <v>61838</v>
      </c>
      <c r="B3480" t="str">
        <f>"061838"</f>
        <v>061838</v>
      </c>
      <c r="C3480" t="s">
        <v>10709</v>
      </c>
      <c r="D3480" t="s">
        <v>3394</v>
      </c>
      <c r="E3480" t="s">
        <v>3395</v>
      </c>
      <c r="F3480" t="s">
        <v>3396</v>
      </c>
      <c r="G3480" t="s">
        <v>117</v>
      </c>
      <c r="H3480" t="s">
        <v>10710</v>
      </c>
      <c r="I3480" t="s">
        <v>10711</v>
      </c>
      <c r="J3480" t="s">
        <v>1409</v>
      </c>
      <c r="K3480" t="s">
        <v>55</v>
      </c>
      <c r="L3480" t="s">
        <v>6784</v>
      </c>
      <c r="M3480" t="s">
        <v>57</v>
      </c>
      <c r="N3480" t="str">
        <f>"049924"</f>
        <v>049924</v>
      </c>
      <c r="O3480" t="s">
        <v>1548</v>
      </c>
      <c r="P3480" t="s">
        <v>68</v>
      </c>
      <c r="Q3480">
        <v>32.6</v>
      </c>
      <c r="R3480">
        <v>13.200000000000003</v>
      </c>
      <c r="S3480" t="s">
        <v>77</v>
      </c>
    </row>
    <row r="3481" spans="1:19" x14ac:dyDescent="0.35">
      <c r="A3481">
        <v>61846</v>
      </c>
      <c r="B3481" t="str">
        <f>"061846"</f>
        <v>061846</v>
      </c>
      <c r="C3481" t="s">
        <v>10712</v>
      </c>
      <c r="D3481" t="s">
        <v>3400</v>
      </c>
      <c r="E3481" t="s">
        <v>3395</v>
      </c>
      <c r="F3481" t="s">
        <v>3396</v>
      </c>
      <c r="G3481" t="s">
        <v>1296</v>
      </c>
      <c r="H3481" t="s">
        <v>1908</v>
      </c>
      <c r="I3481" t="s">
        <v>1909</v>
      </c>
      <c r="J3481" t="s">
        <v>1910</v>
      </c>
      <c r="K3481" t="s">
        <v>55</v>
      </c>
      <c r="L3481" t="s">
        <v>1911</v>
      </c>
      <c r="M3481" t="s">
        <v>57</v>
      </c>
      <c r="N3481" t="str">
        <f>"049684"</f>
        <v>049684</v>
      </c>
      <c r="O3481" t="s">
        <v>1907</v>
      </c>
      <c r="P3481" t="s">
        <v>68</v>
      </c>
      <c r="Q3481">
        <v>22.3</v>
      </c>
      <c r="R3481">
        <v>6.0999999999999943</v>
      </c>
      <c r="S3481" t="s">
        <v>156</v>
      </c>
    </row>
    <row r="3482" spans="1:19" x14ac:dyDescent="0.35">
      <c r="A3482">
        <v>61887</v>
      </c>
      <c r="B3482" t="str">
        <f>"061887"</f>
        <v>061887</v>
      </c>
      <c r="C3482" t="s">
        <v>10713</v>
      </c>
      <c r="D3482" t="s">
        <v>3394</v>
      </c>
      <c r="E3482" t="s">
        <v>3395</v>
      </c>
      <c r="F3482" t="s">
        <v>3396</v>
      </c>
      <c r="G3482" t="s">
        <v>481</v>
      </c>
      <c r="H3482" t="s">
        <v>655</v>
      </c>
      <c r="I3482" t="s">
        <v>656</v>
      </c>
      <c r="J3482" t="s">
        <v>657</v>
      </c>
      <c r="K3482" t="s">
        <v>55</v>
      </c>
      <c r="L3482" t="s">
        <v>658</v>
      </c>
      <c r="M3482" t="s">
        <v>57</v>
      </c>
      <c r="N3482" t="str">
        <f>"047886"</f>
        <v>047886</v>
      </c>
      <c r="O3482" t="s">
        <v>654</v>
      </c>
      <c r="P3482" t="s">
        <v>68</v>
      </c>
      <c r="Q3482" t="s">
        <v>68</v>
      </c>
      <c r="R3482" t="s">
        <v>68</v>
      </c>
      <c r="S3482" t="s">
        <v>69</v>
      </c>
    </row>
    <row r="3483" spans="1:19" x14ac:dyDescent="0.35">
      <c r="A3483">
        <v>61895</v>
      </c>
      <c r="B3483" t="str">
        <f>"061895"</f>
        <v>061895</v>
      </c>
      <c r="C3483" t="s">
        <v>10714</v>
      </c>
      <c r="D3483" t="s">
        <v>3400</v>
      </c>
      <c r="E3483" t="s">
        <v>3395</v>
      </c>
      <c r="F3483" t="s">
        <v>3396</v>
      </c>
      <c r="G3483" t="s">
        <v>481</v>
      </c>
      <c r="H3483" t="s">
        <v>10715</v>
      </c>
      <c r="I3483" t="s">
        <v>10716</v>
      </c>
      <c r="J3483" t="s">
        <v>876</v>
      </c>
      <c r="K3483" t="s">
        <v>55</v>
      </c>
      <c r="L3483" t="s">
        <v>819</v>
      </c>
      <c r="M3483" t="s">
        <v>57</v>
      </c>
      <c r="N3483" t="str">
        <f>"047894"</f>
        <v>047894</v>
      </c>
      <c r="O3483" t="s">
        <v>287</v>
      </c>
      <c r="P3483" t="s">
        <v>68</v>
      </c>
      <c r="Q3483">
        <v>29.2</v>
      </c>
      <c r="R3483">
        <v>19.200000000000003</v>
      </c>
      <c r="S3483" t="s">
        <v>69</v>
      </c>
    </row>
    <row r="3484" spans="1:19" x14ac:dyDescent="0.35">
      <c r="A3484">
        <v>61911</v>
      </c>
      <c r="B3484" t="str">
        <f>"061911"</f>
        <v>061911</v>
      </c>
      <c r="C3484" t="s">
        <v>10717</v>
      </c>
      <c r="D3484" t="s">
        <v>3394</v>
      </c>
      <c r="E3484" t="s">
        <v>3395</v>
      </c>
      <c r="F3484" t="s">
        <v>3396</v>
      </c>
      <c r="G3484" t="s">
        <v>143</v>
      </c>
      <c r="H3484" t="s">
        <v>10718</v>
      </c>
      <c r="I3484" t="s">
        <v>10719</v>
      </c>
      <c r="J3484" t="s">
        <v>1152</v>
      </c>
      <c r="K3484" t="s">
        <v>55</v>
      </c>
      <c r="L3484" t="s">
        <v>1153</v>
      </c>
      <c r="M3484" t="s">
        <v>57</v>
      </c>
      <c r="N3484" t="str">
        <f>"048124"</f>
        <v>048124</v>
      </c>
      <c r="O3484" t="s">
        <v>1149</v>
      </c>
      <c r="P3484" t="s">
        <v>68</v>
      </c>
      <c r="Q3484">
        <v>11.2</v>
      </c>
      <c r="R3484">
        <v>12.099999999999994</v>
      </c>
      <c r="S3484" t="s">
        <v>69</v>
      </c>
    </row>
    <row r="3485" spans="1:19" x14ac:dyDescent="0.35">
      <c r="A3485">
        <v>61929</v>
      </c>
      <c r="B3485" t="str">
        <f>"061929"</f>
        <v>061929</v>
      </c>
      <c r="C3485" t="s">
        <v>10720</v>
      </c>
      <c r="D3485" t="s">
        <v>3506</v>
      </c>
      <c r="E3485" t="s">
        <v>3395</v>
      </c>
      <c r="F3485" t="s">
        <v>3396</v>
      </c>
      <c r="G3485" t="s">
        <v>132</v>
      </c>
      <c r="H3485" t="s">
        <v>6037</v>
      </c>
      <c r="I3485" t="s">
        <v>6038</v>
      </c>
      <c r="J3485" t="s">
        <v>135</v>
      </c>
      <c r="K3485" t="s">
        <v>55</v>
      </c>
      <c r="L3485" t="s">
        <v>136</v>
      </c>
      <c r="M3485" t="s">
        <v>57</v>
      </c>
      <c r="N3485" t="str">
        <f>"045872"</f>
        <v>045872</v>
      </c>
      <c r="O3485" t="s">
        <v>454</v>
      </c>
      <c r="P3485" t="s">
        <v>68</v>
      </c>
      <c r="Q3485">
        <v>41.9</v>
      </c>
      <c r="R3485">
        <v>7.0999999999999943</v>
      </c>
      <c r="S3485" t="s">
        <v>69</v>
      </c>
    </row>
    <row r="3486" spans="1:19" x14ac:dyDescent="0.35">
      <c r="A3486">
        <v>61937</v>
      </c>
      <c r="B3486" t="str">
        <f>"061937"</f>
        <v>061937</v>
      </c>
      <c r="C3486" t="s">
        <v>10721</v>
      </c>
      <c r="D3486" t="s">
        <v>3394</v>
      </c>
      <c r="E3486" t="s">
        <v>3395</v>
      </c>
      <c r="F3486" t="s">
        <v>3396</v>
      </c>
      <c r="G3486" t="s">
        <v>212</v>
      </c>
      <c r="H3486" t="s">
        <v>10722</v>
      </c>
      <c r="I3486" t="s">
        <v>10723</v>
      </c>
      <c r="J3486" t="s">
        <v>215</v>
      </c>
      <c r="K3486" t="s">
        <v>55</v>
      </c>
      <c r="L3486" t="s">
        <v>6589</v>
      </c>
      <c r="M3486" t="s">
        <v>57</v>
      </c>
      <c r="N3486" t="str">
        <f>"047340"</f>
        <v>047340</v>
      </c>
      <c r="O3486" t="s">
        <v>2511</v>
      </c>
      <c r="P3486" t="s">
        <v>68</v>
      </c>
      <c r="Q3486">
        <v>11.4</v>
      </c>
      <c r="R3486">
        <v>16.599999999999994</v>
      </c>
      <c r="S3486" t="s">
        <v>217</v>
      </c>
    </row>
    <row r="3487" spans="1:19" x14ac:dyDescent="0.35">
      <c r="A3487">
        <v>61952</v>
      </c>
      <c r="B3487" t="str">
        <f>"061952"</f>
        <v>061952</v>
      </c>
      <c r="C3487" t="s">
        <v>10724</v>
      </c>
      <c r="D3487" t="s">
        <v>3400</v>
      </c>
      <c r="E3487" t="s">
        <v>3395</v>
      </c>
      <c r="F3487" t="s">
        <v>3396</v>
      </c>
      <c r="G3487" t="s">
        <v>288</v>
      </c>
      <c r="H3487" t="s">
        <v>10725</v>
      </c>
      <c r="I3487" t="s">
        <v>10726</v>
      </c>
      <c r="J3487" t="s">
        <v>769</v>
      </c>
      <c r="K3487" t="s">
        <v>55</v>
      </c>
      <c r="L3487" t="s">
        <v>770</v>
      </c>
      <c r="M3487" t="s">
        <v>57</v>
      </c>
      <c r="N3487" t="str">
        <f>"048074"</f>
        <v>048074</v>
      </c>
      <c r="O3487" t="s">
        <v>1355</v>
      </c>
      <c r="P3487" t="s">
        <v>68</v>
      </c>
      <c r="Q3487">
        <v>24</v>
      </c>
      <c r="R3487">
        <v>7.5</v>
      </c>
      <c r="S3487" t="s">
        <v>180</v>
      </c>
    </row>
    <row r="3488" spans="1:19" x14ac:dyDescent="0.35">
      <c r="A3488">
        <v>61960</v>
      </c>
      <c r="B3488" t="str">
        <f>"061960"</f>
        <v>061960</v>
      </c>
      <c r="C3488" t="s">
        <v>10727</v>
      </c>
      <c r="D3488" t="s">
        <v>3400</v>
      </c>
      <c r="E3488" t="s">
        <v>3395</v>
      </c>
      <c r="F3488" t="s">
        <v>3396</v>
      </c>
      <c r="G3488" t="s">
        <v>1193</v>
      </c>
      <c r="H3488" t="s">
        <v>8420</v>
      </c>
      <c r="I3488" t="s">
        <v>8421</v>
      </c>
      <c r="J3488" t="s">
        <v>1307</v>
      </c>
      <c r="K3488" t="s">
        <v>55</v>
      </c>
      <c r="L3488" t="s">
        <v>1308</v>
      </c>
      <c r="M3488" t="s">
        <v>57</v>
      </c>
      <c r="N3488" t="str">
        <f>"045807"</f>
        <v>045807</v>
      </c>
      <c r="O3488" t="s">
        <v>1304</v>
      </c>
      <c r="P3488" t="s">
        <v>68</v>
      </c>
      <c r="Q3488">
        <v>35.4</v>
      </c>
      <c r="R3488">
        <v>6.9000000000000057</v>
      </c>
      <c r="S3488" t="s">
        <v>156</v>
      </c>
    </row>
    <row r="3489" spans="1:19" x14ac:dyDescent="0.35">
      <c r="A3489">
        <v>61986</v>
      </c>
      <c r="B3489" t="str">
        <f>"061986"</f>
        <v>061986</v>
      </c>
      <c r="C3489" t="s">
        <v>10728</v>
      </c>
      <c r="D3489" t="s">
        <v>3394</v>
      </c>
      <c r="E3489" t="s">
        <v>3395</v>
      </c>
      <c r="F3489" t="s">
        <v>3396</v>
      </c>
      <c r="G3489" t="s">
        <v>169</v>
      </c>
      <c r="H3489" t="s">
        <v>10729</v>
      </c>
      <c r="I3489" t="s">
        <v>10730</v>
      </c>
      <c r="J3489" t="s">
        <v>172</v>
      </c>
      <c r="K3489" t="s">
        <v>55</v>
      </c>
      <c r="L3489" t="s">
        <v>1097</v>
      </c>
      <c r="M3489" t="s">
        <v>57</v>
      </c>
      <c r="N3489" t="str">
        <f>"050161"</f>
        <v>050161</v>
      </c>
      <c r="O3489" t="s">
        <v>1094</v>
      </c>
      <c r="P3489" t="s">
        <v>68</v>
      </c>
      <c r="Q3489">
        <v>36.700000000000003</v>
      </c>
      <c r="R3489">
        <v>18.799999999999997</v>
      </c>
      <c r="S3489" t="s">
        <v>77</v>
      </c>
    </row>
    <row r="3490" spans="1:19" x14ac:dyDescent="0.35">
      <c r="A3490">
        <v>61994</v>
      </c>
      <c r="B3490" t="str">
        <f>"061994"</f>
        <v>061994</v>
      </c>
      <c r="C3490" t="s">
        <v>10731</v>
      </c>
      <c r="D3490" t="s">
        <v>3394</v>
      </c>
      <c r="E3490" t="s">
        <v>3395</v>
      </c>
      <c r="F3490" t="s">
        <v>3396</v>
      </c>
      <c r="G3490" t="s">
        <v>169</v>
      </c>
      <c r="H3490" t="s">
        <v>10732</v>
      </c>
      <c r="I3490" t="s">
        <v>10733</v>
      </c>
      <c r="J3490" t="s">
        <v>172</v>
      </c>
      <c r="K3490" t="s">
        <v>55</v>
      </c>
      <c r="L3490" t="s">
        <v>1097</v>
      </c>
      <c r="M3490" t="s">
        <v>57</v>
      </c>
      <c r="N3490" t="str">
        <f>"050161"</f>
        <v>050161</v>
      </c>
      <c r="O3490" t="s">
        <v>1094</v>
      </c>
      <c r="P3490" t="s">
        <v>68</v>
      </c>
      <c r="Q3490">
        <v>38.1</v>
      </c>
      <c r="R3490">
        <v>15.400000000000006</v>
      </c>
      <c r="S3490" t="s">
        <v>77</v>
      </c>
    </row>
    <row r="3491" spans="1:19" x14ac:dyDescent="0.35">
      <c r="A3491">
        <v>62018</v>
      </c>
      <c r="B3491" t="str">
        <f>"062018"</f>
        <v>062018</v>
      </c>
      <c r="C3491" t="s">
        <v>10734</v>
      </c>
      <c r="D3491" t="s">
        <v>3394</v>
      </c>
      <c r="E3491" t="s">
        <v>3395</v>
      </c>
      <c r="F3491" t="s">
        <v>3396</v>
      </c>
      <c r="G3491" t="s">
        <v>295</v>
      </c>
      <c r="H3491" t="s">
        <v>10735</v>
      </c>
      <c r="I3491" t="s">
        <v>10736</v>
      </c>
      <c r="J3491" t="s">
        <v>1764</v>
      </c>
      <c r="K3491" t="s">
        <v>55</v>
      </c>
      <c r="L3491" t="s">
        <v>1765</v>
      </c>
      <c r="M3491" t="s">
        <v>57</v>
      </c>
      <c r="N3491" t="str">
        <f>"049221"</f>
        <v>049221</v>
      </c>
      <c r="O3491" t="s">
        <v>2105</v>
      </c>
      <c r="P3491" t="s">
        <v>68</v>
      </c>
      <c r="Q3491">
        <v>43.9</v>
      </c>
      <c r="R3491">
        <v>4</v>
      </c>
      <c r="S3491" t="s">
        <v>77</v>
      </c>
    </row>
    <row r="3492" spans="1:19" x14ac:dyDescent="0.35">
      <c r="A3492">
        <v>62182</v>
      </c>
      <c r="B3492" t="str">
        <f>"062182"</f>
        <v>062182</v>
      </c>
      <c r="C3492" t="s">
        <v>10737</v>
      </c>
      <c r="D3492" t="s">
        <v>3400</v>
      </c>
      <c r="E3492" t="s">
        <v>3395</v>
      </c>
      <c r="F3492" t="s">
        <v>3396</v>
      </c>
      <c r="G3492" t="s">
        <v>600</v>
      </c>
      <c r="H3492" t="s">
        <v>10738</v>
      </c>
      <c r="I3492" t="s">
        <v>10739</v>
      </c>
      <c r="J3492" t="s">
        <v>1136</v>
      </c>
      <c r="K3492" t="s">
        <v>55</v>
      </c>
      <c r="L3492" t="s">
        <v>1137</v>
      </c>
      <c r="M3492" t="s">
        <v>57</v>
      </c>
      <c r="N3492" t="str">
        <f>"044800"</f>
        <v>044800</v>
      </c>
      <c r="O3492" t="s">
        <v>1133</v>
      </c>
      <c r="P3492" t="s">
        <v>68</v>
      </c>
      <c r="Q3492">
        <v>71.400000000000006</v>
      </c>
      <c r="R3492">
        <v>59.9</v>
      </c>
      <c r="S3492" t="s">
        <v>60</v>
      </c>
    </row>
    <row r="3493" spans="1:19" x14ac:dyDescent="0.35">
      <c r="A3493">
        <v>62190</v>
      </c>
      <c r="B3493" t="str">
        <f>"062190"</f>
        <v>062190</v>
      </c>
      <c r="C3493" t="s">
        <v>10740</v>
      </c>
      <c r="D3493" t="s">
        <v>3400</v>
      </c>
      <c r="E3493" t="s">
        <v>3395</v>
      </c>
      <c r="F3493" t="s">
        <v>3396</v>
      </c>
      <c r="G3493" t="s">
        <v>600</v>
      </c>
      <c r="H3493" t="s">
        <v>10741</v>
      </c>
      <c r="I3493" t="s">
        <v>10742</v>
      </c>
      <c r="J3493" t="s">
        <v>1136</v>
      </c>
      <c r="K3493" t="s">
        <v>55</v>
      </c>
      <c r="L3493" t="s">
        <v>1137</v>
      </c>
      <c r="M3493" t="s">
        <v>57</v>
      </c>
      <c r="N3493" t="str">
        <f>"044800"</f>
        <v>044800</v>
      </c>
      <c r="O3493" t="s">
        <v>1133</v>
      </c>
      <c r="P3493" t="s">
        <v>68</v>
      </c>
      <c r="Q3493">
        <v>57.2</v>
      </c>
      <c r="R3493">
        <v>39.799999999999997</v>
      </c>
      <c r="S3493" t="s">
        <v>60</v>
      </c>
    </row>
    <row r="3494" spans="1:19" x14ac:dyDescent="0.35">
      <c r="A3494">
        <v>62208</v>
      </c>
      <c r="B3494" t="str">
        <f>"062208"</f>
        <v>062208</v>
      </c>
      <c r="C3494" t="s">
        <v>10743</v>
      </c>
      <c r="D3494" t="s">
        <v>3400</v>
      </c>
      <c r="E3494" t="s">
        <v>3395</v>
      </c>
      <c r="F3494" t="s">
        <v>3396</v>
      </c>
      <c r="G3494" t="s">
        <v>600</v>
      </c>
      <c r="H3494" t="s">
        <v>10744</v>
      </c>
      <c r="I3494" t="s">
        <v>10745</v>
      </c>
      <c r="J3494" t="s">
        <v>1348</v>
      </c>
      <c r="K3494" t="s">
        <v>55</v>
      </c>
      <c r="L3494" t="s">
        <v>5209</v>
      </c>
      <c r="M3494" t="s">
        <v>57</v>
      </c>
      <c r="N3494" t="str">
        <f>"044800"</f>
        <v>044800</v>
      </c>
      <c r="O3494" t="s">
        <v>1133</v>
      </c>
      <c r="P3494" t="s">
        <v>68</v>
      </c>
      <c r="Q3494">
        <v>78.8</v>
      </c>
      <c r="R3494">
        <v>59.7</v>
      </c>
      <c r="S3494" t="s">
        <v>60</v>
      </c>
    </row>
    <row r="3495" spans="1:19" x14ac:dyDescent="0.35">
      <c r="A3495">
        <v>62216</v>
      </c>
      <c r="B3495" t="str">
        <f>"062216"</f>
        <v>062216</v>
      </c>
      <c r="C3495" t="s">
        <v>7436</v>
      </c>
      <c r="D3495" t="s">
        <v>3400</v>
      </c>
      <c r="E3495" t="s">
        <v>3395</v>
      </c>
      <c r="F3495" t="s">
        <v>3396</v>
      </c>
      <c r="G3495" t="s">
        <v>600</v>
      </c>
      <c r="H3495" t="s">
        <v>10746</v>
      </c>
      <c r="I3495" t="s">
        <v>10747</v>
      </c>
      <c r="J3495" t="s">
        <v>1348</v>
      </c>
      <c r="K3495" t="s">
        <v>55</v>
      </c>
      <c r="L3495" t="s">
        <v>1349</v>
      </c>
      <c r="M3495" t="s">
        <v>57</v>
      </c>
      <c r="N3495" t="str">
        <f>"044800"</f>
        <v>044800</v>
      </c>
      <c r="O3495" t="s">
        <v>1133</v>
      </c>
      <c r="P3495" t="s">
        <v>68</v>
      </c>
      <c r="Q3495">
        <v>75</v>
      </c>
      <c r="R3495">
        <v>65.900000000000006</v>
      </c>
      <c r="S3495" t="s">
        <v>60</v>
      </c>
    </row>
    <row r="3496" spans="1:19" x14ac:dyDescent="0.35">
      <c r="A3496">
        <v>62224</v>
      </c>
      <c r="B3496" t="str">
        <f>"062224"</f>
        <v>062224</v>
      </c>
      <c r="C3496" t="s">
        <v>10748</v>
      </c>
      <c r="D3496" t="s">
        <v>3394</v>
      </c>
      <c r="E3496" t="s">
        <v>3395</v>
      </c>
      <c r="F3496" t="s">
        <v>3396</v>
      </c>
      <c r="G3496" t="s">
        <v>674</v>
      </c>
      <c r="H3496" t="s">
        <v>10749</v>
      </c>
      <c r="I3496" t="s">
        <v>5324</v>
      </c>
      <c r="J3496" t="s">
        <v>10750</v>
      </c>
      <c r="K3496" t="s">
        <v>55</v>
      </c>
      <c r="L3496" t="s">
        <v>10751</v>
      </c>
      <c r="M3496" t="s">
        <v>57</v>
      </c>
      <c r="N3496" t="str">
        <f>"048843"</f>
        <v>048843</v>
      </c>
      <c r="O3496" t="s">
        <v>1199</v>
      </c>
      <c r="P3496" t="s">
        <v>68</v>
      </c>
      <c r="Q3496">
        <v>74.900000000000006</v>
      </c>
      <c r="R3496">
        <v>6.5</v>
      </c>
      <c r="S3496" t="s">
        <v>130</v>
      </c>
    </row>
    <row r="3497" spans="1:19" x14ac:dyDescent="0.35">
      <c r="A3497">
        <v>62232</v>
      </c>
      <c r="B3497" t="str">
        <f>"062232"</f>
        <v>062232</v>
      </c>
      <c r="C3497" t="s">
        <v>10752</v>
      </c>
      <c r="D3497" t="s">
        <v>3400</v>
      </c>
      <c r="E3497" t="s">
        <v>3395</v>
      </c>
      <c r="F3497" t="s">
        <v>3396</v>
      </c>
      <c r="G3497" t="s">
        <v>674</v>
      </c>
      <c r="H3497" t="s">
        <v>10753</v>
      </c>
      <c r="I3497" t="s">
        <v>10754</v>
      </c>
      <c r="J3497" t="s">
        <v>927</v>
      </c>
      <c r="K3497" t="s">
        <v>55</v>
      </c>
      <c r="L3497" t="s">
        <v>928</v>
      </c>
      <c r="M3497" t="s">
        <v>57</v>
      </c>
      <c r="N3497" t="str">
        <f>"048850"</f>
        <v>048850</v>
      </c>
      <c r="O3497" t="s">
        <v>924</v>
      </c>
      <c r="P3497" t="s">
        <v>68</v>
      </c>
      <c r="Q3497">
        <v>99.2</v>
      </c>
      <c r="R3497">
        <v>7.5</v>
      </c>
      <c r="S3497" t="s">
        <v>130</v>
      </c>
    </row>
    <row r="3498" spans="1:19" x14ac:dyDescent="0.35">
      <c r="A3498">
        <v>62307</v>
      </c>
      <c r="B3498" t="str">
        <f>"062307"</f>
        <v>062307</v>
      </c>
      <c r="C3498" t="s">
        <v>10755</v>
      </c>
      <c r="D3498" t="s">
        <v>3400</v>
      </c>
      <c r="E3498" t="s">
        <v>3395</v>
      </c>
      <c r="F3498" t="s">
        <v>3396</v>
      </c>
      <c r="G3498" t="s">
        <v>966</v>
      </c>
      <c r="H3498" t="s">
        <v>10756</v>
      </c>
      <c r="I3498" t="s">
        <v>10757</v>
      </c>
      <c r="J3498" t="s">
        <v>969</v>
      </c>
      <c r="K3498" t="s">
        <v>55</v>
      </c>
      <c r="L3498" t="s">
        <v>970</v>
      </c>
      <c r="M3498" t="s">
        <v>57</v>
      </c>
      <c r="N3498" t="str">
        <f>"048520"</f>
        <v>048520</v>
      </c>
      <c r="O3498" t="s">
        <v>1264</v>
      </c>
      <c r="P3498" t="s">
        <v>68</v>
      </c>
      <c r="Q3498">
        <v>100</v>
      </c>
      <c r="R3498">
        <v>5.7999999999999972</v>
      </c>
      <c r="S3498" t="s">
        <v>130</v>
      </c>
    </row>
    <row r="3499" spans="1:19" x14ac:dyDescent="0.35">
      <c r="A3499">
        <v>62331</v>
      </c>
      <c r="B3499" t="str">
        <f>"062331"</f>
        <v>062331</v>
      </c>
      <c r="C3499" t="s">
        <v>10758</v>
      </c>
      <c r="D3499" t="s">
        <v>3506</v>
      </c>
      <c r="E3499" t="s">
        <v>3395</v>
      </c>
      <c r="F3499" t="s">
        <v>3396</v>
      </c>
      <c r="G3499" t="s">
        <v>172</v>
      </c>
      <c r="H3499" t="s">
        <v>5275</v>
      </c>
      <c r="I3499" t="s">
        <v>5276</v>
      </c>
      <c r="J3499" t="s">
        <v>600</v>
      </c>
      <c r="K3499" t="s">
        <v>55</v>
      </c>
      <c r="L3499" t="s">
        <v>939</v>
      </c>
      <c r="M3499" t="s">
        <v>57</v>
      </c>
      <c r="N3499" t="str">
        <f>"044008"</f>
        <v>044008</v>
      </c>
      <c r="O3499" t="s">
        <v>1579</v>
      </c>
      <c r="P3499" t="s">
        <v>68</v>
      </c>
      <c r="Q3499">
        <v>54.6</v>
      </c>
      <c r="R3499">
        <v>13.099999999999994</v>
      </c>
      <c r="S3499" t="s">
        <v>217</v>
      </c>
    </row>
    <row r="3500" spans="1:19" x14ac:dyDescent="0.35">
      <c r="A3500">
        <v>62349</v>
      </c>
      <c r="B3500" t="str">
        <f>"062349"</f>
        <v>062349</v>
      </c>
      <c r="C3500" t="s">
        <v>10759</v>
      </c>
      <c r="D3500" t="s">
        <v>3400</v>
      </c>
      <c r="E3500" t="s">
        <v>3395</v>
      </c>
      <c r="F3500" t="s">
        <v>3396</v>
      </c>
      <c r="G3500" t="s">
        <v>63</v>
      </c>
      <c r="H3500" t="s">
        <v>10760</v>
      </c>
      <c r="I3500" t="s">
        <v>10761</v>
      </c>
      <c r="J3500" t="s">
        <v>285</v>
      </c>
      <c r="K3500" t="s">
        <v>55</v>
      </c>
      <c r="L3500" t="s">
        <v>286</v>
      </c>
      <c r="M3500" t="s">
        <v>57</v>
      </c>
      <c r="N3500" t="str">
        <f>"044370"</f>
        <v>044370</v>
      </c>
      <c r="O3500" t="s">
        <v>2456</v>
      </c>
      <c r="P3500" t="s">
        <v>68</v>
      </c>
      <c r="Q3500">
        <v>29.8</v>
      </c>
      <c r="R3500">
        <v>41.6</v>
      </c>
      <c r="S3500" t="s">
        <v>69</v>
      </c>
    </row>
    <row r="3501" spans="1:19" x14ac:dyDescent="0.35">
      <c r="A3501">
        <v>62356</v>
      </c>
      <c r="B3501" t="str">
        <f>"062356"</f>
        <v>062356</v>
      </c>
      <c r="C3501" t="s">
        <v>10762</v>
      </c>
      <c r="D3501" t="s">
        <v>3506</v>
      </c>
      <c r="E3501" t="s">
        <v>3395</v>
      </c>
      <c r="F3501" t="s">
        <v>3396</v>
      </c>
      <c r="G3501" t="s">
        <v>200</v>
      </c>
      <c r="H3501" t="s">
        <v>10763</v>
      </c>
      <c r="I3501" t="s">
        <v>10764</v>
      </c>
      <c r="J3501" t="s">
        <v>203</v>
      </c>
      <c r="K3501" t="s">
        <v>55</v>
      </c>
      <c r="L3501" t="s">
        <v>204</v>
      </c>
      <c r="M3501" t="s">
        <v>57</v>
      </c>
      <c r="N3501" t="str">
        <f>"044875"</f>
        <v>044875</v>
      </c>
      <c r="O3501" t="s">
        <v>521</v>
      </c>
      <c r="P3501" t="s">
        <v>68</v>
      </c>
      <c r="Q3501">
        <v>14.1</v>
      </c>
      <c r="R3501">
        <v>20.700000000000003</v>
      </c>
      <c r="S3501" t="s">
        <v>156</v>
      </c>
    </row>
    <row r="3502" spans="1:19" x14ac:dyDescent="0.35">
      <c r="A3502">
        <v>62364</v>
      </c>
      <c r="B3502" t="str">
        <f>"062364"</f>
        <v>062364</v>
      </c>
      <c r="C3502" t="s">
        <v>10765</v>
      </c>
      <c r="D3502" t="s">
        <v>3400</v>
      </c>
      <c r="E3502" t="s">
        <v>3395</v>
      </c>
      <c r="F3502" t="s">
        <v>3396</v>
      </c>
      <c r="G3502" t="s">
        <v>187</v>
      </c>
      <c r="H3502" t="s">
        <v>10766</v>
      </c>
      <c r="I3502" t="s">
        <v>10767</v>
      </c>
      <c r="J3502" t="s">
        <v>2039</v>
      </c>
      <c r="K3502" t="s">
        <v>55</v>
      </c>
      <c r="L3502" t="s">
        <v>2040</v>
      </c>
      <c r="M3502" t="s">
        <v>57</v>
      </c>
      <c r="N3502" t="str">
        <f>"044610"</f>
        <v>044610</v>
      </c>
      <c r="O3502" t="s">
        <v>2036</v>
      </c>
      <c r="P3502" t="s">
        <v>68</v>
      </c>
      <c r="Q3502">
        <v>46.2</v>
      </c>
      <c r="R3502">
        <v>28.700000000000003</v>
      </c>
      <c r="S3502" t="s">
        <v>77</v>
      </c>
    </row>
    <row r="3503" spans="1:19" x14ac:dyDescent="0.35">
      <c r="A3503">
        <v>62372</v>
      </c>
      <c r="B3503" t="str">
        <f>"062372"</f>
        <v>062372</v>
      </c>
      <c r="C3503" t="s">
        <v>10768</v>
      </c>
      <c r="D3503" t="s">
        <v>3506</v>
      </c>
      <c r="E3503" t="s">
        <v>3395</v>
      </c>
      <c r="F3503" t="s">
        <v>3396</v>
      </c>
      <c r="G3503" t="s">
        <v>663</v>
      </c>
      <c r="H3503" t="s">
        <v>10769</v>
      </c>
      <c r="I3503" t="s">
        <v>10770</v>
      </c>
      <c r="J3503" t="s">
        <v>2030</v>
      </c>
      <c r="K3503" t="s">
        <v>55</v>
      </c>
      <c r="L3503" t="s">
        <v>2031</v>
      </c>
      <c r="M3503" t="s">
        <v>57</v>
      </c>
      <c r="N3503" t="str">
        <f>"049437"</f>
        <v>049437</v>
      </c>
      <c r="O3503" t="s">
        <v>2027</v>
      </c>
      <c r="P3503" t="s">
        <v>68</v>
      </c>
      <c r="Q3503">
        <v>22.9</v>
      </c>
      <c r="R3503">
        <v>10.200000000000003</v>
      </c>
      <c r="S3503" t="s">
        <v>77</v>
      </c>
    </row>
    <row r="3504" spans="1:19" x14ac:dyDescent="0.35">
      <c r="A3504">
        <v>62380</v>
      </c>
      <c r="B3504" t="str">
        <f>"062380"</f>
        <v>062380</v>
      </c>
      <c r="C3504" t="s">
        <v>10771</v>
      </c>
      <c r="D3504" t="s">
        <v>3400</v>
      </c>
      <c r="E3504" t="s">
        <v>3395</v>
      </c>
      <c r="F3504" t="s">
        <v>3396</v>
      </c>
      <c r="G3504" t="s">
        <v>901</v>
      </c>
      <c r="H3504" t="s">
        <v>5301</v>
      </c>
      <c r="I3504" t="s">
        <v>5302</v>
      </c>
      <c r="J3504" t="s">
        <v>3391</v>
      </c>
      <c r="K3504" t="s">
        <v>55</v>
      </c>
      <c r="L3504" t="s">
        <v>3392</v>
      </c>
      <c r="M3504" t="s">
        <v>57</v>
      </c>
      <c r="N3504" t="str">
        <f>"047852"</f>
        <v>047852</v>
      </c>
      <c r="O3504" t="s">
        <v>3388</v>
      </c>
      <c r="P3504" t="s">
        <v>68</v>
      </c>
      <c r="Q3504">
        <v>26.6</v>
      </c>
      <c r="R3504">
        <v>5.7999999999999972</v>
      </c>
      <c r="S3504" t="s">
        <v>60</v>
      </c>
    </row>
    <row r="3505" spans="1:19" x14ac:dyDescent="0.35">
      <c r="A3505">
        <v>62398</v>
      </c>
      <c r="B3505" t="str">
        <f>"062398"</f>
        <v>062398</v>
      </c>
      <c r="C3505" t="s">
        <v>10772</v>
      </c>
      <c r="D3505" t="s">
        <v>3400</v>
      </c>
      <c r="E3505" t="s">
        <v>3395</v>
      </c>
      <c r="F3505" t="s">
        <v>3396</v>
      </c>
      <c r="G3505" t="s">
        <v>143</v>
      </c>
      <c r="H3505" t="s">
        <v>10773</v>
      </c>
      <c r="I3505" t="s">
        <v>10774</v>
      </c>
      <c r="J3505" t="s">
        <v>1152</v>
      </c>
      <c r="K3505" t="s">
        <v>55</v>
      </c>
      <c r="L3505" t="s">
        <v>1153</v>
      </c>
      <c r="M3505" t="s">
        <v>57</v>
      </c>
      <c r="N3505" t="str">
        <f>"048124"</f>
        <v>048124</v>
      </c>
      <c r="O3505" t="s">
        <v>1149</v>
      </c>
      <c r="P3505" t="s">
        <v>68</v>
      </c>
      <c r="Q3505">
        <v>8.3000000000000007</v>
      </c>
      <c r="R3505">
        <v>10.200000000000003</v>
      </c>
      <c r="S3505" t="s">
        <v>69</v>
      </c>
    </row>
    <row r="3506" spans="1:19" x14ac:dyDescent="0.35">
      <c r="A3506">
        <v>62406</v>
      </c>
      <c r="B3506" t="str">
        <f>"062406"</f>
        <v>062406</v>
      </c>
      <c r="C3506" t="s">
        <v>10775</v>
      </c>
      <c r="D3506" t="s">
        <v>3400</v>
      </c>
      <c r="E3506" t="s">
        <v>3395</v>
      </c>
      <c r="F3506" t="s">
        <v>3396</v>
      </c>
      <c r="G3506" t="s">
        <v>288</v>
      </c>
      <c r="H3506" t="s">
        <v>10776</v>
      </c>
      <c r="I3506" t="s">
        <v>10777</v>
      </c>
      <c r="J3506" t="s">
        <v>769</v>
      </c>
      <c r="K3506" t="s">
        <v>55</v>
      </c>
      <c r="L3506" t="s">
        <v>770</v>
      </c>
      <c r="M3506" t="s">
        <v>57</v>
      </c>
      <c r="N3506" t="str">
        <f>"043588"</f>
        <v>043588</v>
      </c>
      <c r="O3506" t="s">
        <v>2054</v>
      </c>
      <c r="P3506" t="s">
        <v>68</v>
      </c>
      <c r="Q3506">
        <v>44.1</v>
      </c>
      <c r="R3506">
        <v>18.5</v>
      </c>
      <c r="S3506" t="s">
        <v>180</v>
      </c>
    </row>
    <row r="3507" spans="1:19" x14ac:dyDescent="0.35">
      <c r="A3507">
        <v>62422</v>
      </c>
      <c r="B3507" t="str">
        <f>"062422"</f>
        <v>062422</v>
      </c>
      <c r="C3507" t="s">
        <v>10778</v>
      </c>
      <c r="D3507" t="s">
        <v>3400</v>
      </c>
      <c r="E3507" t="s">
        <v>3395</v>
      </c>
      <c r="F3507" t="s">
        <v>3396</v>
      </c>
      <c r="G3507" t="s">
        <v>642</v>
      </c>
      <c r="H3507" t="s">
        <v>10779</v>
      </c>
      <c r="I3507" t="s">
        <v>10780</v>
      </c>
      <c r="J3507" t="s">
        <v>1461</v>
      </c>
      <c r="K3507" t="s">
        <v>55</v>
      </c>
      <c r="L3507" t="s">
        <v>1462</v>
      </c>
      <c r="M3507" t="s">
        <v>57</v>
      </c>
      <c r="N3507" t="str">
        <f>"043968"</f>
        <v>043968</v>
      </c>
      <c r="O3507" t="s">
        <v>1458</v>
      </c>
      <c r="P3507" t="s">
        <v>68</v>
      </c>
      <c r="Q3507">
        <v>100</v>
      </c>
      <c r="R3507">
        <v>30.900000000000006</v>
      </c>
      <c r="S3507" t="s">
        <v>180</v>
      </c>
    </row>
    <row r="3508" spans="1:19" x14ac:dyDescent="0.35">
      <c r="A3508">
        <v>62463</v>
      </c>
      <c r="B3508" t="str">
        <f>"062463"</f>
        <v>062463</v>
      </c>
      <c r="C3508" t="s">
        <v>10781</v>
      </c>
      <c r="D3508" t="s">
        <v>3398</v>
      </c>
      <c r="E3508" t="s">
        <v>9538</v>
      </c>
      <c r="F3508" t="s">
        <v>3396</v>
      </c>
      <c r="G3508" t="s">
        <v>132</v>
      </c>
      <c r="H3508" t="s">
        <v>10782</v>
      </c>
      <c r="I3508" t="s">
        <v>10783</v>
      </c>
      <c r="J3508" t="s">
        <v>3614</v>
      </c>
      <c r="K3508" t="s">
        <v>55</v>
      </c>
      <c r="L3508" t="s">
        <v>3615</v>
      </c>
      <c r="M3508" t="s">
        <v>57</v>
      </c>
      <c r="N3508" t="str">
        <f>"000136"</f>
        <v>000136</v>
      </c>
      <c r="O3508" t="s">
        <v>2853</v>
      </c>
      <c r="P3508" t="s">
        <v>68</v>
      </c>
      <c r="Q3508" t="s">
        <v>68</v>
      </c>
      <c r="R3508" t="s">
        <v>68</v>
      </c>
      <c r="S3508" t="s">
        <v>69</v>
      </c>
    </row>
    <row r="3509" spans="1:19" x14ac:dyDescent="0.35">
      <c r="A3509">
        <v>62463</v>
      </c>
      <c r="B3509" t="str">
        <f>"062463"</f>
        <v>062463</v>
      </c>
      <c r="C3509" t="s">
        <v>10781</v>
      </c>
      <c r="D3509" t="s">
        <v>9541</v>
      </c>
      <c r="E3509" t="s">
        <v>9538</v>
      </c>
      <c r="F3509" t="s">
        <v>3396</v>
      </c>
      <c r="G3509" t="s">
        <v>132</v>
      </c>
      <c r="H3509" t="s">
        <v>10782</v>
      </c>
      <c r="I3509" t="s">
        <v>10783</v>
      </c>
      <c r="J3509" t="s">
        <v>3614</v>
      </c>
      <c r="K3509" t="s">
        <v>55</v>
      </c>
      <c r="L3509" t="s">
        <v>3615</v>
      </c>
      <c r="M3509" t="s">
        <v>57</v>
      </c>
      <c r="N3509" t="str">
        <f>"000136"</f>
        <v>000136</v>
      </c>
      <c r="O3509" t="s">
        <v>2853</v>
      </c>
      <c r="P3509" t="s">
        <v>68</v>
      </c>
      <c r="Q3509" t="s">
        <v>68</v>
      </c>
      <c r="R3509" t="s">
        <v>68</v>
      </c>
      <c r="S3509" t="s">
        <v>69</v>
      </c>
    </row>
    <row r="3510" spans="1:19" x14ac:dyDescent="0.35">
      <c r="A3510">
        <v>62471</v>
      </c>
      <c r="B3510" t="str">
        <f>"062471"</f>
        <v>062471</v>
      </c>
      <c r="C3510" t="s">
        <v>10784</v>
      </c>
      <c r="D3510" t="s">
        <v>3394</v>
      </c>
      <c r="E3510" t="s">
        <v>9538</v>
      </c>
      <c r="F3510" t="s">
        <v>3396</v>
      </c>
      <c r="G3510" t="s">
        <v>143</v>
      </c>
      <c r="H3510" t="s">
        <v>10785</v>
      </c>
      <c r="I3510" t="s">
        <v>10786</v>
      </c>
      <c r="J3510" t="s">
        <v>2617</v>
      </c>
      <c r="K3510" t="s">
        <v>55</v>
      </c>
      <c r="L3510" t="s">
        <v>2618</v>
      </c>
      <c r="M3510" t="s">
        <v>57</v>
      </c>
      <c r="N3510" t="str">
        <f>"000136"</f>
        <v>000136</v>
      </c>
      <c r="O3510" t="s">
        <v>2853</v>
      </c>
      <c r="P3510" t="s">
        <v>68</v>
      </c>
      <c r="Q3510" t="s">
        <v>68</v>
      </c>
      <c r="R3510" t="s">
        <v>68</v>
      </c>
      <c r="S3510" t="s">
        <v>69</v>
      </c>
    </row>
    <row r="3511" spans="1:19" x14ac:dyDescent="0.35">
      <c r="A3511">
        <v>62471</v>
      </c>
      <c r="B3511" t="str">
        <f>"062471"</f>
        <v>062471</v>
      </c>
      <c r="C3511" t="s">
        <v>10784</v>
      </c>
      <c r="D3511" t="s">
        <v>9541</v>
      </c>
      <c r="E3511" t="s">
        <v>9538</v>
      </c>
      <c r="F3511" t="s">
        <v>3396</v>
      </c>
      <c r="G3511" t="s">
        <v>143</v>
      </c>
      <c r="H3511" t="s">
        <v>10785</v>
      </c>
      <c r="I3511" t="s">
        <v>10786</v>
      </c>
      <c r="J3511" t="s">
        <v>2617</v>
      </c>
      <c r="K3511" t="s">
        <v>55</v>
      </c>
      <c r="L3511" t="s">
        <v>2618</v>
      </c>
      <c r="M3511" t="s">
        <v>57</v>
      </c>
      <c r="N3511" t="str">
        <f>"000136"</f>
        <v>000136</v>
      </c>
      <c r="O3511" t="s">
        <v>2853</v>
      </c>
      <c r="P3511" t="s">
        <v>68</v>
      </c>
      <c r="Q3511" t="s">
        <v>68</v>
      </c>
      <c r="R3511" t="s">
        <v>68</v>
      </c>
      <c r="S3511" t="s">
        <v>69</v>
      </c>
    </row>
    <row r="3512" spans="1:19" x14ac:dyDescent="0.35">
      <c r="A3512">
        <v>62489</v>
      </c>
      <c r="B3512" t="str">
        <f>"062489"</f>
        <v>062489</v>
      </c>
      <c r="C3512" t="s">
        <v>10787</v>
      </c>
      <c r="D3512" t="s">
        <v>3398</v>
      </c>
      <c r="E3512" t="s">
        <v>9538</v>
      </c>
      <c r="F3512" t="s">
        <v>3396</v>
      </c>
      <c r="G3512" t="s">
        <v>264</v>
      </c>
      <c r="H3512" t="s">
        <v>10788</v>
      </c>
      <c r="I3512" t="s">
        <v>10789</v>
      </c>
      <c r="J3512" t="s">
        <v>2497</v>
      </c>
      <c r="K3512" t="s">
        <v>55</v>
      </c>
      <c r="L3512" t="s">
        <v>1211</v>
      </c>
      <c r="M3512" t="s">
        <v>57</v>
      </c>
      <c r="N3512" t="str">
        <f>"052522"</f>
        <v>052522</v>
      </c>
      <c r="O3512" t="s">
        <v>605</v>
      </c>
      <c r="P3512" t="s">
        <v>68</v>
      </c>
      <c r="Q3512" t="s">
        <v>68</v>
      </c>
      <c r="R3512" t="s">
        <v>68</v>
      </c>
      <c r="S3512" t="s">
        <v>77</v>
      </c>
    </row>
    <row r="3513" spans="1:19" x14ac:dyDescent="0.35">
      <c r="A3513">
        <v>62497</v>
      </c>
      <c r="B3513" t="str">
        <f>"062497"</f>
        <v>062497</v>
      </c>
      <c r="C3513" t="s">
        <v>10553</v>
      </c>
      <c r="D3513" t="s">
        <v>3394</v>
      </c>
      <c r="E3513" t="s">
        <v>9538</v>
      </c>
      <c r="F3513" t="s">
        <v>3396</v>
      </c>
      <c r="G3513" t="s">
        <v>1948</v>
      </c>
      <c r="H3513" t="s">
        <v>10790</v>
      </c>
      <c r="I3513" t="s">
        <v>10791</v>
      </c>
      <c r="J3513" t="s">
        <v>1951</v>
      </c>
      <c r="K3513" t="s">
        <v>55</v>
      </c>
      <c r="L3513" t="s">
        <v>1952</v>
      </c>
      <c r="M3513" t="s">
        <v>57</v>
      </c>
      <c r="N3513" t="str">
        <f>"062497"</f>
        <v>062497</v>
      </c>
      <c r="O3513" t="s">
        <v>10553</v>
      </c>
      <c r="P3513" t="s">
        <v>68</v>
      </c>
      <c r="Q3513" t="s">
        <v>68</v>
      </c>
      <c r="R3513" t="s">
        <v>68</v>
      </c>
      <c r="S3513" t="s">
        <v>60</v>
      </c>
    </row>
    <row r="3514" spans="1:19" x14ac:dyDescent="0.35">
      <c r="A3514">
        <v>62521</v>
      </c>
      <c r="B3514" t="str">
        <f>"062521"</f>
        <v>062521</v>
      </c>
      <c r="C3514" t="s">
        <v>10792</v>
      </c>
      <c r="D3514" t="s">
        <v>3394</v>
      </c>
      <c r="E3514" t="s">
        <v>9538</v>
      </c>
      <c r="F3514" t="s">
        <v>3396</v>
      </c>
      <c r="G3514" t="s">
        <v>543</v>
      </c>
      <c r="H3514" t="s">
        <v>10793</v>
      </c>
      <c r="I3514" t="s">
        <v>10794</v>
      </c>
      <c r="J3514" t="s">
        <v>687</v>
      </c>
      <c r="K3514" t="s">
        <v>55</v>
      </c>
      <c r="L3514" t="s">
        <v>1370</v>
      </c>
      <c r="M3514" t="s">
        <v>57</v>
      </c>
      <c r="N3514" t="str">
        <f>"062521"</f>
        <v>062521</v>
      </c>
      <c r="O3514" t="s">
        <v>10792</v>
      </c>
      <c r="P3514" t="s">
        <v>68</v>
      </c>
      <c r="Q3514" t="s">
        <v>68</v>
      </c>
      <c r="R3514" t="s">
        <v>68</v>
      </c>
      <c r="S3514" t="s">
        <v>180</v>
      </c>
    </row>
    <row r="3515" spans="1:19" x14ac:dyDescent="0.35">
      <c r="A3515">
        <v>62604</v>
      </c>
      <c r="B3515" t="str">
        <f>"062604"</f>
        <v>062604</v>
      </c>
      <c r="C3515" t="s">
        <v>10795</v>
      </c>
      <c r="D3515" t="s">
        <v>3394</v>
      </c>
      <c r="E3515" t="s">
        <v>9538</v>
      </c>
      <c r="F3515" t="s">
        <v>3396</v>
      </c>
      <c r="G3515" t="s">
        <v>212</v>
      </c>
      <c r="H3515" t="s">
        <v>10796</v>
      </c>
      <c r="I3515" t="s">
        <v>10797</v>
      </c>
      <c r="J3515" t="s">
        <v>215</v>
      </c>
      <c r="K3515" t="s">
        <v>55</v>
      </c>
      <c r="L3515" t="s">
        <v>1405</v>
      </c>
      <c r="M3515" t="s">
        <v>57</v>
      </c>
      <c r="N3515" t="str">
        <f>"062604"</f>
        <v>062604</v>
      </c>
      <c r="O3515" t="s">
        <v>10795</v>
      </c>
      <c r="P3515" t="s">
        <v>68</v>
      </c>
      <c r="Q3515" t="s">
        <v>68</v>
      </c>
      <c r="R3515" t="s">
        <v>68</v>
      </c>
      <c r="S3515" t="s">
        <v>217</v>
      </c>
    </row>
    <row r="3516" spans="1:19" x14ac:dyDescent="0.35">
      <c r="A3516">
        <v>62612</v>
      </c>
      <c r="B3516" t="str">
        <f>"062612"</f>
        <v>062612</v>
      </c>
      <c r="C3516" t="s">
        <v>10798</v>
      </c>
      <c r="D3516" t="s">
        <v>3394</v>
      </c>
      <c r="E3516" t="s">
        <v>9538</v>
      </c>
      <c r="F3516" t="s">
        <v>3396</v>
      </c>
      <c r="G3516" t="s">
        <v>777</v>
      </c>
      <c r="H3516" t="s">
        <v>10799</v>
      </c>
      <c r="I3516" t="s">
        <v>10800</v>
      </c>
      <c r="J3516" t="s">
        <v>780</v>
      </c>
      <c r="K3516" t="s">
        <v>55</v>
      </c>
      <c r="L3516" t="s">
        <v>8354</v>
      </c>
      <c r="M3516" t="s">
        <v>57</v>
      </c>
      <c r="N3516" t="str">
        <f>"062612"</f>
        <v>062612</v>
      </c>
      <c r="O3516" t="s">
        <v>10801</v>
      </c>
      <c r="P3516" t="s">
        <v>68</v>
      </c>
      <c r="Q3516" t="s">
        <v>68</v>
      </c>
      <c r="R3516" t="s">
        <v>68</v>
      </c>
      <c r="S3516" t="s">
        <v>180</v>
      </c>
    </row>
    <row r="3517" spans="1:19" x14ac:dyDescent="0.35">
      <c r="A3517">
        <v>62612</v>
      </c>
      <c r="B3517" t="str">
        <f>"062612"</f>
        <v>062612</v>
      </c>
      <c r="C3517" t="s">
        <v>10798</v>
      </c>
      <c r="D3517" t="s">
        <v>9541</v>
      </c>
      <c r="E3517" t="s">
        <v>9538</v>
      </c>
      <c r="F3517" t="s">
        <v>3396</v>
      </c>
      <c r="G3517" t="s">
        <v>777</v>
      </c>
      <c r="H3517" t="s">
        <v>10799</v>
      </c>
      <c r="I3517" t="s">
        <v>10800</v>
      </c>
      <c r="J3517" t="s">
        <v>780</v>
      </c>
      <c r="K3517" t="s">
        <v>55</v>
      </c>
      <c r="L3517" t="s">
        <v>8354</v>
      </c>
      <c r="M3517" t="s">
        <v>57</v>
      </c>
      <c r="N3517" t="str">
        <f>"062612"</f>
        <v>062612</v>
      </c>
      <c r="O3517" t="s">
        <v>10801</v>
      </c>
      <c r="P3517" t="s">
        <v>68</v>
      </c>
      <c r="Q3517" t="s">
        <v>68</v>
      </c>
      <c r="R3517" t="s">
        <v>68</v>
      </c>
      <c r="S3517" t="s">
        <v>180</v>
      </c>
    </row>
    <row r="3518" spans="1:19" x14ac:dyDescent="0.35">
      <c r="A3518">
        <v>62620</v>
      </c>
      <c r="B3518" t="str">
        <f>"062620"</f>
        <v>062620</v>
      </c>
      <c r="C3518" t="s">
        <v>10802</v>
      </c>
      <c r="D3518" t="s">
        <v>3398</v>
      </c>
      <c r="E3518" t="s">
        <v>9538</v>
      </c>
      <c r="F3518" t="s">
        <v>3396</v>
      </c>
      <c r="G3518" t="s">
        <v>600</v>
      </c>
      <c r="H3518" t="s">
        <v>10803</v>
      </c>
      <c r="I3518" t="s">
        <v>10804</v>
      </c>
      <c r="J3518" t="s">
        <v>1348</v>
      </c>
      <c r="K3518" t="s">
        <v>55</v>
      </c>
      <c r="L3518" t="s">
        <v>1890</v>
      </c>
      <c r="M3518" t="s">
        <v>57</v>
      </c>
      <c r="N3518" t="str">
        <f>"000136"</f>
        <v>000136</v>
      </c>
      <c r="O3518" t="s">
        <v>2853</v>
      </c>
      <c r="P3518" t="s">
        <v>68</v>
      </c>
      <c r="Q3518" t="s">
        <v>68</v>
      </c>
      <c r="R3518" t="s">
        <v>68</v>
      </c>
      <c r="S3518" t="s">
        <v>60</v>
      </c>
    </row>
    <row r="3519" spans="1:19" x14ac:dyDescent="0.35">
      <c r="A3519">
        <v>62760</v>
      </c>
      <c r="B3519" t="str">
        <f>"062760"</f>
        <v>062760</v>
      </c>
      <c r="C3519" t="s">
        <v>10805</v>
      </c>
      <c r="D3519" t="s">
        <v>3394</v>
      </c>
      <c r="E3519" t="s">
        <v>3395</v>
      </c>
      <c r="F3519" t="s">
        <v>3396</v>
      </c>
      <c r="G3519" t="s">
        <v>63</v>
      </c>
      <c r="H3519" t="s">
        <v>10806</v>
      </c>
      <c r="I3519" t="s">
        <v>10807</v>
      </c>
      <c r="J3519" t="s">
        <v>285</v>
      </c>
      <c r="K3519" t="s">
        <v>55</v>
      </c>
      <c r="L3519" t="s">
        <v>7551</v>
      </c>
      <c r="M3519" t="s">
        <v>57</v>
      </c>
      <c r="N3519" t="str">
        <f>"043786"</f>
        <v>043786</v>
      </c>
      <c r="O3519" t="s">
        <v>1340</v>
      </c>
      <c r="P3519" t="s">
        <v>68</v>
      </c>
      <c r="Q3519">
        <v>100</v>
      </c>
      <c r="R3519">
        <v>85.7</v>
      </c>
      <c r="S3519" t="s">
        <v>69</v>
      </c>
    </row>
    <row r="3520" spans="1:19" x14ac:dyDescent="0.35">
      <c r="A3520">
        <v>62778</v>
      </c>
      <c r="B3520" t="str">
        <f>"062778"</f>
        <v>062778</v>
      </c>
      <c r="C3520" t="s">
        <v>10808</v>
      </c>
      <c r="D3520" t="s">
        <v>3394</v>
      </c>
      <c r="E3520" t="s">
        <v>3395</v>
      </c>
      <c r="F3520" t="s">
        <v>3396</v>
      </c>
      <c r="G3520" t="s">
        <v>63</v>
      </c>
      <c r="H3520" t="s">
        <v>10809</v>
      </c>
      <c r="I3520" t="s">
        <v>10810</v>
      </c>
      <c r="J3520" t="s">
        <v>285</v>
      </c>
      <c r="K3520" t="s">
        <v>55</v>
      </c>
      <c r="L3520" t="s">
        <v>7551</v>
      </c>
      <c r="M3520" t="s">
        <v>57</v>
      </c>
      <c r="N3520" t="str">
        <f>"043786"</f>
        <v>043786</v>
      </c>
      <c r="O3520" t="s">
        <v>1340</v>
      </c>
      <c r="P3520" t="s">
        <v>68</v>
      </c>
      <c r="Q3520">
        <v>100</v>
      </c>
      <c r="R3520">
        <v>88.7</v>
      </c>
      <c r="S3520" t="s">
        <v>69</v>
      </c>
    </row>
    <row r="3521" spans="1:19" x14ac:dyDescent="0.35">
      <c r="A3521">
        <v>62786</v>
      </c>
      <c r="B3521" t="str">
        <f>"062786"</f>
        <v>062786</v>
      </c>
      <c r="C3521" t="s">
        <v>10811</v>
      </c>
      <c r="D3521" t="s">
        <v>3394</v>
      </c>
      <c r="E3521" t="s">
        <v>3395</v>
      </c>
      <c r="F3521" t="s">
        <v>3396</v>
      </c>
      <c r="G3521" t="s">
        <v>351</v>
      </c>
      <c r="H3521" t="s">
        <v>10812</v>
      </c>
      <c r="I3521" t="s">
        <v>10813</v>
      </c>
      <c r="J3521" t="s">
        <v>1839</v>
      </c>
      <c r="K3521" t="s">
        <v>55</v>
      </c>
      <c r="L3521" t="s">
        <v>1840</v>
      </c>
      <c r="M3521" t="s">
        <v>57</v>
      </c>
      <c r="N3521" t="str">
        <f>"045021"</f>
        <v>045021</v>
      </c>
      <c r="O3521" t="s">
        <v>1836</v>
      </c>
      <c r="P3521" t="s">
        <v>68</v>
      </c>
      <c r="Q3521">
        <v>99.3</v>
      </c>
      <c r="R3521">
        <v>3.4000000000000057</v>
      </c>
      <c r="S3521" t="s">
        <v>130</v>
      </c>
    </row>
    <row r="3522" spans="1:19" x14ac:dyDescent="0.35">
      <c r="A3522">
        <v>63461</v>
      </c>
      <c r="B3522" t="str">
        <f>"063461"</f>
        <v>063461</v>
      </c>
      <c r="C3522" t="s">
        <v>10814</v>
      </c>
      <c r="D3522" t="s">
        <v>3398</v>
      </c>
      <c r="E3522" t="s">
        <v>3395</v>
      </c>
      <c r="F3522" t="s">
        <v>3396</v>
      </c>
      <c r="G3522" t="s">
        <v>63</v>
      </c>
      <c r="H3522" t="s">
        <v>10815</v>
      </c>
      <c r="I3522" t="s">
        <v>10816</v>
      </c>
      <c r="J3522" t="s">
        <v>285</v>
      </c>
      <c r="K3522" t="s">
        <v>55</v>
      </c>
      <c r="L3522" t="s">
        <v>3458</v>
      </c>
      <c r="M3522" t="s">
        <v>57</v>
      </c>
      <c r="N3522" t="str">
        <f>"043786"</f>
        <v>043786</v>
      </c>
      <c r="O3522" t="s">
        <v>1340</v>
      </c>
      <c r="P3522" t="s">
        <v>68</v>
      </c>
      <c r="Q3522">
        <v>100</v>
      </c>
      <c r="R3522">
        <v>88.1</v>
      </c>
      <c r="S3522" t="s">
        <v>69</v>
      </c>
    </row>
    <row r="3523" spans="1:19" x14ac:dyDescent="0.35">
      <c r="A3523">
        <v>64048</v>
      </c>
      <c r="B3523" t="str">
        <f>"064048"</f>
        <v>064048</v>
      </c>
      <c r="C3523" t="s">
        <v>10817</v>
      </c>
      <c r="D3523" t="s">
        <v>3400</v>
      </c>
      <c r="E3523" t="s">
        <v>3395</v>
      </c>
      <c r="F3523" t="s">
        <v>3396</v>
      </c>
      <c r="G3523" t="s">
        <v>1020</v>
      </c>
      <c r="H3523" t="s">
        <v>10818</v>
      </c>
      <c r="I3523" t="s">
        <v>10819</v>
      </c>
      <c r="J3523" t="s">
        <v>3309</v>
      </c>
      <c r="K3523" t="s">
        <v>55</v>
      </c>
      <c r="L3523" t="s">
        <v>3310</v>
      </c>
      <c r="M3523" t="s">
        <v>57</v>
      </c>
      <c r="N3523" t="str">
        <f>"043885"</f>
        <v>043885</v>
      </c>
      <c r="O3523" t="s">
        <v>3306</v>
      </c>
      <c r="P3523" t="s">
        <v>68</v>
      </c>
      <c r="Q3523">
        <v>55.3</v>
      </c>
      <c r="R3523">
        <v>12.299999999999997</v>
      </c>
      <c r="S3523" t="s">
        <v>156</v>
      </c>
    </row>
    <row r="3524" spans="1:19" x14ac:dyDescent="0.35">
      <c r="A3524">
        <v>64071</v>
      </c>
      <c r="B3524" t="str">
        <f>"064071"</f>
        <v>064071</v>
      </c>
      <c r="C3524" t="s">
        <v>10820</v>
      </c>
      <c r="D3524" t="s">
        <v>3394</v>
      </c>
      <c r="E3524" t="s">
        <v>3395</v>
      </c>
      <c r="F3524" t="s">
        <v>3396</v>
      </c>
      <c r="G3524" t="s">
        <v>434</v>
      </c>
      <c r="H3524" t="s">
        <v>1768</v>
      </c>
      <c r="I3524" t="s">
        <v>1769</v>
      </c>
      <c r="J3524" t="s">
        <v>434</v>
      </c>
      <c r="K3524" t="s">
        <v>55</v>
      </c>
      <c r="L3524" t="s">
        <v>1770</v>
      </c>
      <c r="M3524" t="s">
        <v>57</v>
      </c>
      <c r="N3524" t="str">
        <f>"045575"</f>
        <v>045575</v>
      </c>
      <c r="O3524" t="s">
        <v>1767</v>
      </c>
      <c r="P3524" t="s">
        <v>68</v>
      </c>
      <c r="Q3524">
        <v>59.6</v>
      </c>
      <c r="R3524">
        <v>17.099999999999994</v>
      </c>
      <c r="S3524" t="s">
        <v>156</v>
      </c>
    </row>
    <row r="3525" spans="1:19" x14ac:dyDescent="0.35">
      <c r="A3525">
        <v>64089</v>
      </c>
      <c r="B3525" t="str">
        <f>"064089"</f>
        <v>064089</v>
      </c>
      <c r="C3525" t="s">
        <v>10821</v>
      </c>
      <c r="D3525" t="s">
        <v>3394</v>
      </c>
      <c r="E3525" t="s">
        <v>3395</v>
      </c>
      <c r="F3525" t="s">
        <v>3396</v>
      </c>
      <c r="G3525" t="s">
        <v>600</v>
      </c>
      <c r="H3525" t="s">
        <v>10822</v>
      </c>
      <c r="I3525" t="s">
        <v>10823</v>
      </c>
      <c r="J3525" t="s">
        <v>1348</v>
      </c>
      <c r="K3525" t="s">
        <v>55</v>
      </c>
      <c r="L3525" t="s">
        <v>4008</v>
      </c>
      <c r="M3525" t="s">
        <v>57</v>
      </c>
      <c r="N3525" t="str">
        <f>"045138"</f>
        <v>045138</v>
      </c>
      <c r="O3525" t="s">
        <v>1497</v>
      </c>
      <c r="P3525" t="s">
        <v>68</v>
      </c>
      <c r="Q3525">
        <v>3.4</v>
      </c>
      <c r="R3525">
        <v>17.099999999999994</v>
      </c>
      <c r="S3525" t="s">
        <v>60</v>
      </c>
    </row>
    <row r="3526" spans="1:19" x14ac:dyDescent="0.35">
      <c r="A3526">
        <v>64113</v>
      </c>
      <c r="B3526" t="str">
        <f>"064113"</f>
        <v>064113</v>
      </c>
      <c r="C3526" t="s">
        <v>10824</v>
      </c>
      <c r="D3526" t="s">
        <v>3506</v>
      </c>
      <c r="E3526" t="s">
        <v>3395</v>
      </c>
      <c r="F3526" t="s">
        <v>3396</v>
      </c>
      <c r="G3526" t="s">
        <v>143</v>
      </c>
      <c r="H3526" t="s">
        <v>10825</v>
      </c>
      <c r="I3526" t="s">
        <v>10826</v>
      </c>
      <c r="J3526" t="s">
        <v>1004</v>
      </c>
      <c r="K3526" t="s">
        <v>55</v>
      </c>
      <c r="L3526" t="s">
        <v>1005</v>
      </c>
      <c r="M3526" t="s">
        <v>57</v>
      </c>
      <c r="N3526" t="str">
        <f>"045195"</f>
        <v>045195</v>
      </c>
      <c r="O3526" t="s">
        <v>1001</v>
      </c>
      <c r="P3526" t="s">
        <v>68</v>
      </c>
      <c r="Q3526">
        <v>26.5</v>
      </c>
      <c r="R3526">
        <v>21.900000000000006</v>
      </c>
      <c r="S3526" t="s">
        <v>69</v>
      </c>
    </row>
    <row r="3527" spans="1:19" x14ac:dyDescent="0.35">
      <c r="A3527">
        <v>64139</v>
      </c>
      <c r="B3527" t="str">
        <f>"064139"</f>
        <v>064139</v>
      </c>
      <c r="C3527" t="s">
        <v>10827</v>
      </c>
      <c r="D3527" t="s">
        <v>3400</v>
      </c>
      <c r="E3527" t="s">
        <v>3395</v>
      </c>
      <c r="F3527" t="s">
        <v>3396</v>
      </c>
      <c r="G3527" t="s">
        <v>2304</v>
      </c>
      <c r="H3527" t="s">
        <v>8677</v>
      </c>
      <c r="I3527" t="s">
        <v>8678</v>
      </c>
      <c r="J3527" t="s">
        <v>2304</v>
      </c>
      <c r="K3527" t="s">
        <v>55</v>
      </c>
      <c r="L3527" t="s">
        <v>2369</v>
      </c>
      <c r="M3527" t="s">
        <v>57</v>
      </c>
      <c r="N3527" t="str">
        <f>"046722"</f>
        <v>046722</v>
      </c>
      <c r="O3527" t="s">
        <v>776</v>
      </c>
      <c r="P3527" t="s">
        <v>68</v>
      </c>
      <c r="Q3527">
        <v>18.3</v>
      </c>
      <c r="R3527">
        <v>12.099999999999994</v>
      </c>
      <c r="S3527" t="s">
        <v>156</v>
      </c>
    </row>
    <row r="3528" spans="1:19" x14ac:dyDescent="0.35">
      <c r="A3528">
        <v>64147</v>
      </c>
      <c r="B3528" t="str">
        <f>"064147"</f>
        <v>064147</v>
      </c>
      <c r="C3528" t="s">
        <v>10828</v>
      </c>
      <c r="D3528" t="s">
        <v>3398</v>
      </c>
      <c r="E3528" t="s">
        <v>3395</v>
      </c>
      <c r="F3528" t="s">
        <v>3396</v>
      </c>
      <c r="G3528" t="s">
        <v>212</v>
      </c>
      <c r="H3528" t="s">
        <v>5602</v>
      </c>
      <c r="I3528" t="s">
        <v>5603</v>
      </c>
      <c r="J3528" t="s">
        <v>215</v>
      </c>
      <c r="K3528" t="s">
        <v>55</v>
      </c>
      <c r="L3528" t="s">
        <v>2321</v>
      </c>
      <c r="M3528" t="s">
        <v>57</v>
      </c>
      <c r="N3528" t="str">
        <f>"044081"</f>
        <v>044081</v>
      </c>
      <c r="O3528" t="s">
        <v>2318</v>
      </c>
      <c r="P3528" t="s">
        <v>68</v>
      </c>
      <c r="Q3528">
        <v>70.599999999999994</v>
      </c>
      <c r="R3528">
        <v>92.8</v>
      </c>
      <c r="S3528" t="s">
        <v>217</v>
      </c>
    </row>
    <row r="3529" spans="1:19" x14ac:dyDescent="0.35">
      <c r="A3529">
        <v>64162</v>
      </c>
      <c r="B3529" t="str">
        <f>"064162"</f>
        <v>064162</v>
      </c>
      <c r="C3529" t="s">
        <v>10829</v>
      </c>
      <c r="D3529" t="s">
        <v>3400</v>
      </c>
      <c r="E3529" t="s">
        <v>3395</v>
      </c>
      <c r="F3529" t="s">
        <v>3396</v>
      </c>
      <c r="G3529" t="s">
        <v>63</v>
      </c>
      <c r="H3529" t="s">
        <v>10830</v>
      </c>
      <c r="I3529" t="s">
        <v>10831</v>
      </c>
      <c r="J3529" t="s">
        <v>1863</v>
      </c>
      <c r="K3529" t="s">
        <v>55</v>
      </c>
      <c r="L3529" t="s">
        <v>1864</v>
      </c>
      <c r="M3529" t="s">
        <v>57</v>
      </c>
      <c r="N3529" t="str">
        <f>"046607"</f>
        <v>046607</v>
      </c>
      <c r="O3529" t="s">
        <v>1860</v>
      </c>
      <c r="P3529" t="s">
        <v>68</v>
      </c>
      <c r="Q3529">
        <v>13.8</v>
      </c>
      <c r="R3529">
        <v>50.3</v>
      </c>
      <c r="S3529" t="s">
        <v>69</v>
      </c>
    </row>
    <row r="3530" spans="1:19" x14ac:dyDescent="0.35">
      <c r="A3530">
        <v>64188</v>
      </c>
      <c r="B3530" t="str">
        <f>"064188"</f>
        <v>064188</v>
      </c>
      <c r="C3530" t="s">
        <v>10832</v>
      </c>
      <c r="D3530" t="s">
        <v>3400</v>
      </c>
      <c r="E3530" t="s">
        <v>3395</v>
      </c>
      <c r="F3530" t="s">
        <v>3396</v>
      </c>
      <c r="G3530" t="s">
        <v>1567</v>
      </c>
      <c r="H3530" t="s">
        <v>10833</v>
      </c>
      <c r="I3530" t="s">
        <v>10834</v>
      </c>
      <c r="J3530" t="s">
        <v>3056</v>
      </c>
      <c r="K3530" t="s">
        <v>55</v>
      </c>
      <c r="L3530" t="s">
        <v>3057</v>
      </c>
      <c r="M3530" t="s">
        <v>57</v>
      </c>
      <c r="N3530" t="str">
        <f>"049098"</f>
        <v>049098</v>
      </c>
      <c r="O3530" t="s">
        <v>3053</v>
      </c>
      <c r="P3530" t="s">
        <v>68</v>
      </c>
      <c r="Q3530">
        <v>38.299999999999997</v>
      </c>
      <c r="R3530">
        <v>8.7999999999999972</v>
      </c>
      <c r="S3530" t="s">
        <v>60</v>
      </c>
    </row>
    <row r="3531" spans="1:19" x14ac:dyDescent="0.35">
      <c r="A3531">
        <v>64196</v>
      </c>
      <c r="B3531" t="str">
        <f>"064196"</f>
        <v>064196</v>
      </c>
      <c r="C3531" t="s">
        <v>10835</v>
      </c>
      <c r="D3531" t="s">
        <v>3400</v>
      </c>
      <c r="E3531" t="s">
        <v>3395</v>
      </c>
      <c r="F3531" t="s">
        <v>3396</v>
      </c>
      <c r="G3531" t="s">
        <v>1567</v>
      </c>
      <c r="H3531" t="s">
        <v>10836</v>
      </c>
      <c r="I3531" t="s">
        <v>10837</v>
      </c>
      <c r="J3531" t="s">
        <v>2439</v>
      </c>
      <c r="K3531" t="s">
        <v>55</v>
      </c>
      <c r="L3531" t="s">
        <v>2440</v>
      </c>
      <c r="M3531" t="s">
        <v>57</v>
      </c>
      <c r="N3531" t="str">
        <f>"049106"</f>
        <v>049106</v>
      </c>
      <c r="O3531" t="s">
        <v>2436</v>
      </c>
      <c r="P3531" t="s">
        <v>68</v>
      </c>
      <c r="Q3531">
        <v>40.799999999999997</v>
      </c>
      <c r="R3531">
        <v>7.0999999999999943</v>
      </c>
      <c r="S3531" t="s">
        <v>60</v>
      </c>
    </row>
    <row r="3532" spans="1:19" x14ac:dyDescent="0.35">
      <c r="A3532">
        <v>64287</v>
      </c>
      <c r="B3532" t="str">
        <f>"064287"</f>
        <v>064287</v>
      </c>
      <c r="C3532" t="s">
        <v>10838</v>
      </c>
      <c r="D3532" t="s">
        <v>3394</v>
      </c>
      <c r="E3532" t="s">
        <v>3395</v>
      </c>
      <c r="F3532" t="s">
        <v>3396</v>
      </c>
      <c r="G3532" t="s">
        <v>759</v>
      </c>
      <c r="H3532" t="s">
        <v>10839</v>
      </c>
      <c r="I3532" t="s">
        <v>10840</v>
      </c>
      <c r="J3532" t="s">
        <v>79</v>
      </c>
      <c r="K3532" t="s">
        <v>55</v>
      </c>
      <c r="L3532" t="s">
        <v>2191</v>
      </c>
      <c r="M3532" t="s">
        <v>57</v>
      </c>
      <c r="N3532" t="str">
        <f>"044131"</f>
        <v>044131</v>
      </c>
      <c r="O3532" t="s">
        <v>2187</v>
      </c>
      <c r="P3532" t="s">
        <v>68</v>
      </c>
      <c r="Q3532">
        <v>31.8</v>
      </c>
      <c r="R3532">
        <v>12</v>
      </c>
      <c r="S3532" t="s">
        <v>69</v>
      </c>
    </row>
    <row r="3533" spans="1:19" x14ac:dyDescent="0.35">
      <c r="A3533">
        <v>64303</v>
      </c>
      <c r="B3533" t="str">
        <f>"064303"</f>
        <v>064303</v>
      </c>
      <c r="C3533" t="s">
        <v>6667</v>
      </c>
      <c r="D3533" t="s">
        <v>3394</v>
      </c>
      <c r="E3533" t="s">
        <v>3395</v>
      </c>
      <c r="F3533" t="s">
        <v>3396</v>
      </c>
      <c r="G3533" t="s">
        <v>1193</v>
      </c>
      <c r="H3533" t="s">
        <v>10841</v>
      </c>
      <c r="I3533" t="s">
        <v>10842</v>
      </c>
      <c r="J3533" t="s">
        <v>1196</v>
      </c>
      <c r="K3533" t="s">
        <v>55</v>
      </c>
      <c r="L3533" t="s">
        <v>9149</v>
      </c>
      <c r="M3533" t="s">
        <v>57</v>
      </c>
      <c r="N3533" t="str">
        <f>"045799"</f>
        <v>045799</v>
      </c>
      <c r="O3533" t="s">
        <v>2835</v>
      </c>
      <c r="P3533" t="s">
        <v>68</v>
      </c>
      <c r="Q3533">
        <v>31.5</v>
      </c>
      <c r="R3533">
        <v>14.900000000000006</v>
      </c>
      <c r="S3533" t="s">
        <v>156</v>
      </c>
    </row>
    <row r="3534" spans="1:19" x14ac:dyDescent="0.35">
      <c r="A3534">
        <v>64311</v>
      </c>
      <c r="B3534" t="str">
        <f>"064311"</f>
        <v>064311</v>
      </c>
      <c r="C3534" t="s">
        <v>6803</v>
      </c>
      <c r="D3534" t="s">
        <v>3394</v>
      </c>
      <c r="E3534" t="s">
        <v>3395</v>
      </c>
      <c r="F3534" t="s">
        <v>3396</v>
      </c>
      <c r="G3534" t="s">
        <v>383</v>
      </c>
      <c r="H3534" t="s">
        <v>10843</v>
      </c>
      <c r="I3534" t="s">
        <v>10844</v>
      </c>
      <c r="J3534" t="s">
        <v>1064</v>
      </c>
      <c r="K3534" t="s">
        <v>55</v>
      </c>
      <c r="L3534" t="s">
        <v>1065</v>
      </c>
      <c r="M3534" t="s">
        <v>57</v>
      </c>
      <c r="N3534" t="str">
        <f>"048348"</f>
        <v>048348</v>
      </c>
      <c r="O3534" t="s">
        <v>1061</v>
      </c>
      <c r="P3534" t="s">
        <v>68</v>
      </c>
      <c r="Q3534">
        <v>16.5</v>
      </c>
      <c r="R3534">
        <v>9.2000000000000028</v>
      </c>
      <c r="S3534" t="s">
        <v>77</v>
      </c>
    </row>
    <row r="3535" spans="1:19" x14ac:dyDescent="0.35">
      <c r="A3535">
        <v>64360</v>
      </c>
      <c r="B3535" t="str">
        <f>"064360"</f>
        <v>064360</v>
      </c>
      <c r="C3535" t="s">
        <v>10845</v>
      </c>
      <c r="D3535" t="s">
        <v>3400</v>
      </c>
      <c r="E3535" t="s">
        <v>3395</v>
      </c>
      <c r="F3535" t="s">
        <v>3396</v>
      </c>
      <c r="G3535" t="s">
        <v>244</v>
      </c>
      <c r="H3535" t="s">
        <v>10846</v>
      </c>
      <c r="I3535" t="s">
        <v>10847</v>
      </c>
      <c r="J3535" t="s">
        <v>1179</v>
      </c>
      <c r="K3535" t="s">
        <v>55</v>
      </c>
      <c r="L3535" t="s">
        <v>1180</v>
      </c>
      <c r="M3535" t="s">
        <v>57</v>
      </c>
      <c r="N3535" t="str">
        <f>"044404"</f>
        <v>044404</v>
      </c>
      <c r="O3535" t="s">
        <v>1176</v>
      </c>
      <c r="P3535" t="s">
        <v>68</v>
      </c>
      <c r="Q3535">
        <v>100</v>
      </c>
      <c r="R3535">
        <v>49.3</v>
      </c>
      <c r="S3535" t="s">
        <v>217</v>
      </c>
    </row>
    <row r="3536" spans="1:19" x14ac:dyDescent="0.35">
      <c r="A3536">
        <v>64378</v>
      </c>
      <c r="B3536" t="str">
        <f>"064378"</f>
        <v>064378</v>
      </c>
      <c r="C3536" t="s">
        <v>10848</v>
      </c>
      <c r="D3536" t="s">
        <v>3400</v>
      </c>
      <c r="E3536" t="s">
        <v>3395</v>
      </c>
      <c r="F3536" t="s">
        <v>3396</v>
      </c>
      <c r="G3536" t="s">
        <v>212</v>
      </c>
      <c r="H3536" t="s">
        <v>10849</v>
      </c>
      <c r="I3536" t="s">
        <v>10850</v>
      </c>
      <c r="J3536" t="s">
        <v>1187</v>
      </c>
      <c r="K3536" t="s">
        <v>55</v>
      </c>
      <c r="L3536" t="s">
        <v>2134</v>
      </c>
      <c r="M3536" t="s">
        <v>57</v>
      </c>
      <c r="N3536" t="str">
        <f>"047381"</f>
        <v>047381</v>
      </c>
      <c r="O3536" t="s">
        <v>2131</v>
      </c>
      <c r="P3536" t="s">
        <v>68</v>
      </c>
      <c r="Q3536">
        <v>36.9</v>
      </c>
      <c r="R3536">
        <v>10.900000000000006</v>
      </c>
      <c r="S3536" t="s">
        <v>217</v>
      </c>
    </row>
    <row r="3537" spans="1:19" x14ac:dyDescent="0.35">
      <c r="A3537">
        <v>64394</v>
      </c>
      <c r="B3537" t="str">
        <f>"064394"</f>
        <v>064394</v>
      </c>
      <c r="C3537" t="s">
        <v>10851</v>
      </c>
      <c r="D3537" t="s">
        <v>3398</v>
      </c>
      <c r="E3537" t="s">
        <v>9538</v>
      </c>
      <c r="F3537" t="s">
        <v>3396</v>
      </c>
      <c r="G3537" t="s">
        <v>481</v>
      </c>
      <c r="H3537" t="s">
        <v>10852</v>
      </c>
      <c r="I3537" t="s">
        <v>10853</v>
      </c>
      <c r="J3537" t="s">
        <v>484</v>
      </c>
      <c r="K3537" t="s">
        <v>55</v>
      </c>
      <c r="L3537" t="s">
        <v>485</v>
      </c>
      <c r="M3537" t="s">
        <v>57</v>
      </c>
      <c r="N3537" t="str">
        <f>"052522"</f>
        <v>052522</v>
      </c>
      <c r="O3537" t="s">
        <v>605</v>
      </c>
      <c r="P3537" t="s">
        <v>68</v>
      </c>
      <c r="Q3537" t="s">
        <v>68</v>
      </c>
      <c r="R3537" t="s">
        <v>68</v>
      </c>
      <c r="S3537" t="s">
        <v>69</v>
      </c>
    </row>
    <row r="3538" spans="1:19" x14ac:dyDescent="0.35">
      <c r="A3538">
        <v>64402</v>
      </c>
      <c r="B3538" t="str">
        <f>"064402"</f>
        <v>064402</v>
      </c>
      <c r="C3538" t="s">
        <v>10854</v>
      </c>
      <c r="D3538" t="s">
        <v>3394</v>
      </c>
      <c r="E3538" t="s">
        <v>9538</v>
      </c>
      <c r="F3538" t="s">
        <v>3396</v>
      </c>
      <c r="G3538" t="s">
        <v>63</v>
      </c>
      <c r="H3538" t="s">
        <v>10855</v>
      </c>
      <c r="I3538" t="s">
        <v>10856</v>
      </c>
      <c r="J3538" t="s">
        <v>3031</v>
      </c>
      <c r="K3538" t="s">
        <v>55</v>
      </c>
      <c r="L3538" t="s">
        <v>3032</v>
      </c>
      <c r="M3538" t="s">
        <v>57</v>
      </c>
      <c r="N3538" t="str">
        <f>"000136"</f>
        <v>000136</v>
      </c>
      <c r="O3538" t="s">
        <v>2853</v>
      </c>
      <c r="P3538" t="s">
        <v>68</v>
      </c>
      <c r="Q3538" t="s">
        <v>68</v>
      </c>
      <c r="R3538" t="s">
        <v>68</v>
      </c>
      <c r="S3538" t="s">
        <v>69</v>
      </c>
    </row>
    <row r="3539" spans="1:19" x14ac:dyDescent="0.35">
      <c r="A3539">
        <v>64576</v>
      </c>
      <c r="B3539" t="str">
        <f>"064576"</f>
        <v>064576</v>
      </c>
      <c r="C3539" t="s">
        <v>10857</v>
      </c>
      <c r="D3539" t="s">
        <v>3398</v>
      </c>
      <c r="E3539" t="s">
        <v>3395</v>
      </c>
      <c r="F3539" t="s">
        <v>3396</v>
      </c>
      <c r="G3539" t="s">
        <v>63</v>
      </c>
      <c r="H3539" t="s">
        <v>10858</v>
      </c>
      <c r="I3539" t="s">
        <v>10859</v>
      </c>
      <c r="J3539" t="s">
        <v>285</v>
      </c>
      <c r="K3539" t="s">
        <v>55</v>
      </c>
      <c r="L3539" t="s">
        <v>3915</v>
      </c>
      <c r="M3539" t="s">
        <v>57</v>
      </c>
      <c r="N3539" t="str">
        <f>"043786"</f>
        <v>043786</v>
      </c>
      <c r="O3539" t="s">
        <v>1340</v>
      </c>
      <c r="P3539" t="s">
        <v>68</v>
      </c>
      <c r="Q3539">
        <v>100</v>
      </c>
      <c r="R3539">
        <v>87.8</v>
      </c>
      <c r="S3539" t="s">
        <v>69</v>
      </c>
    </row>
    <row r="3540" spans="1:19" x14ac:dyDescent="0.35">
      <c r="A3540">
        <v>64600</v>
      </c>
      <c r="B3540" t="str">
        <f>"064600"</f>
        <v>064600</v>
      </c>
      <c r="C3540" t="s">
        <v>10860</v>
      </c>
      <c r="D3540" t="s">
        <v>3400</v>
      </c>
      <c r="E3540" t="s">
        <v>3395</v>
      </c>
      <c r="F3540" t="s">
        <v>3396</v>
      </c>
      <c r="G3540" t="s">
        <v>233</v>
      </c>
      <c r="H3540" t="s">
        <v>10861</v>
      </c>
      <c r="I3540" t="s">
        <v>10862</v>
      </c>
      <c r="J3540" t="s">
        <v>2713</v>
      </c>
      <c r="K3540" t="s">
        <v>55</v>
      </c>
      <c r="L3540" t="s">
        <v>2714</v>
      </c>
      <c r="M3540" t="s">
        <v>57</v>
      </c>
      <c r="N3540" t="str">
        <f>"045203"</f>
        <v>045203</v>
      </c>
      <c r="O3540" t="s">
        <v>2710</v>
      </c>
      <c r="P3540" t="s">
        <v>68</v>
      </c>
      <c r="Q3540">
        <v>43.5</v>
      </c>
      <c r="R3540">
        <v>2.5</v>
      </c>
      <c r="S3540" t="s">
        <v>130</v>
      </c>
    </row>
    <row r="3541" spans="1:19" x14ac:dyDescent="0.35">
      <c r="A3541">
        <v>64618</v>
      </c>
      <c r="B3541" t="str">
        <f>"064618"</f>
        <v>064618</v>
      </c>
      <c r="C3541" t="s">
        <v>10863</v>
      </c>
      <c r="D3541" t="s">
        <v>3394</v>
      </c>
      <c r="E3541" t="s">
        <v>3395</v>
      </c>
      <c r="F3541" t="s">
        <v>3396</v>
      </c>
      <c r="G3541" t="s">
        <v>543</v>
      </c>
      <c r="H3541" t="s">
        <v>10864</v>
      </c>
      <c r="I3541" t="s">
        <v>10865</v>
      </c>
      <c r="J3541" t="s">
        <v>1252</v>
      </c>
      <c r="K3541" t="s">
        <v>55</v>
      </c>
      <c r="L3541" t="s">
        <v>1253</v>
      </c>
      <c r="M3541" t="s">
        <v>57</v>
      </c>
      <c r="N3541" t="str">
        <f>"048751"</f>
        <v>048751</v>
      </c>
      <c r="O3541" t="s">
        <v>1249</v>
      </c>
      <c r="P3541" t="s">
        <v>68</v>
      </c>
      <c r="Q3541">
        <v>47.2</v>
      </c>
      <c r="R3541">
        <v>48.5</v>
      </c>
      <c r="S3541" t="s">
        <v>180</v>
      </c>
    </row>
    <row r="3542" spans="1:19" x14ac:dyDescent="0.35">
      <c r="A3542">
        <v>64626</v>
      </c>
      <c r="B3542" t="str">
        <f>"064626"</f>
        <v>064626</v>
      </c>
      <c r="C3542" t="s">
        <v>10866</v>
      </c>
      <c r="D3542" t="s">
        <v>3394</v>
      </c>
      <c r="E3542" t="s">
        <v>3395</v>
      </c>
      <c r="F3542" t="s">
        <v>3396</v>
      </c>
      <c r="G3542" t="s">
        <v>663</v>
      </c>
      <c r="H3542" t="s">
        <v>10867</v>
      </c>
      <c r="I3542" t="s">
        <v>10868</v>
      </c>
      <c r="J3542" t="s">
        <v>2030</v>
      </c>
      <c r="K3542" t="s">
        <v>55</v>
      </c>
      <c r="L3542" t="s">
        <v>2031</v>
      </c>
      <c r="M3542" t="s">
        <v>57</v>
      </c>
      <c r="N3542" t="str">
        <f>"049437"</f>
        <v>049437</v>
      </c>
      <c r="O3542" t="s">
        <v>2027</v>
      </c>
      <c r="P3542" t="s">
        <v>68</v>
      </c>
      <c r="Q3542">
        <v>26</v>
      </c>
      <c r="R3542">
        <v>9.5999999999999943</v>
      </c>
      <c r="S3542" t="s">
        <v>77</v>
      </c>
    </row>
    <row r="3543" spans="1:19" x14ac:dyDescent="0.35">
      <c r="A3543">
        <v>64667</v>
      </c>
      <c r="B3543" t="str">
        <f>"064667"</f>
        <v>064667</v>
      </c>
      <c r="C3543" t="s">
        <v>10869</v>
      </c>
      <c r="D3543" t="s">
        <v>3400</v>
      </c>
      <c r="E3543" t="s">
        <v>3395</v>
      </c>
      <c r="F3543" t="s">
        <v>3396</v>
      </c>
      <c r="G3543" t="s">
        <v>132</v>
      </c>
      <c r="H3543" t="s">
        <v>10870</v>
      </c>
      <c r="I3543" t="s">
        <v>10871</v>
      </c>
      <c r="J3543" t="s">
        <v>3185</v>
      </c>
      <c r="K3543" t="s">
        <v>55</v>
      </c>
      <c r="L3543" t="s">
        <v>3186</v>
      </c>
      <c r="M3543" t="s">
        <v>57</v>
      </c>
      <c r="N3543" t="str">
        <f>"045880"</f>
        <v>045880</v>
      </c>
      <c r="O3543" t="s">
        <v>3182</v>
      </c>
      <c r="P3543" t="s">
        <v>68</v>
      </c>
      <c r="Q3543">
        <v>59.6</v>
      </c>
      <c r="R3543">
        <v>8.2999999999999972</v>
      </c>
      <c r="S3543" t="s">
        <v>69</v>
      </c>
    </row>
    <row r="3544" spans="1:19" x14ac:dyDescent="0.35">
      <c r="A3544">
        <v>64675</v>
      </c>
      <c r="B3544" t="str">
        <f>"064675"</f>
        <v>064675</v>
      </c>
      <c r="C3544" t="s">
        <v>10872</v>
      </c>
      <c r="D3544" t="s">
        <v>3394</v>
      </c>
      <c r="E3544" t="s">
        <v>3395</v>
      </c>
      <c r="F3544" t="s">
        <v>3396</v>
      </c>
      <c r="G3544" t="s">
        <v>406</v>
      </c>
      <c r="H3544" t="s">
        <v>10873</v>
      </c>
      <c r="I3544" t="s">
        <v>10874</v>
      </c>
      <c r="J3544" t="s">
        <v>909</v>
      </c>
      <c r="K3544" t="s">
        <v>55</v>
      </c>
      <c r="L3544" t="s">
        <v>910</v>
      </c>
      <c r="M3544" t="s">
        <v>57</v>
      </c>
      <c r="N3544" t="str">
        <f>"043661"</f>
        <v>043661</v>
      </c>
      <c r="O3544" t="s">
        <v>906</v>
      </c>
      <c r="P3544" t="s">
        <v>68</v>
      </c>
      <c r="Q3544">
        <v>14.7</v>
      </c>
      <c r="R3544">
        <v>13.099999999999994</v>
      </c>
      <c r="S3544" t="s">
        <v>77</v>
      </c>
    </row>
    <row r="3545" spans="1:19" x14ac:dyDescent="0.35">
      <c r="A3545">
        <v>64683</v>
      </c>
      <c r="B3545" t="str">
        <f>"064683"</f>
        <v>064683</v>
      </c>
      <c r="C3545" t="s">
        <v>7408</v>
      </c>
      <c r="D3545" t="s">
        <v>3398</v>
      </c>
      <c r="E3545" t="s">
        <v>3395</v>
      </c>
      <c r="F3545" t="s">
        <v>3396</v>
      </c>
      <c r="G3545" t="s">
        <v>212</v>
      </c>
      <c r="H3545" t="s">
        <v>10875</v>
      </c>
      <c r="I3545" t="s">
        <v>10876</v>
      </c>
      <c r="J3545" t="s">
        <v>215</v>
      </c>
      <c r="K3545" t="s">
        <v>55</v>
      </c>
      <c r="L3545" t="s">
        <v>914</v>
      </c>
      <c r="M3545" t="s">
        <v>57</v>
      </c>
      <c r="N3545" t="str">
        <f>"047365"</f>
        <v>047365</v>
      </c>
      <c r="O3545" t="s">
        <v>611</v>
      </c>
      <c r="P3545" t="s">
        <v>68</v>
      </c>
      <c r="Q3545">
        <v>58.2</v>
      </c>
      <c r="R3545">
        <v>68.3</v>
      </c>
      <c r="S3545" t="s">
        <v>217</v>
      </c>
    </row>
    <row r="3546" spans="1:19" x14ac:dyDescent="0.35">
      <c r="A3546">
        <v>64717</v>
      </c>
      <c r="B3546" t="str">
        <f>"064717"</f>
        <v>064717</v>
      </c>
      <c r="C3546" t="s">
        <v>10877</v>
      </c>
      <c r="D3546" t="s">
        <v>3394</v>
      </c>
      <c r="E3546" t="s">
        <v>3395</v>
      </c>
      <c r="F3546" t="s">
        <v>3396</v>
      </c>
      <c r="G3546" t="s">
        <v>1567</v>
      </c>
      <c r="H3546" t="s">
        <v>6489</v>
      </c>
      <c r="I3546" t="s">
        <v>6490</v>
      </c>
      <c r="J3546" t="s">
        <v>1570</v>
      </c>
      <c r="K3546" t="s">
        <v>55</v>
      </c>
      <c r="L3546" t="s">
        <v>1571</v>
      </c>
      <c r="M3546" t="s">
        <v>57</v>
      </c>
      <c r="N3546" t="str">
        <f>"049080"</f>
        <v>049080</v>
      </c>
      <c r="O3546" t="s">
        <v>1566</v>
      </c>
      <c r="P3546" t="s">
        <v>68</v>
      </c>
      <c r="Q3546">
        <v>55</v>
      </c>
      <c r="R3546">
        <v>7.2000000000000028</v>
      </c>
      <c r="S3546" t="s">
        <v>60</v>
      </c>
    </row>
    <row r="3547" spans="1:19" x14ac:dyDescent="0.35">
      <c r="A3547">
        <v>64725</v>
      </c>
      <c r="B3547" t="str">
        <f>"064725"</f>
        <v>064725</v>
      </c>
      <c r="C3547" t="s">
        <v>10878</v>
      </c>
      <c r="D3547" t="s">
        <v>3506</v>
      </c>
      <c r="E3547" t="s">
        <v>3395</v>
      </c>
      <c r="F3547" t="s">
        <v>3396</v>
      </c>
      <c r="G3547" t="s">
        <v>169</v>
      </c>
      <c r="H3547" t="s">
        <v>10879</v>
      </c>
      <c r="I3547" t="s">
        <v>10880</v>
      </c>
      <c r="J3547" t="s">
        <v>1811</v>
      </c>
      <c r="K3547" t="s">
        <v>55</v>
      </c>
      <c r="L3547" t="s">
        <v>1812</v>
      </c>
      <c r="M3547" t="s">
        <v>57</v>
      </c>
      <c r="N3547" t="str">
        <f>"045567"</f>
        <v>045567</v>
      </c>
      <c r="O3547" t="s">
        <v>1808</v>
      </c>
      <c r="P3547" t="s">
        <v>68</v>
      </c>
      <c r="Q3547">
        <v>57.6</v>
      </c>
      <c r="R3547">
        <v>10.099999999999994</v>
      </c>
      <c r="S3547" t="s">
        <v>77</v>
      </c>
    </row>
    <row r="3548" spans="1:19" x14ac:dyDescent="0.35">
      <c r="A3548">
        <v>64733</v>
      </c>
      <c r="B3548" t="str">
        <f>"064733"</f>
        <v>064733</v>
      </c>
      <c r="C3548" t="s">
        <v>10881</v>
      </c>
      <c r="D3548" t="s">
        <v>3400</v>
      </c>
      <c r="E3548" t="s">
        <v>3395</v>
      </c>
      <c r="F3548" t="s">
        <v>3396</v>
      </c>
      <c r="G3548" t="s">
        <v>143</v>
      </c>
      <c r="H3548" t="s">
        <v>10882</v>
      </c>
      <c r="I3548" t="s">
        <v>10883</v>
      </c>
      <c r="J3548" t="s">
        <v>528</v>
      </c>
      <c r="K3548" t="s">
        <v>55</v>
      </c>
      <c r="L3548" t="s">
        <v>529</v>
      </c>
      <c r="M3548" t="s">
        <v>57</v>
      </c>
      <c r="N3548" t="str">
        <f>"043943"</f>
        <v>043943</v>
      </c>
      <c r="O3548" t="s">
        <v>525</v>
      </c>
      <c r="P3548" t="s">
        <v>68</v>
      </c>
      <c r="Q3548">
        <v>99.8</v>
      </c>
      <c r="R3548">
        <v>62.1</v>
      </c>
      <c r="S3548" t="s">
        <v>69</v>
      </c>
    </row>
    <row r="3549" spans="1:19" x14ac:dyDescent="0.35">
      <c r="A3549">
        <v>64741</v>
      </c>
      <c r="B3549" t="str">
        <f>"064741"</f>
        <v>064741</v>
      </c>
      <c r="C3549" t="s">
        <v>10884</v>
      </c>
      <c r="D3549" t="s">
        <v>3394</v>
      </c>
      <c r="E3549" t="s">
        <v>3395</v>
      </c>
      <c r="F3549" t="s">
        <v>3396</v>
      </c>
      <c r="G3549" t="s">
        <v>63</v>
      </c>
      <c r="H3549" t="s">
        <v>10885</v>
      </c>
      <c r="I3549" t="s">
        <v>10886</v>
      </c>
      <c r="J3549" t="s">
        <v>1834</v>
      </c>
      <c r="K3549" t="s">
        <v>55</v>
      </c>
      <c r="L3549" t="s">
        <v>1835</v>
      </c>
      <c r="M3549" t="s">
        <v>57</v>
      </c>
      <c r="N3549" t="str">
        <f>"044842"</f>
        <v>044842</v>
      </c>
      <c r="O3549" t="s">
        <v>1831</v>
      </c>
      <c r="P3549" t="s">
        <v>68</v>
      </c>
      <c r="Q3549">
        <v>17.600000000000001</v>
      </c>
      <c r="R3549">
        <v>23</v>
      </c>
      <c r="S3549" t="s">
        <v>69</v>
      </c>
    </row>
    <row r="3550" spans="1:19" x14ac:dyDescent="0.35">
      <c r="A3550">
        <v>64758</v>
      </c>
      <c r="B3550" t="str">
        <f>"064758"</f>
        <v>064758</v>
      </c>
      <c r="C3550" t="s">
        <v>10887</v>
      </c>
      <c r="D3550" t="s">
        <v>3398</v>
      </c>
      <c r="E3550" t="s">
        <v>3395</v>
      </c>
      <c r="F3550" t="s">
        <v>3396</v>
      </c>
      <c r="G3550" t="s">
        <v>600</v>
      </c>
      <c r="H3550" t="s">
        <v>10888</v>
      </c>
      <c r="I3550" t="s">
        <v>10889</v>
      </c>
      <c r="J3550" t="s">
        <v>1956</v>
      </c>
      <c r="K3550" t="s">
        <v>55</v>
      </c>
      <c r="L3550" t="s">
        <v>1957</v>
      </c>
      <c r="M3550" t="s">
        <v>57</v>
      </c>
      <c r="N3550" t="str">
        <f>"047027"</f>
        <v>047027</v>
      </c>
      <c r="O3550" t="s">
        <v>1953</v>
      </c>
      <c r="P3550" t="s">
        <v>68</v>
      </c>
      <c r="Q3550">
        <v>18.100000000000001</v>
      </c>
      <c r="R3550">
        <v>36.1</v>
      </c>
      <c r="S3550" t="s">
        <v>60</v>
      </c>
    </row>
    <row r="3551" spans="1:19" x14ac:dyDescent="0.35">
      <c r="A3551">
        <v>64766</v>
      </c>
      <c r="B3551" t="str">
        <f>"064766"</f>
        <v>064766</v>
      </c>
      <c r="C3551" t="s">
        <v>10890</v>
      </c>
      <c r="D3551" t="s">
        <v>3400</v>
      </c>
      <c r="E3551" t="s">
        <v>3395</v>
      </c>
      <c r="F3551" t="s">
        <v>3396</v>
      </c>
      <c r="G3551" t="s">
        <v>600</v>
      </c>
      <c r="H3551" t="s">
        <v>10891</v>
      </c>
      <c r="I3551" t="s">
        <v>10892</v>
      </c>
      <c r="J3551" t="s">
        <v>2339</v>
      </c>
      <c r="K3551" t="s">
        <v>55</v>
      </c>
      <c r="L3551" t="s">
        <v>2340</v>
      </c>
      <c r="M3551" t="s">
        <v>57</v>
      </c>
      <c r="N3551" t="str">
        <f>"046995"</f>
        <v>046995</v>
      </c>
      <c r="O3551" t="s">
        <v>2336</v>
      </c>
      <c r="P3551" t="s">
        <v>68</v>
      </c>
      <c r="Q3551">
        <v>11.2</v>
      </c>
      <c r="R3551">
        <v>35.599999999999994</v>
      </c>
      <c r="S3551" t="s">
        <v>60</v>
      </c>
    </row>
    <row r="3552" spans="1:19" x14ac:dyDescent="0.35">
      <c r="A3552">
        <v>64790</v>
      </c>
      <c r="B3552" t="str">
        <f>"064790"</f>
        <v>064790</v>
      </c>
      <c r="C3552" t="s">
        <v>10893</v>
      </c>
      <c r="D3552" t="s">
        <v>3400</v>
      </c>
      <c r="E3552" t="s">
        <v>3395</v>
      </c>
      <c r="F3552" t="s">
        <v>3396</v>
      </c>
      <c r="G3552" t="s">
        <v>712</v>
      </c>
      <c r="H3552" t="s">
        <v>10894</v>
      </c>
      <c r="I3552" t="s">
        <v>10895</v>
      </c>
      <c r="J3552" t="s">
        <v>715</v>
      </c>
      <c r="K3552" t="s">
        <v>55</v>
      </c>
      <c r="L3552" t="s">
        <v>716</v>
      </c>
      <c r="M3552" t="s">
        <v>57</v>
      </c>
      <c r="N3552" t="str">
        <f>"047696"</f>
        <v>047696</v>
      </c>
      <c r="O3552" t="s">
        <v>711</v>
      </c>
      <c r="P3552" t="s">
        <v>68</v>
      </c>
      <c r="Q3552">
        <v>44.8</v>
      </c>
      <c r="R3552">
        <v>5.7000000000000028</v>
      </c>
      <c r="S3552" t="s">
        <v>77</v>
      </c>
    </row>
    <row r="3553" spans="1:19" x14ac:dyDescent="0.35">
      <c r="A3553">
        <v>64816</v>
      </c>
      <c r="B3553" t="str">
        <f>"064816"</f>
        <v>064816</v>
      </c>
      <c r="C3553" t="s">
        <v>10896</v>
      </c>
      <c r="D3553" t="s">
        <v>3394</v>
      </c>
      <c r="E3553" t="s">
        <v>3395</v>
      </c>
      <c r="F3553" t="s">
        <v>3396</v>
      </c>
      <c r="G3553" t="s">
        <v>244</v>
      </c>
      <c r="H3553" t="s">
        <v>10897</v>
      </c>
      <c r="I3553" t="s">
        <v>10898</v>
      </c>
      <c r="J3553" t="s">
        <v>92</v>
      </c>
      <c r="K3553" t="s">
        <v>55</v>
      </c>
      <c r="L3553" t="s">
        <v>2423</v>
      </c>
      <c r="M3553" t="s">
        <v>57</v>
      </c>
      <c r="N3553" t="str">
        <f>"046102"</f>
        <v>046102</v>
      </c>
      <c r="O3553" t="s">
        <v>2420</v>
      </c>
      <c r="P3553" t="s">
        <v>68</v>
      </c>
      <c r="Q3553">
        <v>48</v>
      </c>
      <c r="R3553">
        <v>49.6</v>
      </c>
      <c r="S3553" t="s">
        <v>217</v>
      </c>
    </row>
    <row r="3554" spans="1:19" x14ac:dyDescent="0.35">
      <c r="A3554">
        <v>64824</v>
      </c>
      <c r="B3554" t="str">
        <f>"064824"</f>
        <v>064824</v>
      </c>
      <c r="C3554" t="s">
        <v>10899</v>
      </c>
      <c r="D3554" t="s">
        <v>3394</v>
      </c>
      <c r="E3554" t="s">
        <v>3395</v>
      </c>
      <c r="F3554" t="s">
        <v>3396</v>
      </c>
      <c r="G3554" t="s">
        <v>481</v>
      </c>
      <c r="H3554" t="s">
        <v>10900</v>
      </c>
      <c r="I3554" t="s">
        <v>10901</v>
      </c>
      <c r="J3554" t="s">
        <v>484</v>
      </c>
      <c r="K3554" t="s">
        <v>55</v>
      </c>
      <c r="L3554" t="s">
        <v>485</v>
      </c>
      <c r="M3554" t="s">
        <v>57</v>
      </c>
      <c r="N3554" t="str">
        <f>"045492"</f>
        <v>045492</v>
      </c>
      <c r="O3554" t="s">
        <v>3003</v>
      </c>
      <c r="P3554" t="s">
        <v>68</v>
      </c>
      <c r="Q3554">
        <v>24.1</v>
      </c>
      <c r="R3554">
        <v>10.299999999999997</v>
      </c>
      <c r="S3554" t="s">
        <v>69</v>
      </c>
    </row>
    <row r="3555" spans="1:19" x14ac:dyDescent="0.35">
      <c r="A3555">
        <v>64857</v>
      </c>
      <c r="B3555" t="str">
        <f>"064857"</f>
        <v>064857</v>
      </c>
      <c r="C3555" t="s">
        <v>10902</v>
      </c>
      <c r="D3555" t="s">
        <v>3400</v>
      </c>
      <c r="E3555" t="s">
        <v>3395</v>
      </c>
      <c r="F3555" t="s">
        <v>3396</v>
      </c>
      <c r="G3555" t="s">
        <v>212</v>
      </c>
      <c r="H3555" t="s">
        <v>10903</v>
      </c>
      <c r="I3555" t="s">
        <v>10904</v>
      </c>
      <c r="J3555" t="s">
        <v>2325</v>
      </c>
      <c r="K3555" t="s">
        <v>55</v>
      </c>
      <c r="L3555" t="s">
        <v>2326</v>
      </c>
      <c r="M3555" t="s">
        <v>57</v>
      </c>
      <c r="N3555" t="str">
        <f>"044578"</f>
        <v>044578</v>
      </c>
      <c r="O3555" t="s">
        <v>2322</v>
      </c>
      <c r="P3555" t="s">
        <v>68</v>
      </c>
      <c r="Q3555">
        <v>99</v>
      </c>
      <c r="R3555">
        <v>39.200000000000003</v>
      </c>
      <c r="S3555" t="s">
        <v>217</v>
      </c>
    </row>
    <row r="3556" spans="1:19" x14ac:dyDescent="0.35">
      <c r="A3556">
        <v>64865</v>
      </c>
      <c r="B3556" t="str">
        <f>"064865"</f>
        <v>064865</v>
      </c>
      <c r="C3556" t="s">
        <v>10905</v>
      </c>
      <c r="D3556" t="s">
        <v>3398</v>
      </c>
      <c r="E3556" t="s">
        <v>3395</v>
      </c>
      <c r="F3556" t="s">
        <v>3396</v>
      </c>
      <c r="G3556" t="s">
        <v>1551</v>
      </c>
      <c r="H3556" t="s">
        <v>10906</v>
      </c>
      <c r="I3556" t="s">
        <v>10907</v>
      </c>
      <c r="J3556" t="s">
        <v>2070</v>
      </c>
      <c r="K3556" t="s">
        <v>55</v>
      </c>
      <c r="L3556" t="s">
        <v>2071</v>
      </c>
      <c r="M3556" t="s">
        <v>57</v>
      </c>
      <c r="N3556" t="str">
        <f>"044479"</f>
        <v>044479</v>
      </c>
      <c r="O3556" t="s">
        <v>2067</v>
      </c>
      <c r="P3556" t="s">
        <v>68</v>
      </c>
      <c r="Q3556">
        <v>100</v>
      </c>
      <c r="R3556">
        <v>3.7999999999999972</v>
      </c>
      <c r="S3556" t="s">
        <v>130</v>
      </c>
    </row>
    <row r="3557" spans="1:19" x14ac:dyDescent="0.35">
      <c r="A3557">
        <v>64907</v>
      </c>
      <c r="B3557" t="str">
        <f>"064907"</f>
        <v>064907</v>
      </c>
      <c r="C3557" t="s">
        <v>10908</v>
      </c>
      <c r="D3557" t="s">
        <v>3506</v>
      </c>
      <c r="E3557" t="s">
        <v>3395</v>
      </c>
      <c r="F3557" t="s">
        <v>3396</v>
      </c>
      <c r="G3557" t="s">
        <v>172</v>
      </c>
      <c r="H3557" t="s">
        <v>4180</v>
      </c>
      <c r="I3557" t="s">
        <v>4181</v>
      </c>
      <c r="J3557" t="s">
        <v>938</v>
      </c>
      <c r="K3557" t="s">
        <v>55</v>
      </c>
      <c r="L3557" t="s">
        <v>939</v>
      </c>
      <c r="M3557" t="s">
        <v>57</v>
      </c>
      <c r="N3557" t="str">
        <f>"050419"</f>
        <v>050419</v>
      </c>
      <c r="O3557" t="s">
        <v>935</v>
      </c>
      <c r="P3557" t="s">
        <v>68</v>
      </c>
      <c r="Q3557">
        <v>34.1</v>
      </c>
      <c r="R3557">
        <v>6.7999999999999972</v>
      </c>
      <c r="S3557" t="s">
        <v>217</v>
      </c>
    </row>
    <row r="3558" spans="1:19" x14ac:dyDescent="0.35">
      <c r="A3558">
        <v>64915</v>
      </c>
      <c r="B3558" t="str">
        <f>"064915"</f>
        <v>064915</v>
      </c>
      <c r="C3558" t="s">
        <v>10909</v>
      </c>
      <c r="D3558" t="s">
        <v>3398</v>
      </c>
      <c r="E3558" t="s">
        <v>9538</v>
      </c>
      <c r="F3558" t="s">
        <v>3396</v>
      </c>
      <c r="G3558" t="s">
        <v>117</v>
      </c>
      <c r="H3558" t="s">
        <v>10910</v>
      </c>
      <c r="I3558" t="s">
        <v>10911</v>
      </c>
      <c r="J3558" t="s">
        <v>10912</v>
      </c>
      <c r="K3558" t="s">
        <v>55</v>
      </c>
      <c r="L3558" t="s">
        <v>10913</v>
      </c>
      <c r="M3558" t="s">
        <v>57</v>
      </c>
      <c r="N3558" t="str">
        <f>"064915"</f>
        <v>064915</v>
      </c>
      <c r="O3558" t="s">
        <v>10909</v>
      </c>
      <c r="P3558" t="s">
        <v>68</v>
      </c>
      <c r="Q3558" t="s">
        <v>68</v>
      </c>
      <c r="R3558" t="s">
        <v>68</v>
      </c>
      <c r="S3558" t="s">
        <v>77</v>
      </c>
    </row>
    <row r="3559" spans="1:19" x14ac:dyDescent="0.35">
      <c r="A3559">
        <v>64923</v>
      </c>
      <c r="B3559" t="str">
        <f>"064923"</f>
        <v>064923</v>
      </c>
      <c r="C3559" t="s">
        <v>10914</v>
      </c>
      <c r="D3559" t="s">
        <v>3394</v>
      </c>
      <c r="E3559" t="s">
        <v>9538</v>
      </c>
      <c r="F3559" t="s">
        <v>3396</v>
      </c>
      <c r="G3559" t="s">
        <v>212</v>
      </c>
      <c r="H3559" t="s">
        <v>10915</v>
      </c>
      <c r="I3559" t="s">
        <v>10916</v>
      </c>
      <c r="J3559" t="s">
        <v>215</v>
      </c>
      <c r="K3559" t="s">
        <v>55</v>
      </c>
      <c r="L3559" t="s">
        <v>4487</v>
      </c>
      <c r="M3559" t="s">
        <v>57</v>
      </c>
      <c r="N3559" t="str">
        <f>"064923"</f>
        <v>064923</v>
      </c>
      <c r="O3559" t="s">
        <v>10914</v>
      </c>
      <c r="P3559" t="s">
        <v>68</v>
      </c>
      <c r="Q3559" t="s">
        <v>68</v>
      </c>
      <c r="R3559" t="s">
        <v>68</v>
      </c>
      <c r="S3559" t="s">
        <v>217</v>
      </c>
    </row>
    <row r="3560" spans="1:19" x14ac:dyDescent="0.35">
      <c r="A3560">
        <v>64931</v>
      </c>
      <c r="B3560" t="str">
        <f>"064931"</f>
        <v>064931</v>
      </c>
      <c r="C3560" t="s">
        <v>10917</v>
      </c>
      <c r="D3560" t="s">
        <v>3398</v>
      </c>
      <c r="E3560" t="s">
        <v>9538</v>
      </c>
      <c r="F3560" t="s">
        <v>3396</v>
      </c>
      <c r="G3560" t="s">
        <v>212</v>
      </c>
      <c r="H3560" t="s">
        <v>10918</v>
      </c>
      <c r="I3560" t="s">
        <v>10919</v>
      </c>
      <c r="J3560" t="s">
        <v>215</v>
      </c>
      <c r="K3560" t="s">
        <v>55</v>
      </c>
      <c r="L3560" t="s">
        <v>1693</v>
      </c>
      <c r="M3560" t="s">
        <v>57</v>
      </c>
      <c r="N3560" t="str">
        <f>"064931"</f>
        <v>064931</v>
      </c>
      <c r="O3560" t="s">
        <v>10917</v>
      </c>
      <c r="P3560" t="s">
        <v>68</v>
      </c>
      <c r="Q3560" t="s">
        <v>68</v>
      </c>
      <c r="R3560" t="s">
        <v>68</v>
      </c>
      <c r="S3560" t="s">
        <v>217</v>
      </c>
    </row>
    <row r="3561" spans="1:19" x14ac:dyDescent="0.35">
      <c r="A3561">
        <v>64931</v>
      </c>
      <c r="B3561" t="str">
        <f>"064931"</f>
        <v>064931</v>
      </c>
      <c r="C3561" t="s">
        <v>10917</v>
      </c>
      <c r="D3561" t="s">
        <v>9541</v>
      </c>
      <c r="E3561" t="s">
        <v>9538</v>
      </c>
      <c r="F3561" t="s">
        <v>3396</v>
      </c>
      <c r="G3561" t="s">
        <v>212</v>
      </c>
      <c r="H3561" t="s">
        <v>10918</v>
      </c>
      <c r="I3561" t="s">
        <v>10919</v>
      </c>
      <c r="J3561" t="s">
        <v>215</v>
      </c>
      <c r="K3561" t="s">
        <v>55</v>
      </c>
      <c r="L3561" t="s">
        <v>1693</v>
      </c>
      <c r="M3561" t="s">
        <v>57</v>
      </c>
      <c r="N3561" t="str">
        <f>"064931"</f>
        <v>064931</v>
      </c>
      <c r="O3561" t="s">
        <v>10917</v>
      </c>
      <c r="P3561" t="s">
        <v>68</v>
      </c>
      <c r="Q3561" t="s">
        <v>68</v>
      </c>
      <c r="R3561" t="s">
        <v>68</v>
      </c>
      <c r="S3561" t="s">
        <v>217</v>
      </c>
    </row>
    <row r="3562" spans="1:19" x14ac:dyDescent="0.35">
      <c r="A3562">
        <v>65003</v>
      </c>
      <c r="B3562" t="str">
        <f>"065003"</f>
        <v>065003</v>
      </c>
      <c r="C3562" t="s">
        <v>10920</v>
      </c>
      <c r="D3562" t="s">
        <v>3398</v>
      </c>
      <c r="E3562" t="s">
        <v>9538</v>
      </c>
      <c r="F3562" t="s">
        <v>3396</v>
      </c>
      <c r="G3562" t="s">
        <v>117</v>
      </c>
      <c r="H3562" t="s">
        <v>10921</v>
      </c>
      <c r="I3562" t="s">
        <v>10922</v>
      </c>
      <c r="J3562" t="s">
        <v>1409</v>
      </c>
      <c r="K3562" t="s">
        <v>55</v>
      </c>
      <c r="L3562" t="s">
        <v>6784</v>
      </c>
      <c r="M3562" t="s">
        <v>57</v>
      </c>
      <c r="N3562" t="str">
        <f>"065003"</f>
        <v>065003</v>
      </c>
      <c r="O3562" t="s">
        <v>10920</v>
      </c>
      <c r="P3562" t="s">
        <v>68</v>
      </c>
      <c r="Q3562" t="s">
        <v>68</v>
      </c>
      <c r="R3562" t="s">
        <v>68</v>
      </c>
      <c r="S3562" t="s">
        <v>77</v>
      </c>
    </row>
    <row r="3563" spans="1:19" x14ac:dyDescent="0.35">
      <c r="A3563">
        <v>65292</v>
      </c>
      <c r="B3563" t="str">
        <f>"065292"</f>
        <v>065292</v>
      </c>
      <c r="C3563" t="s">
        <v>10923</v>
      </c>
      <c r="D3563" t="s">
        <v>3506</v>
      </c>
      <c r="E3563" t="s">
        <v>3395</v>
      </c>
      <c r="F3563" t="s">
        <v>3396</v>
      </c>
      <c r="G3563" t="s">
        <v>325</v>
      </c>
      <c r="H3563" t="s">
        <v>10924</v>
      </c>
      <c r="I3563" t="s">
        <v>10925</v>
      </c>
      <c r="J3563" t="s">
        <v>2819</v>
      </c>
      <c r="K3563" t="s">
        <v>55</v>
      </c>
      <c r="L3563" t="s">
        <v>2820</v>
      </c>
      <c r="M3563" t="s">
        <v>57</v>
      </c>
      <c r="N3563" t="str">
        <f>"044925"</f>
        <v>044925</v>
      </c>
      <c r="O3563" t="s">
        <v>2816</v>
      </c>
      <c r="P3563" t="s">
        <v>68</v>
      </c>
      <c r="Q3563">
        <v>34</v>
      </c>
      <c r="R3563">
        <v>20.599999999999994</v>
      </c>
      <c r="S3563" t="s">
        <v>180</v>
      </c>
    </row>
    <row r="3564" spans="1:19" x14ac:dyDescent="0.35">
      <c r="A3564">
        <v>65318</v>
      </c>
      <c r="B3564" t="str">
        <f>"065318"</f>
        <v>065318</v>
      </c>
      <c r="C3564" t="s">
        <v>10926</v>
      </c>
      <c r="D3564" t="s">
        <v>3506</v>
      </c>
      <c r="E3564" t="s">
        <v>3395</v>
      </c>
      <c r="F3564" t="s">
        <v>3396</v>
      </c>
      <c r="G3564" t="s">
        <v>493</v>
      </c>
      <c r="H3564" t="s">
        <v>8724</v>
      </c>
      <c r="I3564" t="s">
        <v>8725</v>
      </c>
      <c r="J3564" t="s">
        <v>501</v>
      </c>
      <c r="K3564" t="s">
        <v>55</v>
      </c>
      <c r="L3564" t="s">
        <v>502</v>
      </c>
      <c r="M3564" t="s">
        <v>57</v>
      </c>
      <c r="N3564" t="str">
        <f>"045922"</f>
        <v>045922</v>
      </c>
      <c r="O3564" t="s">
        <v>498</v>
      </c>
      <c r="P3564" t="s">
        <v>68</v>
      </c>
      <c r="Q3564">
        <v>100</v>
      </c>
      <c r="R3564">
        <v>6.2999999999999972</v>
      </c>
      <c r="S3564" t="s">
        <v>130</v>
      </c>
    </row>
    <row r="3565" spans="1:19" x14ac:dyDescent="0.35">
      <c r="A3565">
        <v>65383</v>
      </c>
      <c r="B3565" t="str">
        <f>"065383"</f>
        <v>065383</v>
      </c>
      <c r="C3565" t="s">
        <v>10927</v>
      </c>
      <c r="D3565" t="s">
        <v>3506</v>
      </c>
      <c r="E3565" t="s">
        <v>3395</v>
      </c>
      <c r="F3565" t="s">
        <v>3396</v>
      </c>
      <c r="G3565" t="s">
        <v>406</v>
      </c>
      <c r="H3565" t="s">
        <v>10928</v>
      </c>
      <c r="I3565" t="s">
        <v>10929</v>
      </c>
      <c r="J3565" t="s">
        <v>406</v>
      </c>
      <c r="K3565" t="s">
        <v>55</v>
      </c>
      <c r="L3565" t="s">
        <v>409</v>
      </c>
      <c r="M3565" t="s">
        <v>57</v>
      </c>
      <c r="N3565" t="str">
        <f>"048470"</f>
        <v>048470</v>
      </c>
      <c r="O3565" t="s">
        <v>742</v>
      </c>
      <c r="P3565" t="s">
        <v>68</v>
      </c>
      <c r="Q3565">
        <v>16.8</v>
      </c>
      <c r="R3565">
        <v>8.7999999999999972</v>
      </c>
      <c r="S3565" t="s">
        <v>77</v>
      </c>
    </row>
    <row r="3566" spans="1:19" x14ac:dyDescent="0.35">
      <c r="A3566">
        <v>65391</v>
      </c>
      <c r="B3566" t="str">
        <f>"065391"</f>
        <v>065391</v>
      </c>
      <c r="C3566" t="s">
        <v>10930</v>
      </c>
      <c r="D3566" t="s">
        <v>3394</v>
      </c>
      <c r="E3566" t="s">
        <v>3395</v>
      </c>
      <c r="F3566" t="s">
        <v>3396</v>
      </c>
      <c r="G3566" t="s">
        <v>212</v>
      </c>
      <c r="H3566" t="s">
        <v>10931</v>
      </c>
      <c r="I3566" t="s">
        <v>10932</v>
      </c>
      <c r="J3566" t="s">
        <v>215</v>
      </c>
      <c r="K3566" t="s">
        <v>55</v>
      </c>
      <c r="L3566" t="s">
        <v>2514</v>
      </c>
      <c r="M3566" t="s">
        <v>57</v>
      </c>
      <c r="N3566" t="str">
        <f>"047340"</f>
        <v>047340</v>
      </c>
      <c r="O3566" t="s">
        <v>2511</v>
      </c>
      <c r="P3566" t="s">
        <v>68</v>
      </c>
      <c r="Q3566">
        <v>13</v>
      </c>
      <c r="R3566">
        <v>17.099999999999994</v>
      </c>
      <c r="S3566" t="s">
        <v>217</v>
      </c>
    </row>
    <row r="3567" spans="1:19" x14ac:dyDescent="0.35">
      <c r="A3567">
        <v>65417</v>
      </c>
      <c r="B3567" t="str">
        <f>"065417"</f>
        <v>065417</v>
      </c>
      <c r="C3567" t="s">
        <v>10933</v>
      </c>
      <c r="D3567" t="s">
        <v>3506</v>
      </c>
      <c r="E3567" t="s">
        <v>3395</v>
      </c>
      <c r="F3567" t="s">
        <v>3396</v>
      </c>
      <c r="G3567" t="s">
        <v>172</v>
      </c>
      <c r="H3567" t="s">
        <v>10934</v>
      </c>
      <c r="I3567" t="s">
        <v>10935</v>
      </c>
      <c r="J3567" t="s">
        <v>1873</v>
      </c>
      <c r="K3567" t="s">
        <v>55</v>
      </c>
      <c r="L3567" t="s">
        <v>1874</v>
      </c>
      <c r="M3567" t="s">
        <v>57</v>
      </c>
      <c r="N3567" t="str">
        <f>"050427"</f>
        <v>050427</v>
      </c>
      <c r="O3567" t="s">
        <v>1870</v>
      </c>
      <c r="P3567" t="s">
        <v>68</v>
      </c>
      <c r="Q3567">
        <v>9.1999999999999993</v>
      </c>
      <c r="R3567">
        <v>11.900000000000006</v>
      </c>
      <c r="S3567" t="s">
        <v>217</v>
      </c>
    </row>
    <row r="3568" spans="1:19" x14ac:dyDescent="0.35">
      <c r="A3568">
        <v>65433</v>
      </c>
      <c r="B3568" t="str">
        <f>"065433"</f>
        <v>065433</v>
      </c>
      <c r="C3568" t="s">
        <v>10936</v>
      </c>
      <c r="D3568" t="s">
        <v>3394</v>
      </c>
      <c r="E3568" t="s">
        <v>3395</v>
      </c>
      <c r="F3568" t="s">
        <v>3396</v>
      </c>
      <c r="G3568" t="s">
        <v>92</v>
      </c>
      <c r="H3568" t="s">
        <v>10937</v>
      </c>
      <c r="I3568" t="s">
        <v>10938</v>
      </c>
      <c r="J3568" t="s">
        <v>2295</v>
      </c>
      <c r="K3568" t="s">
        <v>55</v>
      </c>
      <c r="L3568" t="s">
        <v>2296</v>
      </c>
      <c r="M3568" t="s">
        <v>57</v>
      </c>
      <c r="N3568" t="str">
        <f>"046896"</f>
        <v>046896</v>
      </c>
      <c r="O3568" t="s">
        <v>2292</v>
      </c>
      <c r="P3568" t="s">
        <v>68</v>
      </c>
      <c r="Q3568">
        <v>29.3</v>
      </c>
      <c r="R3568">
        <v>54</v>
      </c>
      <c r="S3568" t="s">
        <v>60</v>
      </c>
    </row>
    <row r="3569" spans="1:19" x14ac:dyDescent="0.35">
      <c r="A3569">
        <v>65466</v>
      </c>
      <c r="B3569" t="str">
        <f>"065466"</f>
        <v>065466</v>
      </c>
      <c r="C3569" t="s">
        <v>10939</v>
      </c>
      <c r="D3569" t="s">
        <v>3506</v>
      </c>
      <c r="E3569" t="s">
        <v>3395</v>
      </c>
      <c r="F3569" t="s">
        <v>3396</v>
      </c>
      <c r="G3569" t="s">
        <v>244</v>
      </c>
      <c r="H3569" t="s">
        <v>10940</v>
      </c>
      <c r="I3569" t="s">
        <v>10941</v>
      </c>
      <c r="J3569" t="s">
        <v>5918</v>
      </c>
      <c r="K3569" t="s">
        <v>55</v>
      </c>
      <c r="L3569" t="s">
        <v>5919</v>
      </c>
      <c r="M3569" t="s">
        <v>57</v>
      </c>
      <c r="N3569" t="str">
        <f>"046110"</f>
        <v>046110</v>
      </c>
      <c r="O3569" t="s">
        <v>2005</v>
      </c>
      <c r="P3569" t="s">
        <v>68</v>
      </c>
      <c r="Q3569">
        <v>29.3</v>
      </c>
      <c r="R3569">
        <v>38.4</v>
      </c>
      <c r="S3569" t="s">
        <v>217</v>
      </c>
    </row>
    <row r="3570" spans="1:19" x14ac:dyDescent="0.35">
      <c r="A3570">
        <v>65508</v>
      </c>
      <c r="B3570" t="str">
        <f>"065508"</f>
        <v>065508</v>
      </c>
      <c r="C3570" t="s">
        <v>10942</v>
      </c>
      <c r="D3570" t="s">
        <v>3400</v>
      </c>
      <c r="E3570" t="s">
        <v>3395</v>
      </c>
      <c r="F3570" t="s">
        <v>3396</v>
      </c>
      <c r="G3570" t="s">
        <v>117</v>
      </c>
      <c r="H3570" t="s">
        <v>10943</v>
      </c>
      <c r="I3570" t="s">
        <v>10944</v>
      </c>
      <c r="J3570" t="s">
        <v>1409</v>
      </c>
      <c r="K3570" t="s">
        <v>55</v>
      </c>
      <c r="L3570" t="s">
        <v>5455</v>
      </c>
      <c r="M3570" t="s">
        <v>57</v>
      </c>
      <c r="N3570" t="str">
        <f>"043711"</f>
        <v>043711</v>
      </c>
      <c r="O3570" t="s">
        <v>3000</v>
      </c>
      <c r="P3570" t="s">
        <v>68</v>
      </c>
      <c r="Q3570">
        <v>100</v>
      </c>
      <c r="R3570">
        <v>68.7</v>
      </c>
      <c r="S3570" t="s">
        <v>77</v>
      </c>
    </row>
    <row r="3571" spans="1:19" x14ac:dyDescent="0.35">
      <c r="A3571">
        <v>65532</v>
      </c>
      <c r="B3571" t="str">
        <f>"065532"</f>
        <v>065532</v>
      </c>
      <c r="C3571" t="s">
        <v>10945</v>
      </c>
      <c r="D3571" t="s">
        <v>3400</v>
      </c>
      <c r="E3571" t="s">
        <v>3395</v>
      </c>
      <c r="F3571" t="s">
        <v>3396</v>
      </c>
      <c r="G3571" t="s">
        <v>318</v>
      </c>
      <c r="H3571" t="s">
        <v>10946</v>
      </c>
      <c r="I3571" t="s">
        <v>10947</v>
      </c>
      <c r="J3571" t="s">
        <v>321</v>
      </c>
      <c r="K3571" t="s">
        <v>55</v>
      </c>
      <c r="L3571" t="s">
        <v>322</v>
      </c>
      <c r="M3571" t="s">
        <v>57</v>
      </c>
      <c r="N3571" t="str">
        <f>"049536"</f>
        <v>049536</v>
      </c>
      <c r="O3571" t="s">
        <v>317</v>
      </c>
      <c r="P3571" t="s">
        <v>68</v>
      </c>
      <c r="Q3571">
        <v>41.9</v>
      </c>
      <c r="R3571">
        <v>11</v>
      </c>
      <c r="S3571" t="s">
        <v>130</v>
      </c>
    </row>
    <row r="3572" spans="1:19" x14ac:dyDescent="0.35">
      <c r="A3572">
        <v>65557</v>
      </c>
      <c r="B3572" t="str">
        <f>"065557"</f>
        <v>065557</v>
      </c>
      <c r="C3572" t="s">
        <v>10948</v>
      </c>
      <c r="D3572" t="s">
        <v>3394</v>
      </c>
      <c r="E3572" t="s">
        <v>3395</v>
      </c>
      <c r="F3572" t="s">
        <v>3396</v>
      </c>
      <c r="G3572" t="s">
        <v>600</v>
      </c>
      <c r="H3572" t="s">
        <v>10949</v>
      </c>
      <c r="I3572" t="s">
        <v>10950</v>
      </c>
      <c r="J3572" t="s">
        <v>2690</v>
      </c>
      <c r="K3572" t="s">
        <v>55</v>
      </c>
      <c r="L3572" t="s">
        <v>2691</v>
      </c>
      <c r="M3572" t="s">
        <v>57</v>
      </c>
      <c r="N3572" t="str">
        <f>"045047"</f>
        <v>045047</v>
      </c>
      <c r="O3572" t="s">
        <v>2687</v>
      </c>
      <c r="P3572" t="s">
        <v>68</v>
      </c>
      <c r="Q3572">
        <v>60.8</v>
      </c>
      <c r="R3572">
        <v>66.8</v>
      </c>
      <c r="S3572" t="s">
        <v>60</v>
      </c>
    </row>
    <row r="3573" spans="1:19" x14ac:dyDescent="0.35">
      <c r="A3573">
        <v>65565</v>
      </c>
      <c r="B3573" t="str">
        <f>"065565"</f>
        <v>065565</v>
      </c>
      <c r="C3573" t="s">
        <v>10951</v>
      </c>
      <c r="D3573" t="s">
        <v>3394</v>
      </c>
      <c r="E3573" t="s">
        <v>3395</v>
      </c>
      <c r="F3573" t="s">
        <v>3396</v>
      </c>
      <c r="G3573" t="s">
        <v>63</v>
      </c>
      <c r="H3573" t="s">
        <v>10952</v>
      </c>
      <c r="I3573" t="s">
        <v>10953</v>
      </c>
      <c r="J3573" t="s">
        <v>285</v>
      </c>
      <c r="K3573" t="s">
        <v>55</v>
      </c>
      <c r="L3573" t="s">
        <v>3458</v>
      </c>
      <c r="M3573" t="s">
        <v>57</v>
      </c>
      <c r="N3573" t="str">
        <f>"043786"</f>
        <v>043786</v>
      </c>
      <c r="O3573" t="s">
        <v>1340</v>
      </c>
      <c r="P3573" t="s">
        <v>68</v>
      </c>
      <c r="Q3573">
        <v>100</v>
      </c>
      <c r="R3573">
        <v>83.3</v>
      </c>
      <c r="S3573" t="s">
        <v>69</v>
      </c>
    </row>
    <row r="3574" spans="1:19" x14ac:dyDescent="0.35">
      <c r="A3574">
        <v>65573</v>
      </c>
      <c r="B3574" t="str">
        <f>"065573"</f>
        <v>065573</v>
      </c>
      <c r="C3574" t="s">
        <v>10954</v>
      </c>
      <c r="D3574" t="s">
        <v>3394</v>
      </c>
      <c r="E3574" t="s">
        <v>3395</v>
      </c>
      <c r="F3574" t="s">
        <v>3396</v>
      </c>
      <c r="G3574" t="s">
        <v>63</v>
      </c>
      <c r="H3574" t="s">
        <v>10955</v>
      </c>
      <c r="I3574" t="s">
        <v>10956</v>
      </c>
      <c r="J3574" t="s">
        <v>285</v>
      </c>
      <c r="K3574" t="s">
        <v>55</v>
      </c>
      <c r="L3574" t="s">
        <v>10957</v>
      </c>
      <c r="M3574" t="s">
        <v>57</v>
      </c>
      <c r="N3574" t="str">
        <f>"043786"</f>
        <v>043786</v>
      </c>
      <c r="O3574" t="s">
        <v>1340</v>
      </c>
      <c r="P3574" t="s">
        <v>68</v>
      </c>
      <c r="Q3574">
        <v>100</v>
      </c>
      <c r="R3574">
        <v>100</v>
      </c>
      <c r="S3574" t="s">
        <v>69</v>
      </c>
    </row>
    <row r="3575" spans="1:19" x14ac:dyDescent="0.35">
      <c r="A3575">
        <v>65581</v>
      </c>
      <c r="B3575" t="str">
        <f>"065581"</f>
        <v>065581</v>
      </c>
      <c r="C3575" t="s">
        <v>10958</v>
      </c>
      <c r="D3575" t="s">
        <v>3394</v>
      </c>
      <c r="E3575" t="s">
        <v>3395</v>
      </c>
      <c r="F3575" t="s">
        <v>3396</v>
      </c>
      <c r="G3575" t="s">
        <v>1543</v>
      </c>
      <c r="H3575" t="s">
        <v>10959</v>
      </c>
      <c r="I3575" t="s">
        <v>10960</v>
      </c>
      <c r="J3575" t="s">
        <v>10961</v>
      </c>
      <c r="K3575" t="s">
        <v>55</v>
      </c>
      <c r="L3575" t="s">
        <v>10962</v>
      </c>
      <c r="M3575" t="s">
        <v>57</v>
      </c>
      <c r="N3575" t="str">
        <f>"044248"</f>
        <v>044248</v>
      </c>
      <c r="O3575" t="s">
        <v>1542</v>
      </c>
      <c r="P3575" t="s">
        <v>68</v>
      </c>
      <c r="Q3575">
        <v>100</v>
      </c>
      <c r="R3575">
        <v>4.4000000000000057</v>
      </c>
      <c r="S3575" t="s">
        <v>130</v>
      </c>
    </row>
    <row r="3576" spans="1:19" x14ac:dyDescent="0.35">
      <c r="A3576">
        <v>65672</v>
      </c>
      <c r="B3576" t="str">
        <f>"065672"</f>
        <v>065672</v>
      </c>
      <c r="C3576" t="s">
        <v>10963</v>
      </c>
      <c r="D3576" t="s">
        <v>3394</v>
      </c>
      <c r="E3576" t="s">
        <v>3395</v>
      </c>
      <c r="F3576" t="s">
        <v>3396</v>
      </c>
      <c r="G3576" t="s">
        <v>712</v>
      </c>
      <c r="H3576" t="s">
        <v>10964</v>
      </c>
      <c r="I3576" t="s">
        <v>10965</v>
      </c>
      <c r="J3576" t="s">
        <v>10966</v>
      </c>
      <c r="K3576" t="s">
        <v>55</v>
      </c>
      <c r="L3576" t="s">
        <v>10967</v>
      </c>
      <c r="M3576" t="s">
        <v>57</v>
      </c>
      <c r="N3576" t="str">
        <f>"047688"</f>
        <v>047688</v>
      </c>
      <c r="O3576" t="s">
        <v>2208</v>
      </c>
      <c r="P3576" t="s">
        <v>68</v>
      </c>
      <c r="Q3576">
        <v>21.1</v>
      </c>
      <c r="R3576">
        <v>0</v>
      </c>
      <c r="S3576" t="s">
        <v>77</v>
      </c>
    </row>
    <row r="3577" spans="1:19" x14ac:dyDescent="0.35">
      <c r="A3577">
        <v>65722</v>
      </c>
      <c r="B3577" t="str">
        <f>"065722"</f>
        <v>065722</v>
      </c>
      <c r="C3577" t="s">
        <v>10968</v>
      </c>
      <c r="D3577" t="s">
        <v>3394</v>
      </c>
      <c r="E3577" t="s">
        <v>9538</v>
      </c>
      <c r="F3577" t="s">
        <v>3396</v>
      </c>
      <c r="G3577" t="s">
        <v>264</v>
      </c>
      <c r="H3577" t="s">
        <v>10969</v>
      </c>
      <c r="I3577" t="s">
        <v>10970</v>
      </c>
      <c r="J3577" t="s">
        <v>267</v>
      </c>
      <c r="K3577" t="s">
        <v>55</v>
      </c>
      <c r="L3577" t="s">
        <v>4045</v>
      </c>
      <c r="M3577" t="s">
        <v>57</v>
      </c>
      <c r="N3577" t="str">
        <f>"065722"</f>
        <v>065722</v>
      </c>
      <c r="O3577" t="s">
        <v>10968</v>
      </c>
      <c r="P3577" t="s">
        <v>68</v>
      </c>
      <c r="Q3577" t="s">
        <v>68</v>
      </c>
      <c r="R3577" t="s">
        <v>68</v>
      </c>
      <c r="S3577" t="s">
        <v>77</v>
      </c>
    </row>
    <row r="3578" spans="1:19" x14ac:dyDescent="0.35">
      <c r="A3578">
        <v>65730</v>
      </c>
      <c r="B3578" t="str">
        <f>"065730"</f>
        <v>065730</v>
      </c>
      <c r="C3578" t="s">
        <v>10971</v>
      </c>
      <c r="D3578" t="s">
        <v>3394</v>
      </c>
      <c r="E3578" t="s">
        <v>9538</v>
      </c>
      <c r="F3578" t="s">
        <v>3396</v>
      </c>
      <c r="G3578" t="s">
        <v>63</v>
      </c>
      <c r="H3578" t="s">
        <v>10972</v>
      </c>
      <c r="I3578" t="s">
        <v>10973</v>
      </c>
      <c r="J3578" t="s">
        <v>3949</v>
      </c>
      <c r="K3578" t="s">
        <v>55</v>
      </c>
      <c r="L3578" t="s">
        <v>286</v>
      </c>
      <c r="M3578" t="s">
        <v>57</v>
      </c>
      <c r="N3578" t="str">
        <f>"000136"</f>
        <v>000136</v>
      </c>
      <c r="O3578" t="s">
        <v>2853</v>
      </c>
      <c r="P3578" t="s">
        <v>68</v>
      </c>
      <c r="Q3578" t="s">
        <v>68</v>
      </c>
      <c r="R3578" t="s">
        <v>68</v>
      </c>
      <c r="S3578" t="s">
        <v>69</v>
      </c>
    </row>
    <row r="3579" spans="1:19" x14ac:dyDescent="0.35">
      <c r="A3579">
        <v>65755</v>
      </c>
      <c r="B3579" t="str">
        <f>"065755"</f>
        <v>065755</v>
      </c>
      <c r="C3579" t="s">
        <v>10974</v>
      </c>
      <c r="D3579" t="s">
        <v>3394</v>
      </c>
      <c r="E3579" t="s">
        <v>9538</v>
      </c>
      <c r="F3579" t="s">
        <v>3396</v>
      </c>
      <c r="G3579" t="s">
        <v>543</v>
      </c>
      <c r="H3579" t="s">
        <v>10975</v>
      </c>
      <c r="I3579" t="s">
        <v>10976</v>
      </c>
      <c r="J3579" t="s">
        <v>687</v>
      </c>
      <c r="K3579" t="s">
        <v>55</v>
      </c>
      <c r="L3579" t="s">
        <v>3205</v>
      </c>
      <c r="M3579" t="s">
        <v>57</v>
      </c>
      <c r="N3579" t="str">
        <f>"052514"</f>
        <v>052514</v>
      </c>
      <c r="O3579" t="s">
        <v>2465</v>
      </c>
      <c r="P3579" t="s">
        <v>68</v>
      </c>
      <c r="Q3579" t="s">
        <v>68</v>
      </c>
      <c r="R3579" t="s">
        <v>68</v>
      </c>
      <c r="S3579" t="s">
        <v>180</v>
      </c>
    </row>
    <row r="3580" spans="1:19" x14ac:dyDescent="0.35">
      <c r="A3580">
        <v>66282</v>
      </c>
      <c r="B3580" t="str">
        <f>"066282"</f>
        <v>066282</v>
      </c>
      <c r="C3580" t="s">
        <v>10977</v>
      </c>
      <c r="D3580" t="s">
        <v>3400</v>
      </c>
      <c r="E3580" t="s">
        <v>3395</v>
      </c>
      <c r="F3580" t="s">
        <v>3396</v>
      </c>
      <c r="G3580" t="s">
        <v>325</v>
      </c>
      <c r="H3580" t="s">
        <v>1996</v>
      </c>
      <c r="I3580" t="s">
        <v>1997</v>
      </c>
      <c r="J3580" t="s">
        <v>1998</v>
      </c>
      <c r="K3580" t="s">
        <v>55</v>
      </c>
      <c r="L3580" t="s">
        <v>1999</v>
      </c>
      <c r="M3580" t="s">
        <v>57</v>
      </c>
      <c r="N3580" t="str">
        <f>"045336"</f>
        <v>045336</v>
      </c>
      <c r="O3580" t="s">
        <v>1995</v>
      </c>
      <c r="P3580" t="s">
        <v>68</v>
      </c>
      <c r="Q3580">
        <v>33.299999999999997</v>
      </c>
      <c r="R3580">
        <v>6.2000000000000028</v>
      </c>
      <c r="S3580" t="s">
        <v>180</v>
      </c>
    </row>
    <row r="3581" spans="1:19" x14ac:dyDescent="0.35">
      <c r="A3581">
        <v>66456</v>
      </c>
      <c r="B3581" t="str">
        <f>"066456"</f>
        <v>066456</v>
      </c>
      <c r="C3581" t="s">
        <v>10978</v>
      </c>
      <c r="D3581" t="s">
        <v>3394</v>
      </c>
      <c r="E3581" t="s">
        <v>3395</v>
      </c>
      <c r="F3581" t="s">
        <v>3396</v>
      </c>
      <c r="G3581" t="s">
        <v>52</v>
      </c>
      <c r="H3581" t="s">
        <v>10979</v>
      </c>
      <c r="I3581" t="s">
        <v>10980</v>
      </c>
      <c r="J3581" t="s">
        <v>10981</v>
      </c>
      <c r="K3581" t="s">
        <v>55</v>
      </c>
      <c r="L3581" t="s">
        <v>10982</v>
      </c>
      <c r="M3581" t="s">
        <v>57</v>
      </c>
      <c r="N3581" t="str">
        <f>"046748"</f>
        <v>046748</v>
      </c>
      <c r="O3581" t="s">
        <v>2871</v>
      </c>
      <c r="P3581" t="s">
        <v>68</v>
      </c>
      <c r="Q3581">
        <v>26.4</v>
      </c>
      <c r="R3581">
        <v>16.299999999999997</v>
      </c>
      <c r="S3581" t="s">
        <v>60</v>
      </c>
    </row>
    <row r="3582" spans="1:19" x14ac:dyDescent="0.35">
      <c r="A3582">
        <v>66464</v>
      </c>
      <c r="B3582" t="str">
        <f>"066464"</f>
        <v>066464</v>
      </c>
      <c r="C3582" t="s">
        <v>10983</v>
      </c>
      <c r="D3582" t="s">
        <v>3400</v>
      </c>
      <c r="E3582" t="s">
        <v>3395</v>
      </c>
      <c r="F3582" t="s">
        <v>3396</v>
      </c>
      <c r="G3582" t="s">
        <v>325</v>
      </c>
      <c r="H3582" t="s">
        <v>10984</v>
      </c>
      <c r="I3582" t="s">
        <v>10985</v>
      </c>
      <c r="J3582" t="s">
        <v>2172</v>
      </c>
      <c r="K3582" t="s">
        <v>55</v>
      </c>
      <c r="L3582" t="s">
        <v>2173</v>
      </c>
      <c r="M3582" t="s">
        <v>57</v>
      </c>
      <c r="N3582" t="str">
        <f>"045617"</f>
        <v>045617</v>
      </c>
      <c r="O3582" t="s">
        <v>2205</v>
      </c>
      <c r="P3582" t="s">
        <v>68</v>
      </c>
      <c r="Q3582">
        <v>10.9</v>
      </c>
      <c r="R3582">
        <v>7.7999999999999972</v>
      </c>
      <c r="S3582" t="s">
        <v>180</v>
      </c>
    </row>
    <row r="3583" spans="1:19" x14ac:dyDescent="0.35">
      <c r="A3583">
        <v>66472</v>
      </c>
      <c r="B3583" t="str">
        <f>"066472"</f>
        <v>066472</v>
      </c>
      <c r="C3583" t="s">
        <v>10986</v>
      </c>
      <c r="D3583" t="s">
        <v>3394</v>
      </c>
      <c r="E3583" t="s">
        <v>3395</v>
      </c>
      <c r="F3583" t="s">
        <v>3396</v>
      </c>
      <c r="G3583" t="s">
        <v>110</v>
      </c>
      <c r="H3583" t="s">
        <v>10987</v>
      </c>
      <c r="I3583" t="s">
        <v>10988</v>
      </c>
      <c r="J3583" t="s">
        <v>2138</v>
      </c>
      <c r="K3583" t="s">
        <v>55</v>
      </c>
      <c r="L3583" t="s">
        <v>2139</v>
      </c>
      <c r="M3583" t="s">
        <v>57</v>
      </c>
      <c r="N3583" t="str">
        <f>"047993"</f>
        <v>047993</v>
      </c>
      <c r="O3583" t="s">
        <v>2135</v>
      </c>
      <c r="P3583" t="s">
        <v>68</v>
      </c>
      <c r="Q3583">
        <v>45.8</v>
      </c>
      <c r="R3583">
        <v>6.7999999999999972</v>
      </c>
      <c r="S3583" t="s">
        <v>60</v>
      </c>
    </row>
    <row r="3584" spans="1:19" x14ac:dyDescent="0.35">
      <c r="A3584">
        <v>66480</v>
      </c>
      <c r="B3584" t="str">
        <f>"066480"</f>
        <v>066480</v>
      </c>
      <c r="C3584" t="s">
        <v>10989</v>
      </c>
      <c r="D3584" t="s">
        <v>3400</v>
      </c>
      <c r="E3584" t="s">
        <v>3395</v>
      </c>
      <c r="F3584" t="s">
        <v>3396</v>
      </c>
      <c r="G3584" t="s">
        <v>1702</v>
      </c>
      <c r="H3584" t="s">
        <v>6699</v>
      </c>
      <c r="I3584" t="s">
        <v>6700</v>
      </c>
      <c r="J3584" t="s">
        <v>2651</v>
      </c>
      <c r="K3584" t="s">
        <v>55</v>
      </c>
      <c r="L3584" t="s">
        <v>2652</v>
      </c>
      <c r="M3584" t="s">
        <v>57</v>
      </c>
      <c r="N3584" t="str">
        <f>"045625"</f>
        <v>045625</v>
      </c>
      <c r="O3584" t="s">
        <v>2648</v>
      </c>
      <c r="P3584" t="s">
        <v>68</v>
      </c>
      <c r="Q3584">
        <v>38.6</v>
      </c>
      <c r="R3584">
        <v>10.599999999999994</v>
      </c>
      <c r="S3584" t="s">
        <v>156</v>
      </c>
    </row>
    <row r="3585" spans="1:19" x14ac:dyDescent="0.35">
      <c r="A3585">
        <v>66498</v>
      </c>
      <c r="B3585" t="str">
        <f>"066498"</f>
        <v>066498</v>
      </c>
      <c r="C3585" t="s">
        <v>10990</v>
      </c>
      <c r="D3585" t="s">
        <v>3394</v>
      </c>
      <c r="E3585" t="s">
        <v>3395</v>
      </c>
      <c r="F3585" t="s">
        <v>3396</v>
      </c>
      <c r="G3585" t="s">
        <v>325</v>
      </c>
      <c r="H3585" t="s">
        <v>10991</v>
      </c>
      <c r="I3585" t="s">
        <v>10992</v>
      </c>
      <c r="J3585" t="s">
        <v>2819</v>
      </c>
      <c r="K3585" t="s">
        <v>55</v>
      </c>
      <c r="L3585" t="s">
        <v>2820</v>
      </c>
      <c r="M3585" t="s">
        <v>57</v>
      </c>
      <c r="N3585" t="str">
        <f>"044925"</f>
        <v>044925</v>
      </c>
      <c r="O3585" t="s">
        <v>2816</v>
      </c>
      <c r="P3585" t="s">
        <v>68</v>
      </c>
      <c r="Q3585">
        <v>33.200000000000003</v>
      </c>
      <c r="R3585">
        <v>19.299999999999997</v>
      </c>
      <c r="S3585" t="s">
        <v>180</v>
      </c>
    </row>
    <row r="3586" spans="1:19" x14ac:dyDescent="0.35">
      <c r="A3586">
        <v>66514</v>
      </c>
      <c r="B3586" t="str">
        <f>"066514"</f>
        <v>066514</v>
      </c>
      <c r="C3586" t="s">
        <v>10993</v>
      </c>
      <c r="D3586" t="s">
        <v>3394</v>
      </c>
      <c r="E3586" t="s">
        <v>3395</v>
      </c>
      <c r="F3586" t="s">
        <v>3396</v>
      </c>
      <c r="G3586" t="s">
        <v>295</v>
      </c>
      <c r="H3586" t="s">
        <v>10994</v>
      </c>
      <c r="I3586" t="s">
        <v>10995</v>
      </c>
      <c r="J3586" t="s">
        <v>1764</v>
      </c>
      <c r="K3586" t="s">
        <v>55</v>
      </c>
      <c r="L3586" t="s">
        <v>1765</v>
      </c>
      <c r="M3586" t="s">
        <v>57</v>
      </c>
      <c r="N3586" t="str">
        <f>"044685"</f>
        <v>044685</v>
      </c>
      <c r="O3586" t="s">
        <v>2751</v>
      </c>
      <c r="P3586" t="s">
        <v>68</v>
      </c>
      <c r="Q3586">
        <v>100</v>
      </c>
      <c r="R3586">
        <v>33.5</v>
      </c>
      <c r="S3586" t="s">
        <v>77</v>
      </c>
    </row>
    <row r="3587" spans="1:19" x14ac:dyDescent="0.35">
      <c r="A3587">
        <v>66555</v>
      </c>
      <c r="B3587" t="str">
        <f>"066555"</f>
        <v>066555</v>
      </c>
      <c r="C3587" t="s">
        <v>10996</v>
      </c>
      <c r="D3587" t="s">
        <v>3398</v>
      </c>
      <c r="E3587" t="s">
        <v>9538</v>
      </c>
      <c r="F3587" t="s">
        <v>3396</v>
      </c>
      <c r="G3587" t="s">
        <v>543</v>
      </c>
      <c r="H3587" t="s">
        <v>1282</v>
      </c>
      <c r="I3587" t="s">
        <v>1283</v>
      </c>
      <c r="J3587" t="s">
        <v>790</v>
      </c>
      <c r="K3587" t="s">
        <v>55</v>
      </c>
      <c r="L3587" t="s">
        <v>791</v>
      </c>
      <c r="M3587" t="s">
        <v>57</v>
      </c>
      <c r="N3587" t="str">
        <f>"000129"</f>
        <v>000129</v>
      </c>
      <c r="O3587" t="s">
        <v>1284</v>
      </c>
      <c r="P3587" t="s">
        <v>68</v>
      </c>
      <c r="Q3587" t="s">
        <v>68</v>
      </c>
      <c r="R3587" t="s">
        <v>68</v>
      </c>
      <c r="S3587" t="s">
        <v>180</v>
      </c>
    </row>
    <row r="3588" spans="1:19" x14ac:dyDescent="0.35">
      <c r="A3588">
        <v>66738</v>
      </c>
      <c r="B3588" t="str">
        <f>"066738"</f>
        <v>066738</v>
      </c>
      <c r="C3588" t="s">
        <v>10997</v>
      </c>
      <c r="D3588" t="s">
        <v>3506</v>
      </c>
      <c r="E3588" t="s">
        <v>3395</v>
      </c>
      <c r="F3588" t="s">
        <v>3396</v>
      </c>
      <c r="G3588" t="s">
        <v>600</v>
      </c>
      <c r="H3588" t="s">
        <v>10998</v>
      </c>
      <c r="I3588" t="s">
        <v>10999</v>
      </c>
      <c r="J3588" t="s">
        <v>603</v>
      </c>
      <c r="K3588" t="s">
        <v>55</v>
      </c>
      <c r="L3588" t="s">
        <v>604</v>
      </c>
      <c r="M3588" t="s">
        <v>57</v>
      </c>
      <c r="N3588" t="str">
        <f>"047001"</f>
        <v>047001</v>
      </c>
      <c r="O3588" t="s">
        <v>599</v>
      </c>
      <c r="P3588" t="s">
        <v>68</v>
      </c>
      <c r="Q3588">
        <v>61.9</v>
      </c>
      <c r="R3588">
        <v>72.5</v>
      </c>
      <c r="S3588" t="s">
        <v>60</v>
      </c>
    </row>
    <row r="3589" spans="1:19" x14ac:dyDescent="0.35">
      <c r="A3589">
        <v>66738</v>
      </c>
      <c r="B3589" t="str">
        <f>"066738"</f>
        <v>066738</v>
      </c>
      <c r="C3589" t="s">
        <v>10997</v>
      </c>
      <c r="D3589" t="s">
        <v>3929</v>
      </c>
      <c r="E3589" t="s">
        <v>3395</v>
      </c>
      <c r="F3589" t="s">
        <v>3396</v>
      </c>
      <c r="G3589" t="s">
        <v>600</v>
      </c>
      <c r="H3589" t="s">
        <v>10998</v>
      </c>
      <c r="I3589" t="s">
        <v>10999</v>
      </c>
      <c r="J3589" t="s">
        <v>603</v>
      </c>
      <c r="K3589" t="s">
        <v>55</v>
      </c>
      <c r="L3589" t="s">
        <v>604</v>
      </c>
      <c r="M3589" t="s">
        <v>57</v>
      </c>
      <c r="N3589" t="str">
        <f>"047001"</f>
        <v>047001</v>
      </c>
      <c r="O3589" t="s">
        <v>599</v>
      </c>
      <c r="P3589" t="s">
        <v>68</v>
      </c>
      <c r="Q3589">
        <v>61.9</v>
      </c>
      <c r="R3589">
        <v>72.5</v>
      </c>
      <c r="S3589" t="s">
        <v>60</v>
      </c>
    </row>
    <row r="3590" spans="1:19" x14ac:dyDescent="0.35">
      <c r="A3590">
        <v>66746</v>
      </c>
      <c r="B3590" t="str">
        <f>"066746"</f>
        <v>066746</v>
      </c>
      <c r="C3590" t="s">
        <v>11000</v>
      </c>
      <c r="D3590" t="s">
        <v>3394</v>
      </c>
      <c r="E3590" t="s">
        <v>3395</v>
      </c>
      <c r="F3590" t="s">
        <v>3396</v>
      </c>
      <c r="G3590" t="s">
        <v>383</v>
      </c>
      <c r="H3590" t="s">
        <v>11001</v>
      </c>
      <c r="I3590" t="s">
        <v>11002</v>
      </c>
      <c r="J3590" t="s">
        <v>1787</v>
      </c>
      <c r="K3590" t="s">
        <v>55</v>
      </c>
      <c r="L3590" t="s">
        <v>1788</v>
      </c>
      <c r="M3590" t="s">
        <v>57</v>
      </c>
      <c r="N3590" t="str">
        <f>"048322"</f>
        <v>048322</v>
      </c>
      <c r="O3590" t="s">
        <v>1784</v>
      </c>
      <c r="P3590" t="s">
        <v>68</v>
      </c>
      <c r="Q3590">
        <v>47.9</v>
      </c>
      <c r="R3590">
        <v>7.4000000000000057</v>
      </c>
      <c r="S3590" t="s">
        <v>77</v>
      </c>
    </row>
    <row r="3591" spans="1:19" x14ac:dyDescent="0.35">
      <c r="A3591">
        <v>66761</v>
      </c>
      <c r="B3591" t="str">
        <f>"066761"</f>
        <v>066761</v>
      </c>
      <c r="C3591" t="s">
        <v>11003</v>
      </c>
      <c r="D3591" t="s">
        <v>3506</v>
      </c>
      <c r="E3591" t="s">
        <v>3395</v>
      </c>
      <c r="F3591" t="s">
        <v>3396</v>
      </c>
      <c r="G3591" t="s">
        <v>212</v>
      </c>
      <c r="H3591" t="s">
        <v>11004</v>
      </c>
      <c r="I3591" t="s">
        <v>11005</v>
      </c>
      <c r="J3591" t="s">
        <v>215</v>
      </c>
      <c r="K3591" t="s">
        <v>55</v>
      </c>
      <c r="L3591" t="s">
        <v>2419</v>
      </c>
      <c r="M3591" t="s">
        <v>57</v>
      </c>
      <c r="N3591" t="str">
        <f>"044867"</f>
        <v>044867</v>
      </c>
      <c r="O3591" t="s">
        <v>2415</v>
      </c>
      <c r="P3591" t="s">
        <v>68</v>
      </c>
      <c r="Q3591">
        <v>12.7</v>
      </c>
      <c r="R3591">
        <v>35.099999999999994</v>
      </c>
      <c r="S3591" t="s">
        <v>217</v>
      </c>
    </row>
    <row r="3592" spans="1:19" x14ac:dyDescent="0.35">
      <c r="A3592">
        <v>66787</v>
      </c>
      <c r="B3592" t="str">
        <f>"066787"</f>
        <v>066787</v>
      </c>
      <c r="C3592" t="s">
        <v>11006</v>
      </c>
      <c r="D3592" t="s">
        <v>3394</v>
      </c>
      <c r="E3592" t="s">
        <v>3395</v>
      </c>
      <c r="F3592" t="s">
        <v>3396</v>
      </c>
      <c r="G3592" t="s">
        <v>212</v>
      </c>
      <c r="H3592" t="s">
        <v>5253</v>
      </c>
      <c r="I3592" t="s">
        <v>5254</v>
      </c>
      <c r="J3592" t="s">
        <v>215</v>
      </c>
      <c r="K3592" t="s">
        <v>55</v>
      </c>
      <c r="L3592" t="s">
        <v>3755</v>
      </c>
      <c r="M3592" t="s">
        <v>57</v>
      </c>
      <c r="N3592" t="str">
        <f>"044081"</f>
        <v>044081</v>
      </c>
      <c r="O3592" t="s">
        <v>2318</v>
      </c>
      <c r="P3592" t="s">
        <v>68</v>
      </c>
      <c r="Q3592">
        <v>76.3</v>
      </c>
      <c r="R3592">
        <v>92.6</v>
      </c>
      <c r="S3592" t="s">
        <v>217</v>
      </c>
    </row>
    <row r="3593" spans="1:19" x14ac:dyDescent="0.35">
      <c r="A3593">
        <v>66795</v>
      </c>
      <c r="B3593" t="str">
        <f>"066795"</f>
        <v>066795</v>
      </c>
      <c r="C3593" t="s">
        <v>11007</v>
      </c>
      <c r="D3593" t="s">
        <v>3398</v>
      </c>
      <c r="E3593" t="s">
        <v>3395</v>
      </c>
      <c r="F3593" t="s">
        <v>3396</v>
      </c>
      <c r="G3593" t="s">
        <v>543</v>
      </c>
      <c r="H3593" t="s">
        <v>11008</v>
      </c>
      <c r="I3593" t="s">
        <v>11009</v>
      </c>
      <c r="J3593" t="s">
        <v>687</v>
      </c>
      <c r="K3593" t="s">
        <v>55</v>
      </c>
      <c r="L3593" t="s">
        <v>786</v>
      </c>
      <c r="M3593" t="s">
        <v>57</v>
      </c>
      <c r="N3593" t="str">
        <f>"043844"</f>
        <v>043844</v>
      </c>
      <c r="O3593" t="s">
        <v>985</v>
      </c>
      <c r="P3593" t="s">
        <v>68</v>
      </c>
      <c r="Q3593">
        <v>99.7</v>
      </c>
      <c r="R3593">
        <v>89.3</v>
      </c>
      <c r="S3593" t="s">
        <v>180</v>
      </c>
    </row>
    <row r="3594" spans="1:19" x14ac:dyDescent="0.35">
      <c r="A3594">
        <v>66803</v>
      </c>
      <c r="B3594" t="str">
        <f>"066803"</f>
        <v>066803</v>
      </c>
      <c r="C3594" t="s">
        <v>11010</v>
      </c>
      <c r="D3594" t="s">
        <v>3400</v>
      </c>
      <c r="E3594" t="s">
        <v>3395</v>
      </c>
      <c r="F3594" t="s">
        <v>3396</v>
      </c>
      <c r="G3594" t="s">
        <v>295</v>
      </c>
      <c r="H3594" t="s">
        <v>11011</v>
      </c>
      <c r="I3594" t="s">
        <v>11012</v>
      </c>
      <c r="J3594" t="s">
        <v>748</v>
      </c>
      <c r="K3594" t="s">
        <v>55</v>
      </c>
      <c r="L3594" t="s">
        <v>749</v>
      </c>
      <c r="M3594" t="s">
        <v>57</v>
      </c>
      <c r="N3594" t="str">
        <f>"049171"</f>
        <v>049171</v>
      </c>
      <c r="O3594" t="s">
        <v>745</v>
      </c>
      <c r="P3594" t="s">
        <v>68</v>
      </c>
      <c r="Q3594">
        <v>5.9</v>
      </c>
      <c r="R3594">
        <v>19.400000000000006</v>
      </c>
      <c r="S3594" t="s">
        <v>77</v>
      </c>
    </row>
    <row r="3595" spans="1:19" x14ac:dyDescent="0.35">
      <c r="A3595">
        <v>66811</v>
      </c>
      <c r="B3595" t="str">
        <f>"066811"</f>
        <v>066811</v>
      </c>
      <c r="C3595" t="s">
        <v>6692</v>
      </c>
      <c r="D3595" t="s">
        <v>3394</v>
      </c>
      <c r="E3595" t="s">
        <v>3395</v>
      </c>
      <c r="F3595" t="s">
        <v>3396</v>
      </c>
      <c r="G3595" t="s">
        <v>600</v>
      </c>
      <c r="H3595" t="s">
        <v>11013</v>
      </c>
      <c r="I3595" t="s">
        <v>11014</v>
      </c>
      <c r="J3595" t="s">
        <v>2690</v>
      </c>
      <c r="K3595" t="s">
        <v>55</v>
      </c>
      <c r="L3595" t="s">
        <v>2691</v>
      </c>
      <c r="M3595" t="s">
        <v>57</v>
      </c>
      <c r="N3595" t="str">
        <f>"045047"</f>
        <v>045047</v>
      </c>
      <c r="O3595" t="s">
        <v>2687</v>
      </c>
      <c r="P3595" t="s">
        <v>68</v>
      </c>
      <c r="Q3595">
        <v>26.9</v>
      </c>
      <c r="R3595">
        <v>40.299999999999997</v>
      </c>
      <c r="S3595" t="s">
        <v>60</v>
      </c>
    </row>
    <row r="3596" spans="1:19" x14ac:dyDescent="0.35">
      <c r="A3596">
        <v>66829</v>
      </c>
      <c r="B3596" t="str">
        <f>"066829"</f>
        <v>066829</v>
      </c>
      <c r="C3596" t="s">
        <v>11015</v>
      </c>
      <c r="D3596" t="s">
        <v>3394</v>
      </c>
      <c r="E3596" t="s">
        <v>3395</v>
      </c>
      <c r="F3596" t="s">
        <v>3396</v>
      </c>
      <c r="G3596" t="s">
        <v>600</v>
      </c>
      <c r="H3596" t="s">
        <v>11016</v>
      </c>
      <c r="I3596" t="s">
        <v>11017</v>
      </c>
      <c r="J3596" t="s">
        <v>2690</v>
      </c>
      <c r="K3596" t="s">
        <v>55</v>
      </c>
      <c r="L3596" t="s">
        <v>2691</v>
      </c>
      <c r="M3596" t="s">
        <v>57</v>
      </c>
      <c r="N3596" t="str">
        <f>"045047"</f>
        <v>045047</v>
      </c>
      <c r="O3596" t="s">
        <v>2687</v>
      </c>
      <c r="P3596" t="s">
        <v>68</v>
      </c>
      <c r="Q3596">
        <v>24.6</v>
      </c>
      <c r="R3596">
        <v>32.5</v>
      </c>
      <c r="S3596" t="s">
        <v>60</v>
      </c>
    </row>
    <row r="3597" spans="1:19" x14ac:dyDescent="0.35">
      <c r="A3597">
        <v>66837</v>
      </c>
      <c r="B3597" t="str">
        <f>"066837"</f>
        <v>066837</v>
      </c>
      <c r="C3597" t="s">
        <v>11018</v>
      </c>
      <c r="D3597" t="s">
        <v>3400</v>
      </c>
      <c r="E3597" t="s">
        <v>3395</v>
      </c>
      <c r="F3597" t="s">
        <v>3396</v>
      </c>
      <c r="G3597" t="s">
        <v>543</v>
      </c>
      <c r="H3597" t="s">
        <v>11019</v>
      </c>
      <c r="I3597" t="s">
        <v>11020</v>
      </c>
      <c r="J3597" t="s">
        <v>1252</v>
      </c>
      <c r="K3597" t="s">
        <v>55</v>
      </c>
      <c r="L3597" t="s">
        <v>1253</v>
      </c>
      <c r="M3597" t="s">
        <v>57</v>
      </c>
      <c r="N3597" t="str">
        <f>"048751"</f>
        <v>048751</v>
      </c>
      <c r="O3597" t="s">
        <v>1249</v>
      </c>
      <c r="P3597" t="s">
        <v>68</v>
      </c>
      <c r="Q3597">
        <v>54.7</v>
      </c>
      <c r="R3597">
        <v>46.2</v>
      </c>
      <c r="S3597" t="s">
        <v>180</v>
      </c>
    </row>
    <row r="3598" spans="1:19" x14ac:dyDescent="0.35">
      <c r="A3598">
        <v>66845</v>
      </c>
      <c r="B3598" t="str">
        <f>"066845"</f>
        <v>066845</v>
      </c>
      <c r="C3598" t="s">
        <v>11021</v>
      </c>
      <c r="D3598" t="s">
        <v>3400</v>
      </c>
      <c r="E3598" t="s">
        <v>3395</v>
      </c>
      <c r="F3598" t="s">
        <v>3396</v>
      </c>
      <c r="G3598" t="s">
        <v>187</v>
      </c>
      <c r="H3598" t="s">
        <v>4640</v>
      </c>
      <c r="I3598" t="s">
        <v>4641</v>
      </c>
      <c r="J3598" t="s">
        <v>1279</v>
      </c>
      <c r="K3598" t="s">
        <v>55</v>
      </c>
      <c r="L3598" t="s">
        <v>1280</v>
      </c>
      <c r="M3598" t="s">
        <v>57</v>
      </c>
      <c r="N3598" t="str">
        <f>"050542"</f>
        <v>050542</v>
      </c>
      <c r="O3598" t="s">
        <v>1276</v>
      </c>
      <c r="P3598" t="s">
        <v>68</v>
      </c>
      <c r="Q3598">
        <v>21.6</v>
      </c>
      <c r="R3598">
        <v>11.799999999999997</v>
      </c>
      <c r="S3598" t="s">
        <v>77</v>
      </c>
    </row>
    <row r="3599" spans="1:19" x14ac:dyDescent="0.35">
      <c r="A3599">
        <v>67322</v>
      </c>
      <c r="B3599" t="str">
        <f>"067322"</f>
        <v>067322</v>
      </c>
      <c r="C3599" t="s">
        <v>11022</v>
      </c>
      <c r="D3599" t="s">
        <v>3400</v>
      </c>
      <c r="E3599" t="s">
        <v>3395</v>
      </c>
      <c r="F3599" t="s">
        <v>3396</v>
      </c>
      <c r="G3599" t="s">
        <v>674</v>
      </c>
      <c r="H3599" t="s">
        <v>11023</v>
      </c>
      <c r="I3599" t="s">
        <v>11024</v>
      </c>
      <c r="J3599" t="s">
        <v>3165</v>
      </c>
      <c r="K3599" t="s">
        <v>55</v>
      </c>
      <c r="L3599" t="s">
        <v>3166</v>
      </c>
      <c r="M3599" t="s">
        <v>57</v>
      </c>
      <c r="N3599" t="str">
        <f>"048876"</f>
        <v>048876</v>
      </c>
      <c r="O3599" t="s">
        <v>3162</v>
      </c>
      <c r="P3599" t="s">
        <v>68</v>
      </c>
      <c r="Q3599">
        <v>34.799999999999997</v>
      </c>
      <c r="R3599">
        <v>8.4000000000000057</v>
      </c>
      <c r="S3599" t="s">
        <v>130</v>
      </c>
    </row>
    <row r="3600" spans="1:19" x14ac:dyDescent="0.35">
      <c r="A3600">
        <v>67447</v>
      </c>
      <c r="B3600" t="str">
        <f>"067447"</f>
        <v>067447</v>
      </c>
      <c r="C3600" t="s">
        <v>11025</v>
      </c>
      <c r="D3600" t="s">
        <v>3394</v>
      </c>
      <c r="E3600" t="s">
        <v>9538</v>
      </c>
      <c r="F3600" t="s">
        <v>3396</v>
      </c>
      <c r="G3600" t="s">
        <v>212</v>
      </c>
      <c r="H3600" t="s">
        <v>11026</v>
      </c>
      <c r="I3600" t="s">
        <v>11027</v>
      </c>
      <c r="J3600" t="s">
        <v>215</v>
      </c>
      <c r="K3600" t="s">
        <v>55</v>
      </c>
      <c r="L3600" t="s">
        <v>4767</v>
      </c>
      <c r="M3600" t="s">
        <v>57</v>
      </c>
      <c r="N3600" t="str">
        <f>"052514"</f>
        <v>052514</v>
      </c>
      <c r="O3600" t="s">
        <v>2465</v>
      </c>
      <c r="P3600" t="s">
        <v>68</v>
      </c>
      <c r="Q3600" t="s">
        <v>68</v>
      </c>
      <c r="R3600" t="s">
        <v>68</v>
      </c>
      <c r="S3600" t="s">
        <v>217</v>
      </c>
    </row>
    <row r="3601" spans="1:19" x14ac:dyDescent="0.35">
      <c r="A3601">
        <v>67546</v>
      </c>
      <c r="B3601" t="str">
        <f>"067546"</f>
        <v>067546</v>
      </c>
      <c r="C3601" t="s">
        <v>11028</v>
      </c>
      <c r="D3601" t="s">
        <v>3398</v>
      </c>
      <c r="E3601" t="s">
        <v>9538</v>
      </c>
      <c r="F3601" t="s">
        <v>3396</v>
      </c>
      <c r="G3601" t="s">
        <v>642</v>
      </c>
      <c r="H3601" t="s">
        <v>11029</v>
      </c>
      <c r="I3601" t="s">
        <v>11030</v>
      </c>
      <c r="J3601" t="s">
        <v>1469</v>
      </c>
      <c r="K3601" t="s">
        <v>55</v>
      </c>
      <c r="L3601" t="s">
        <v>1470</v>
      </c>
      <c r="M3601" t="s">
        <v>57</v>
      </c>
      <c r="N3601" t="str">
        <f>"000129"</f>
        <v>000129</v>
      </c>
      <c r="O3601" t="s">
        <v>1284</v>
      </c>
      <c r="P3601" t="s">
        <v>68</v>
      </c>
      <c r="Q3601" t="s">
        <v>68</v>
      </c>
      <c r="R3601" t="s">
        <v>68</v>
      </c>
      <c r="S3601" t="s">
        <v>180</v>
      </c>
    </row>
    <row r="3602" spans="1:19" x14ac:dyDescent="0.35">
      <c r="A3602">
        <v>67603</v>
      </c>
      <c r="B3602" t="str">
        <f>"067603"</f>
        <v>067603</v>
      </c>
      <c r="C3602" t="s">
        <v>11031</v>
      </c>
      <c r="D3602" t="s">
        <v>3394</v>
      </c>
      <c r="E3602" t="s">
        <v>9538</v>
      </c>
      <c r="F3602" t="s">
        <v>3396</v>
      </c>
      <c r="G3602" t="s">
        <v>212</v>
      </c>
      <c r="H3602" t="s">
        <v>11032</v>
      </c>
      <c r="I3602" t="s">
        <v>11033</v>
      </c>
      <c r="J3602" t="s">
        <v>215</v>
      </c>
      <c r="K3602" t="s">
        <v>55</v>
      </c>
      <c r="L3602" t="s">
        <v>6210</v>
      </c>
      <c r="M3602" t="s">
        <v>57</v>
      </c>
      <c r="N3602" t="str">
        <f>"000136"</f>
        <v>000136</v>
      </c>
      <c r="O3602" t="s">
        <v>2853</v>
      </c>
      <c r="P3602" t="s">
        <v>68</v>
      </c>
      <c r="Q3602" t="s">
        <v>68</v>
      </c>
      <c r="R3602" t="s">
        <v>68</v>
      </c>
      <c r="S3602" t="s">
        <v>217</v>
      </c>
    </row>
    <row r="3603" spans="1:19" x14ac:dyDescent="0.35">
      <c r="A3603">
        <v>67603</v>
      </c>
      <c r="B3603" t="str">
        <f>"067603"</f>
        <v>067603</v>
      </c>
      <c r="C3603" t="s">
        <v>11031</v>
      </c>
      <c r="D3603" t="s">
        <v>9541</v>
      </c>
      <c r="E3603" t="s">
        <v>9538</v>
      </c>
      <c r="F3603" t="s">
        <v>3396</v>
      </c>
      <c r="G3603" t="s">
        <v>212</v>
      </c>
      <c r="H3603" t="s">
        <v>11032</v>
      </c>
      <c r="I3603" t="s">
        <v>11033</v>
      </c>
      <c r="J3603" t="s">
        <v>215</v>
      </c>
      <c r="K3603" t="s">
        <v>55</v>
      </c>
      <c r="L3603" t="s">
        <v>6210</v>
      </c>
      <c r="M3603" t="s">
        <v>57</v>
      </c>
      <c r="N3603" t="str">
        <f>"000136"</f>
        <v>000136</v>
      </c>
      <c r="O3603" t="s">
        <v>2853</v>
      </c>
      <c r="P3603" t="s">
        <v>68</v>
      </c>
      <c r="Q3603" t="s">
        <v>68</v>
      </c>
      <c r="R3603" t="s">
        <v>68</v>
      </c>
      <c r="S3603" t="s">
        <v>217</v>
      </c>
    </row>
    <row r="3604" spans="1:19" x14ac:dyDescent="0.35">
      <c r="A3604">
        <v>67611</v>
      </c>
      <c r="B3604" t="str">
        <f>"067611"</f>
        <v>067611</v>
      </c>
      <c r="C3604" t="s">
        <v>11034</v>
      </c>
      <c r="D3604" t="s">
        <v>3398</v>
      </c>
      <c r="E3604" t="s">
        <v>9538</v>
      </c>
      <c r="F3604" t="s">
        <v>3396</v>
      </c>
      <c r="G3604" t="s">
        <v>264</v>
      </c>
      <c r="H3604" t="s">
        <v>11035</v>
      </c>
      <c r="I3604" t="s">
        <v>11036</v>
      </c>
      <c r="J3604" t="s">
        <v>2497</v>
      </c>
      <c r="K3604" t="s">
        <v>55</v>
      </c>
      <c r="L3604" t="s">
        <v>1211</v>
      </c>
      <c r="M3604" t="s">
        <v>57</v>
      </c>
      <c r="N3604" t="str">
        <f>"000129"</f>
        <v>000129</v>
      </c>
      <c r="O3604" t="s">
        <v>1284</v>
      </c>
      <c r="P3604" t="s">
        <v>68</v>
      </c>
      <c r="Q3604" t="s">
        <v>68</v>
      </c>
      <c r="R3604" t="s">
        <v>68</v>
      </c>
      <c r="S3604" t="s">
        <v>77</v>
      </c>
    </row>
    <row r="3605" spans="1:19" x14ac:dyDescent="0.35">
      <c r="A3605">
        <v>67629</v>
      </c>
      <c r="B3605" t="str">
        <f>"067629"</f>
        <v>067629</v>
      </c>
      <c r="C3605" t="s">
        <v>11037</v>
      </c>
      <c r="D3605" t="s">
        <v>3398</v>
      </c>
      <c r="E3605" t="s">
        <v>9538</v>
      </c>
      <c r="F3605" t="s">
        <v>3396</v>
      </c>
      <c r="G3605" t="s">
        <v>663</v>
      </c>
      <c r="H3605" t="s">
        <v>11038</v>
      </c>
      <c r="I3605" t="s">
        <v>11039</v>
      </c>
      <c r="J3605" t="s">
        <v>666</v>
      </c>
      <c r="K3605" t="s">
        <v>55</v>
      </c>
      <c r="L3605" t="s">
        <v>667</v>
      </c>
      <c r="M3605" t="s">
        <v>57</v>
      </c>
      <c r="N3605" t="str">
        <f>"000129"</f>
        <v>000129</v>
      </c>
      <c r="O3605" t="s">
        <v>1284</v>
      </c>
      <c r="P3605" t="s">
        <v>68</v>
      </c>
      <c r="Q3605" t="s">
        <v>68</v>
      </c>
      <c r="R3605" t="s">
        <v>68</v>
      </c>
      <c r="S3605" t="s">
        <v>77</v>
      </c>
    </row>
    <row r="3606" spans="1:19" x14ac:dyDescent="0.35">
      <c r="A3606">
        <v>67637</v>
      </c>
      <c r="B3606" t="str">
        <f>"067637"</f>
        <v>067637</v>
      </c>
      <c r="C3606" t="s">
        <v>11040</v>
      </c>
      <c r="D3606" t="s">
        <v>3398</v>
      </c>
      <c r="E3606" t="s">
        <v>9538</v>
      </c>
      <c r="F3606" t="s">
        <v>3396</v>
      </c>
      <c r="G3606" t="s">
        <v>543</v>
      </c>
      <c r="H3606" t="s">
        <v>11041</v>
      </c>
      <c r="I3606" t="s">
        <v>11042</v>
      </c>
      <c r="J3606" t="s">
        <v>687</v>
      </c>
      <c r="K3606" t="s">
        <v>55</v>
      </c>
      <c r="L3606" t="s">
        <v>1962</v>
      </c>
      <c r="M3606" t="s">
        <v>57</v>
      </c>
      <c r="N3606" t="str">
        <f>"000136"</f>
        <v>000136</v>
      </c>
      <c r="O3606" t="s">
        <v>2853</v>
      </c>
      <c r="P3606" t="s">
        <v>68</v>
      </c>
      <c r="Q3606" t="s">
        <v>68</v>
      </c>
      <c r="R3606" t="s">
        <v>68</v>
      </c>
      <c r="S3606" t="s">
        <v>180</v>
      </c>
    </row>
    <row r="3607" spans="1:19" x14ac:dyDescent="0.35">
      <c r="A3607">
        <v>67637</v>
      </c>
      <c r="B3607" t="str">
        <f>"067637"</f>
        <v>067637</v>
      </c>
      <c r="C3607" t="s">
        <v>11040</v>
      </c>
      <c r="D3607" t="s">
        <v>9541</v>
      </c>
      <c r="E3607" t="s">
        <v>9538</v>
      </c>
      <c r="F3607" t="s">
        <v>3396</v>
      </c>
      <c r="G3607" t="s">
        <v>543</v>
      </c>
      <c r="H3607" t="s">
        <v>11041</v>
      </c>
      <c r="I3607" t="s">
        <v>11042</v>
      </c>
      <c r="J3607" t="s">
        <v>687</v>
      </c>
      <c r="K3607" t="s">
        <v>55</v>
      </c>
      <c r="L3607" t="s">
        <v>1962</v>
      </c>
      <c r="M3607" t="s">
        <v>57</v>
      </c>
      <c r="N3607" t="str">
        <f>"000136"</f>
        <v>000136</v>
      </c>
      <c r="O3607" t="s">
        <v>2853</v>
      </c>
      <c r="P3607" t="s">
        <v>68</v>
      </c>
      <c r="Q3607" t="s">
        <v>68</v>
      </c>
      <c r="R3607" t="s">
        <v>68</v>
      </c>
      <c r="S3607" t="s">
        <v>180</v>
      </c>
    </row>
    <row r="3608" spans="1:19" x14ac:dyDescent="0.35">
      <c r="A3608">
        <v>67728</v>
      </c>
      <c r="B3608" t="str">
        <f>"067728"</f>
        <v>067728</v>
      </c>
      <c r="C3608" t="s">
        <v>11043</v>
      </c>
      <c r="D3608" t="s">
        <v>3398</v>
      </c>
      <c r="E3608" t="s">
        <v>3395</v>
      </c>
      <c r="F3608" t="s">
        <v>3396</v>
      </c>
      <c r="G3608" t="s">
        <v>600</v>
      </c>
      <c r="H3608" t="s">
        <v>11044</v>
      </c>
      <c r="I3608" t="s">
        <v>11045</v>
      </c>
      <c r="J3608" t="s">
        <v>1348</v>
      </c>
      <c r="K3608" t="s">
        <v>55</v>
      </c>
      <c r="L3608" t="s">
        <v>5209</v>
      </c>
      <c r="M3608" t="s">
        <v>57</v>
      </c>
      <c r="N3608" t="str">
        <f>"043802"</f>
        <v>043802</v>
      </c>
      <c r="O3608" t="s">
        <v>3171</v>
      </c>
      <c r="P3608" t="s">
        <v>68</v>
      </c>
      <c r="Q3608">
        <v>100</v>
      </c>
      <c r="R3608">
        <v>66</v>
      </c>
      <c r="S3608" t="s">
        <v>60</v>
      </c>
    </row>
    <row r="3609" spans="1:19" x14ac:dyDescent="0.35">
      <c r="A3609">
        <v>67736</v>
      </c>
      <c r="B3609" t="str">
        <f>"067736"</f>
        <v>067736</v>
      </c>
      <c r="C3609" t="s">
        <v>5970</v>
      </c>
      <c r="D3609" t="s">
        <v>3398</v>
      </c>
      <c r="E3609" t="s">
        <v>3395</v>
      </c>
      <c r="F3609" t="s">
        <v>3396</v>
      </c>
      <c r="G3609" t="s">
        <v>600</v>
      </c>
      <c r="H3609" t="s">
        <v>11046</v>
      </c>
      <c r="I3609" t="s">
        <v>11047</v>
      </c>
      <c r="J3609" t="s">
        <v>1348</v>
      </c>
      <c r="K3609" t="s">
        <v>55</v>
      </c>
      <c r="L3609" t="s">
        <v>3568</v>
      </c>
      <c r="M3609" t="s">
        <v>57</v>
      </c>
      <c r="N3609" t="str">
        <f>"043802"</f>
        <v>043802</v>
      </c>
      <c r="O3609" t="s">
        <v>3171</v>
      </c>
      <c r="P3609" t="s">
        <v>68</v>
      </c>
      <c r="Q3609">
        <v>100</v>
      </c>
      <c r="R3609">
        <v>95.9</v>
      </c>
      <c r="S3609" t="s">
        <v>60</v>
      </c>
    </row>
    <row r="3610" spans="1:19" x14ac:dyDescent="0.35">
      <c r="A3610">
        <v>67744</v>
      </c>
      <c r="B3610" t="str">
        <f>"067744"</f>
        <v>067744</v>
      </c>
      <c r="C3610" t="s">
        <v>11048</v>
      </c>
      <c r="D3610" t="s">
        <v>3394</v>
      </c>
      <c r="E3610" t="s">
        <v>3395</v>
      </c>
      <c r="F3610" t="s">
        <v>3396</v>
      </c>
      <c r="G3610" t="s">
        <v>600</v>
      </c>
      <c r="H3610" t="s">
        <v>11049</v>
      </c>
      <c r="I3610" t="s">
        <v>11050</v>
      </c>
      <c r="J3610" t="s">
        <v>1348</v>
      </c>
      <c r="K3610" t="s">
        <v>55</v>
      </c>
      <c r="L3610" t="s">
        <v>3736</v>
      </c>
      <c r="M3610" t="s">
        <v>57</v>
      </c>
      <c r="N3610" t="str">
        <f>"043802"</f>
        <v>043802</v>
      </c>
      <c r="O3610" t="s">
        <v>3171</v>
      </c>
      <c r="P3610" t="s">
        <v>68</v>
      </c>
      <c r="Q3610">
        <v>100</v>
      </c>
      <c r="R3610">
        <v>91.6</v>
      </c>
      <c r="S3610" t="s">
        <v>60</v>
      </c>
    </row>
    <row r="3611" spans="1:19" x14ac:dyDescent="0.35">
      <c r="A3611">
        <v>67751</v>
      </c>
      <c r="B3611" t="str">
        <f>"067751"</f>
        <v>067751</v>
      </c>
      <c r="C3611" t="s">
        <v>4125</v>
      </c>
      <c r="D3611" t="s">
        <v>3394</v>
      </c>
      <c r="E3611" t="s">
        <v>3395</v>
      </c>
      <c r="F3611" t="s">
        <v>3396</v>
      </c>
      <c r="G3611" t="s">
        <v>600</v>
      </c>
      <c r="H3611" t="s">
        <v>11051</v>
      </c>
      <c r="I3611" t="s">
        <v>11052</v>
      </c>
      <c r="J3611" t="s">
        <v>1348</v>
      </c>
      <c r="K3611" t="s">
        <v>55</v>
      </c>
      <c r="L3611" t="s">
        <v>3568</v>
      </c>
      <c r="M3611" t="s">
        <v>57</v>
      </c>
      <c r="N3611" t="str">
        <f>"043802"</f>
        <v>043802</v>
      </c>
      <c r="O3611" t="s">
        <v>3171</v>
      </c>
      <c r="P3611" t="s">
        <v>68</v>
      </c>
      <c r="Q3611">
        <v>100</v>
      </c>
      <c r="R3611">
        <v>93.1</v>
      </c>
      <c r="S3611" t="s">
        <v>60</v>
      </c>
    </row>
    <row r="3612" spans="1:19" x14ac:dyDescent="0.35">
      <c r="A3612">
        <v>67819</v>
      </c>
      <c r="B3612" t="str">
        <f>"067819"</f>
        <v>067819</v>
      </c>
      <c r="C3612" t="s">
        <v>11053</v>
      </c>
      <c r="D3612" t="s">
        <v>3394</v>
      </c>
      <c r="E3612" t="s">
        <v>3395</v>
      </c>
      <c r="F3612" t="s">
        <v>3396</v>
      </c>
      <c r="G3612" t="s">
        <v>312</v>
      </c>
      <c r="H3612" t="s">
        <v>11054</v>
      </c>
      <c r="I3612" t="s">
        <v>11055</v>
      </c>
      <c r="J3612" t="s">
        <v>1384</v>
      </c>
      <c r="K3612" t="s">
        <v>55</v>
      </c>
      <c r="L3612" t="s">
        <v>1385</v>
      </c>
      <c r="M3612" t="s">
        <v>57</v>
      </c>
      <c r="N3612" t="str">
        <f>"048439"</f>
        <v>048439</v>
      </c>
      <c r="O3612" t="s">
        <v>1381</v>
      </c>
      <c r="P3612" t="s">
        <v>68</v>
      </c>
      <c r="Q3612">
        <v>53</v>
      </c>
      <c r="R3612">
        <v>8.9000000000000057</v>
      </c>
      <c r="S3612" t="s">
        <v>156</v>
      </c>
    </row>
    <row r="3613" spans="1:19" x14ac:dyDescent="0.35">
      <c r="A3613">
        <v>67827</v>
      </c>
      <c r="B3613" t="str">
        <f>"067827"</f>
        <v>067827</v>
      </c>
      <c r="C3613" t="s">
        <v>11056</v>
      </c>
      <c r="D3613" t="s">
        <v>3400</v>
      </c>
      <c r="E3613" t="s">
        <v>3395</v>
      </c>
      <c r="F3613" t="s">
        <v>3396</v>
      </c>
      <c r="G3613" t="s">
        <v>175</v>
      </c>
      <c r="H3613" t="s">
        <v>8846</v>
      </c>
      <c r="I3613" t="s">
        <v>8847</v>
      </c>
      <c r="J3613" t="s">
        <v>1288</v>
      </c>
      <c r="K3613" t="s">
        <v>55</v>
      </c>
      <c r="L3613" t="s">
        <v>1289</v>
      </c>
      <c r="M3613" t="s">
        <v>57</v>
      </c>
      <c r="N3613" t="str">
        <f>"045633"</f>
        <v>045633</v>
      </c>
      <c r="O3613" t="s">
        <v>1285</v>
      </c>
      <c r="P3613" t="s">
        <v>68</v>
      </c>
      <c r="Q3613">
        <v>14.6</v>
      </c>
      <c r="R3613">
        <v>3.2000000000000028</v>
      </c>
      <c r="S3613" t="s">
        <v>180</v>
      </c>
    </row>
    <row r="3614" spans="1:19" x14ac:dyDescent="0.35">
      <c r="A3614">
        <v>67835</v>
      </c>
      <c r="B3614" t="str">
        <f>"067835"</f>
        <v>067835</v>
      </c>
      <c r="C3614" t="s">
        <v>11057</v>
      </c>
      <c r="D3614" t="s">
        <v>3400</v>
      </c>
      <c r="E3614" t="s">
        <v>3395</v>
      </c>
      <c r="F3614" t="s">
        <v>3396</v>
      </c>
      <c r="G3614" t="s">
        <v>674</v>
      </c>
      <c r="H3614" t="s">
        <v>11058</v>
      </c>
      <c r="I3614" t="s">
        <v>11059</v>
      </c>
      <c r="J3614" t="s">
        <v>677</v>
      </c>
      <c r="K3614" t="s">
        <v>55</v>
      </c>
      <c r="L3614" t="s">
        <v>678</v>
      </c>
      <c r="M3614" t="s">
        <v>57</v>
      </c>
      <c r="N3614" t="str">
        <f>"048835"</f>
        <v>048835</v>
      </c>
      <c r="O3614" t="s">
        <v>673</v>
      </c>
      <c r="P3614" t="s">
        <v>68</v>
      </c>
      <c r="Q3614">
        <v>36.4</v>
      </c>
      <c r="R3614">
        <v>5.5</v>
      </c>
      <c r="S3614" t="s">
        <v>130</v>
      </c>
    </row>
    <row r="3615" spans="1:19" x14ac:dyDescent="0.35">
      <c r="A3615">
        <v>67843</v>
      </c>
      <c r="B3615" t="str">
        <f>"067843"</f>
        <v>067843</v>
      </c>
      <c r="C3615" t="s">
        <v>11060</v>
      </c>
      <c r="D3615" t="s">
        <v>3400</v>
      </c>
      <c r="E3615" t="s">
        <v>3395</v>
      </c>
      <c r="F3615" t="s">
        <v>3396</v>
      </c>
      <c r="G3615" t="s">
        <v>257</v>
      </c>
      <c r="H3615" t="s">
        <v>11061</v>
      </c>
      <c r="I3615" t="s">
        <v>11062</v>
      </c>
      <c r="J3615" t="s">
        <v>2531</v>
      </c>
      <c r="K3615" t="s">
        <v>55</v>
      </c>
      <c r="L3615" t="s">
        <v>2532</v>
      </c>
      <c r="M3615" t="s">
        <v>57</v>
      </c>
      <c r="N3615" t="str">
        <f>"048926"</f>
        <v>048926</v>
      </c>
      <c r="O3615" t="s">
        <v>2528</v>
      </c>
      <c r="P3615" t="s">
        <v>68</v>
      </c>
      <c r="Q3615">
        <v>35</v>
      </c>
      <c r="R3615">
        <v>6.0999999999999943</v>
      </c>
      <c r="S3615" t="s">
        <v>156</v>
      </c>
    </row>
    <row r="3616" spans="1:19" x14ac:dyDescent="0.35">
      <c r="A3616">
        <v>67850</v>
      </c>
      <c r="B3616" t="str">
        <f>"067850"</f>
        <v>067850</v>
      </c>
      <c r="C3616" t="s">
        <v>11063</v>
      </c>
      <c r="D3616" t="s">
        <v>3400</v>
      </c>
      <c r="E3616" t="s">
        <v>3395</v>
      </c>
      <c r="F3616" t="s">
        <v>3396</v>
      </c>
      <c r="G3616" t="s">
        <v>674</v>
      </c>
      <c r="H3616" t="s">
        <v>11064</v>
      </c>
      <c r="I3616" t="s">
        <v>11065</v>
      </c>
      <c r="J3616" t="s">
        <v>927</v>
      </c>
      <c r="K3616" t="s">
        <v>55</v>
      </c>
      <c r="L3616" t="s">
        <v>928</v>
      </c>
      <c r="M3616" t="s">
        <v>57</v>
      </c>
      <c r="N3616" t="str">
        <f>"048884"</f>
        <v>048884</v>
      </c>
      <c r="O3616" t="s">
        <v>1698</v>
      </c>
      <c r="P3616" t="s">
        <v>68</v>
      </c>
      <c r="Q3616">
        <v>43.8</v>
      </c>
      <c r="R3616">
        <v>11.200000000000003</v>
      </c>
      <c r="S3616" t="s">
        <v>130</v>
      </c>
    </row>
    <row r="3617" spans="1:19" x14ac:dyDescent="0.35">
      <c r="A3617">
        <v>67868</v>
      </c>
      <c r="B3617" t="str">
        <f>"067868"</f>
        <v>067868</v>
      </c>
      <c r="C3617" t="s">
        <v>11066</v>
      </c>
      <c r="D3617" t="s">
        <v>3400</v>
      </c>
      <c r="E3617" t="s">
        <v>3395</v>
      </c>
      <c r="F3617" t="s">
        <v>3396</v>
      </c>
      <c r="G3617" t="s">
        <v>110</v>
      </c>
      <c r="H3617" t="s">
        <v>11067</v>
      </c>
      <c r="I3617" t="s">
        <v>11068</v>
      </c>
      <c r="J3617" t="s">
        <v>1027</v>
      </c>
      <c r="K3617" t="s">
        <v>55</v>
      </c>
      <c r="L3617" t="s">
        <v>1028</v>
      </c>
      <c r="M3617" t="s">
        <v>57</v>
      </c>
      <c r="N3617" t="str">
        <f>"048009"</f>
        <v>048009</v>
      </c>
      <c r="O3617" t="s">
        <v>1024</v>
      </c>
      <c r="P3617" t="s">
        <v>68</v>
      </c>
      <c r="Q3617">
        <v>66.099999999999994</v>
      </c>
      <c r="R3617">
        <v>63.1</v>
      </c>
      <c r="S3617" t="s">
        <v>60</v>
      </c>
    </row>
    <row r="3618" spans="1:19" x14ac:dyDescent="0.35">
      <c r="A3618">
        <v>67876</v>
      </c>
      <c r="B3618" t="str">
        <f>"067876"</f>
        <v>067876</v>
      </c>
      <c r="C3618" t="s">
        <v>11069</v>
      </c>
      <c r="D3618" t="s">
        <v>3400</v>
      </c>
      <c r="E3618" t="s">
        <v>3395</v>
      </c>
      <c r="F3618" t="s">
        <v>3396</v>
      </c>
      <c r="G3618" t="s">
        <v>110</v>
      </c>
      <c r="H3618" t="s">
        <v>11070</v>
      </c>
      <c r="I3618" t="s">
        <v>11071</v>
      </c>
      <c r="J3618" t="s">
        <v>6238</v>
      </c>
      <c r="K3618" t="s">
        <v>55</v>
      </c>
      <c r="L3618" t="s">
        <v>1028</v>
      </c>
      <c r="M3618" t="s">
        <v>57</v>
      </c>
      <c r="N3618" t="str">
        <f>"048041"</f>
        <v>048041</v>
      </c>
      <c r="O3618" t="s">
        <v>2424</v>
      </c>
      <c r="P3618" t="s">
        <v>68</v>
      </c>
      <c r="Q3618">
        <v>32.1</v>
      </c>
      <c r="R3618">
        <v>21.299999999999997</v>
      </c>
      <c r="S3618" t="s">
        <v>60</v>
      </c>
    </row>
    <row r="3619" spans="1:19" x14ac:dyDescent="0.35">
      <c r="A3619">
        <v>67892</v>
      </c>
      <c r="B3619" t="str">
        <f>"067892"</f>
        <v>067892</v>
      </c>
      <c r="C3619" t="s">
        <v>8943</v>
      </c>
      <c r="D3619" t="s">
        <v>3394</v>
      </c>
      <c r="E3619" t="s">
        <v>3395</v>
      </c>
      <c r="F3619" t="s">
        <v>3396</v>
      </c>
      <c r="G3619" t="s">
        <v>406</v>
      </c>
      <c r="H3619" t="s">
        <v>11072</v>
      </c>
      <c r="I3619" t="s">
        <v>11073</v>
      </c>
      <c r="J3619" t="s">
        <v>406</v>
      </c>
      <c r="K3619" t="s">
        <v>55</v>
      </c>
      <c r="L3619" t="s">
        <v>409</v>
      </c>
      <c r="M3619" t="s">
        <v>57</v>
      </c>
      <c r="N3619" t="str">
        <f>"044388"</f>
        <v>044388</v>
      </c>
      <c r="O3619" t="s">
        <v>3325</v>
      </c>
      <c r="P3619" t="s">
        <v>68</v>
      </c>
      <c r="Q3619">
        <v>15.1</v>
      </c>
      <c r="R3619">
        <v>12.5</v>
      </c>
      <c r="S3619" t="s">
        <v>77</v>
      </c>
    </row>
    <row r="3620" spans="1:19" x14ac:dyDescent="0.35">
      <c r="A3620">
        <v>67900</v>
      </c>
      <c r="B3620" t="str">
        <f>"067900"</f>
        <v>067900</v>
      </c>
      <c r="C3620" t="s">
        <v>11074</v>
      </c>
      <c r="D3620" t="s">
        <v>3400</v>
      </c>
      <c r="E3620" t="s">
        <v>3395</v>
      </c>
      <c r="F3620" t="s">
        <v>3396</v>
      </c>
      <c r="G3620" t="s">
        <v>600</v>
      </c>
      <c r="H3620" t="s">
        <v>11075</v>
      </c>
      <c r="I3620" t="s">
        <v>11076</v>
      </c>
      <c r="J3620" t="s">
        <v>1081</v>
      </c>
      <c r="K3620" t="s">
        <v>55</v>
      </c>
      <c r="L3620" t="s">
        <v>1082</v>
      </c>
      <c r="M3620" t="s">
        <v>57</v>
      </c>
      <c r="N3620" t="str">
        <f>"046979"</f>
        <v>046979</v>
      </c>
      <c r="O3620" t="s">
        <v>1587</v>
      </c>
      <c r="P3620" t="s">
        <v>68</v>
      </c>
      <c r="Q3620">
        <v>79.599999999999994</v>
      </c>
      <c r="R3620">
        <v>73.3</v>
      </c>
      <c r="S3620" t="s">
        <v>60</v>
      </c>
    </row>
    <row r="3621" spans="1:19" x14ac:dyDescent="0.35">
      <c r="A3621">
        <v>67926</v>
      </c>
      <c r="B3621" t="str">
        <f>"067926"</f>
        <v>067926</v>
      </c>
      <c r="C3621" t="s">
        <v>11077</v>
      </c>
      <c r="D3621" t="s">
        <v>3400</v>
      </c>
      <c r="E3621" t="s">
        <v>3395</v>
      </c>
      <c r="F3621" t="s">
        <v>3396</v>
      </c>
      <c r="G3621" t="s">
        <v>92</v>
      </c>
      <c r="H3621" t="s">
        <v>11078</v>
      </c>
      <c r="I3621" t="s">
        <v>11079</v>
      </c>
      <c r="J3621" t="s">
        <v>104</v>
      </c>
      <c r="K3621" t="s">
        <v>55</v>
      </c>
      <c r="L3621" t="s">
        <v>1564</v>
      </c>
      <c r="M3621" t="s">
        <v>57</v>
      </c>
      <c r="N3621" t="str">
        <f>"046862"</f>
        <v>046862</v>
      </c>
      <c r="O3621" t="s">
        <v>1561</v>
      </c>
      <c r="P3621" t="s">
        <v>68</v>
      </c>
      <c r="Q3621">
        <v>17.2</v>
      </c>
      <c r="R3621">
        <v>8.5999999999999943</v>
      </c>
      <c r="S3621" t="s">
        <v>60</v>
      </c>
    </row>
    <row r="3622" spans="1:19" x14ac:dyDescent="0.35">
      <c r="A3622">
        <v>67934</v>
      </c>
      <c r="B3622" t="str">
        <f>"067934"</f>
        <v>067934</v>
      </c>
      <c r="C3622" t="s">
        <v>11080</v>
      </c>
      <c r="D3622" t="s">
        <v>3400</v>
      </c>
      <c r="E3622" t="s">
        <v>3395</v>
      </c>
      <c r="F3622" t="s">
        <v>3396</v>
      </c>
      <c r="G3622" t="s">
        <v>600</v>
      </c>
      <c r="H3622" t="s">
        <v>11081</v>
      </c>
      <c r="I3622" t="s">
        <v>11082</v>
      </c>
      <c r="J3622" t="s">
        <v>1348</v>
      </c>
      <c r="K3622" t="s">
        <v>55</v>
      </c>
      <c r="L3622" t="s">
        <v>3568</v>
      </c>
      <c r="M3622" t="s">
        <v>57</v>
      </c>
      <c r="N3622" t="str">
        <f>"046979"</f>
        <v>046979</v>
      </c>
      <c r="O3622" t="s">
        <v>1587</v>
      </c>
      <c r="P3622" t="s">
        <v>68</v>
      </c>
      <c r="Q3622">
        <v>76.3</v>
      </c>
      <c r="R3622">
        <v>69.900000000000006</v>
      </c>
      <c r="S3622" t="s">
        <v>60</v>
      </c>
    </row>
    <row r="3623" spans="1:19" x14ac:dyDescent="0.35">
      <c r="A3623">
        <v>67942</v>
      </c>
      <c r="B3623" t="str">
        <f>"067942"</f>
        <v>067942</v>
      </c>
      <c r="C3623" t="s">
        <v>11083</v>
      </c>
      <c r="D3623" t="s">
        <v>3400</v>
      </c>
      <c r="E3623" t="s">
        <v>3395</v>
      </c>
      <c r="F3623" t="s">
        <v>3396</v>
      </c>
      <c r="G3623" t="s">
        <v>117</v>
      </c>
      <c r="H3623" t="s">
        <v>11084</v>
      </c>
      <c r="I3623" t="s">
        <v>11085</v>
      </c>
      <c r="J3623" t="s">
        <v>977</v>
      </c>
      <c r="K3623" t="s">
        <v>55</v>
      </c>
      <c r="L3623" t="s">
        <v>978</v>
      </c>
      <c r="M3623" t="s">
        <v>57</v>
      </c>
      <c r="N3623" t="str">
        <f>"049924"</f>
        <v>049924</v>
      </c>
      <c r="O3623" t="s">
        <v>1548</v>
      </c>
      <c r="P3623" t="s">
        <v>68</v>
      </c>
      <c r="Q3623">
        <v>37.6</v>
      </c>
      <c r="R3623">
        <v>13.099999999999994</v>
      </c>
      <c r="S3623" t="s">
        <v>77</v>
      </c>
    </row>
    <row r="3624" spans="1:19" x14ac:dyDescent="0.35">
      <c r="A3624">
        <v>67959</v>
      </c>
      <c r="B3624" t="str">
        <f>"067959"</f>
        <v>067959</v>
      </c>
      <c r="C3624" t="s">
        <v>11086</v>
      </c>
      <c r="D3624" t="s">
        <v>3398</v>
      </c>
      <c r="E3624" t="s">
        <v>3395</v>
      </c>
      <c r="F3624" t="s">
        <v>3396</v>
      </c>
      <c r="G3624" t="s">
        <v>52</v>
      </c>
      <c r="H3624" t="s">
        <v>11087</v>
      </c>
      <c r="I3624" t="s">
        <v>11088</v>
      </c>
      <c r="J3624" t="s">
        <v>2690</v>
      </c>
      <c r="K3624" t="s">
        <v>55</v>
      </c>
      <c r="L3624" t="s">
        <v>2691</v>
      </c>
      <c r="M3624" t="s">
        <v>57</v>
      </c>
      <c r="N3624" t="str">
        <f>"045047"</f>
        <v>045047</v>
      </c>
      <c r="O3624" t="s">
        <v>2687</v>
      </c>
      <c r="P3624" t="s">
        <v>68</v>
      </c>
      <c r="Q3624">
        <v>30.6</v>
      </c>
      <c r="R3624">
        <v>45.6</v>
      </c>
      <c r="S3624" t="s">
        <v>60</v>
      </c>
    </row>
    <row r="3625" spans="1:19" x14ac:dyDescent="0.35">
      <c r="A3625">
        <v>67975</v>
      </c>
      <c r="B3625" t="str">
        <f>"067975"</f>
        <v>067975</v>
      </c>
      <c r="C3625" t="s">
        <v>11089</v>
      </c>
      <c r="D3625" t="s">
        <v>3400</v>
      </c>
      <c r="E3625" t="s">
        <v>3395</v>
      </c>
      <c r="F3625" t="s">
        <v>3396</v>
      </c>
      <c r="G3625" t="s">
        <v>117</v>
      </c>
      <c r="H3625" t="s">
        <v>11090</v>
      </c>
      <c r="I3625" t="s">
        <v>11091</v>
      </c>
      <c r="J3625" t="s">
        <v>977</v>
      </c>
      <c r="K3625" t="s">
        <v>55</v>
      </c>
      <c r="L3625" t="s">
        <v>978</v>
      </c>
      <c r="M3625" t="s">
        <v>57</v>
      </c>
      <c r="N3625" t="str">
        <f>"049858"</f>
        <v>049858</v>
      </c>
      <c r="O3625" t="s">
        <v>2490</v>
      </c>
      <c r="P3625" t="s">
        <v>68</v>
      </c>
      <c r="Q3625">
        <v>18.3</v>
      </c>
      <c r="R3625">
        <v>16.799999999999997</v>
      </c>
      <c r="S3625" t="s">
        <v>77</v>
      </c>
    </row>
    <row r="3626" spans="1:19" x14ac:dyDescent="0.35">
      <c r="A3626">
        <v>67991</v>
      </c>
      <c r="B3626" t="str">
        <f>"067991"</f>
        <v>067991</v>
      </c>
      <c r="C3626" t="s">
        <v>11092</v>
      </c>
      <c r="D3626" t="s">
        <v>3400</v>
      </c>
      <c r="E3626" t="s">
        <v>3395</v>
      </c>
      <c r="F3626" t="s">
        <v>3396</v>
      </c>
      <c r="G3626" t="s">
        <v>92</v>
      </c>
      <c r="H3626" t="s">
        <v>11093</v>
      </c>
      <c r="I3626" t="s">
        <v>11094</v>
      </c>
      <c r="J3626" t="s">
        <v>1940</v>
      </c>
      <c r="K3626" t="s">
        <v>55</v>
      </c>
      <c r="L3626" t="s">
        <v>1941</v>
      </c>
      <c r="M3626" t="s">
        <v>57</v>
      </c>
      <c r="N3626" t="str">
        <f>"046870"</f>
        <v>046870</v>
      </c>
      <c r="O3626" t="s">
        <v>1937</v>
      </c>
      <c r="P3626" t="s">
        <v>68</v>
      </c>
      <c r="Q3626">
        <v>37.6</v>
      </c>
      <c r="R3626">
        <v>5</v>
      </c>
      <c r="S3626" t="s">
        <v>60</v>
      </c>
    </row>
    <row r="3627" spans="1:19" x14ac:dyDescent="0.35">
      <c r="A3627">
        <v>68031</v>
      </c>
      <c r="B3627" t="str">
        <f>"068031"</f>
        <v>068031</v>
      </c>
      <c r="C3627" t="s">
        <v>11095</v>
      </c>
      <c r="D3627" t="s">
        <v>3394</v>
      </c>
      <c r="E3627" t="s">
        <v>9538</v>
      </c>
      <c r="F3627" t="s">
        <v>3396</v>
      </c>
      <c r="G3627" t="s">
        <v>200</v>
      </c>
      <c r="H3627" t="s">
        <v>11096</v>
      </c>
      <c r="I3627" t="s">
        <v>11097</v>
      </c>
      <c r="J3627" t="s">
        <v>2680</v>
      </c>
      <c r="K3627" t="s">
        <v>55</v>
      </c>
      <c r="L3627" t="s">
        <v>2681</v>
      </c>
      <c r="M3627" t="s">
        <v>57</v>
      </c>
      <c r="N3627" t="str">
        <f>"052555"</f>
        <v>052555</v>
      </c>
      <c r="O3627" t="s">
        <v>3167</v>
      </c>
      <c r="P3627" t="s">
        <v>68</v>
      </c>
      <c r="Q3627" t="s">
        <v>68</v>
      </c>
      <c r="R3627" t="s">
        <v>68</v>
      </c>
      <c r="S3627" t="s">
        <v>156</v>
      </c>
    </row>
    <row r="3628" spans="1:19" x14ac:dyDescent="0.35">
      <c r="A3628">
        <v>68056</v>
      </c>
      <c r="B3628" t="str">
        <f>"068056"</f>
        <v>068056</v>
      </c>
      <c r="C3628" t="s">
        <v>11098</v>
      </c>
      <c r="D3628" t="s">
        <v>3394</v>
      </c>
      <c r="E3628" t="s">
        <v>9538</v>
      </c>
      <c r="F3628" t="s">
        <v>3396</v>
      </c>
      <c r="G3628" t="s">
        <v>1041</v>
      </c>
      <c r="H3628" t="s">
        <v>11099</v>
      </c>
      <c r="I3628" t="s">
        <v>11100</v>
      </c>
      <c r="J3628" t="s">
        <v>215</v>
      </c>
      <c r="K3628" t="s">
        <v>55</v>
      </c>
      <c r="L3628" t="s">
        <v>7316</v>
      </c>
      <c r="M3628" t="s">
        <v>57</v>
      </c>
      <c r="N3628" t="str">
        <f>"052514"</f>
        <v>052514</v>
      </c>
      <c r="O3628" t="s">
        <v>2465</v>
      </c>
      <c r="P3628" t="s">
        <v>68</v>
      </c>
      <c r="Q3628" t="s">
        <v>68</v>
      </c>
      <c r="R3628" t="s">
        <v>68</v>
      </c>
      <c r="S3628" t="s">
        <v>217</v>
      </c>
    </row>
    <row r="3629" spans="1:19" x14ac:dyDescent="0.35">
      <c r="A3629">
        <v>68080</v>
      </c>
      <c r="B3629" t="str">
        <f>"068080"</f>
        <v>068080</v>
      </c>
      <c r="C3629" t="s">
        <v>11101</v>
      </c>
      <c r="D3629" t="s">
        <v>3506</v>
      </c>
      <c r="E3629" t="s">
        <v>3395</v>
      </c>
      <c r="F3629" t="s">
        <v>3396</v>
      </c>
      <c r="G3629" t="s">
        <v>325</v>
      </c>
      <c r="H3629" t="s">
        <v>2170</v>
      </c>
      <c r="I3629" t="s">
        <v>2171</v>
      </c>
      <c r="J3629" t="s">
        <v>2172</v>
      </c>
      <c r="K3629" t="s">
        <v>55</v>
      </c>
      <c r="L3629" t="s">
        <v>2173</v>
      </c>
      <c r="M3629" t="s">
        <v>57</v>
      </c>
      <c r="N3629" t="str">
        <f>"048611"</f>
        <v>048611</v>
      </c>
      <c r="O3629" t="s">
        <v>2169</v>
      </c>
      <c r="P3629" t="s">
        <v>68</v>
      </c>
      <c r="Q3629">
        <v>29.1</v>
      </c>
      <c r="R3629">
        <v>10.599999999999994</v>
      </c>
      <c r="S3629" t="s">
        <v>180</v>
      </c>
    </row>
    <row r="3630" spans="1:19" x14ac:dyDescent="0.35">
      <c r="A3630">
        <v>68189</v>
      </c>
      <c r="B3630" t="str">
        <f>"068189"</f>
        <v>068189</v>
      </c>
      <c r="C3630" t="s">
        <v>11102</v>
      </c>
      <c r="D3630" t="s">
        <v>3394</v>
      </c>
      <c r="E3630" t="s">
        <v>9538</v>
      </c>
      <c r="F3630" t="s">
        <v>3396</v>
      </c>
      <c r="G3630" t="s">
        <v>63</v>
      </c>
      <c r="H3630" t="s">
        <v>11103</v>
      </c>
      <c r="I3630" t="s">
        <v>11104</v>
      </c>
      <c r="J3630" t="s">
        <v>285</v>
      </c>
      <c r="K3630" t="s">
        <v>55</v>
      </c>
      <c r="L3630" t="s">
        <v>1711</v>
      </c>
      <c r="M3630" t="s">
        <v>57</v>
      </c>
      <c r="N3630" t="str">
        <f>"068189"</f>
        <v>068189</v>
      </c>
      <c r="O3630" t="s">
        <v>11102</v>
      </c>
      <c r="P3630" t="s">
        <v>68</v>
      </c>
      <c r="Q3630" t="s">
        <v>68</v>
      </c>
      <c r="R3630" t="s">
        <v>68</v>
      </c>
      <c r="S3630" t="s">
        <v>69</v>
      </c>
    </row>
    <row r="3631" spans="1:19" x14ac:dyDescent="0.35">
      <c r="A3631">
        <v>68205</v>
      </c>
      <c r="B3631" t="str">
        <f>"068205"</f>
        <v>068205</v>
      </c>
      <c r="C3631" t="s">
        <v>11105</v>
      </c>
      <c r="D3631" t="s">
        <v>3398</v>
      </c>
      <c r="E3631" t="s">
        <v>9538</v>
      </c>
      <c r="F3631" t="s">
        <v>3396</v>
      </c>
      <c r="G3631" t="s">
        <v>52</v>
      </c>
      <c r="H3631" t="s">
        <v>11106</v>
      </c>
      <c r="I3631" t="s">
        <v>11107</v>
      </c>
      <c r="J3631" t="s">
        <v>52</v>
      </c>
      <c r="K3631" t="s">
        <v>55</v>
      </c>
      <c r="L3631" t="s">
        <v>56</v>
      </c>
      <c r="M3631" t="s">
        <v>57</v>
      </c>
      <c r="N3631" t="str">
        <f>"068205"</f>
        <v>068205</v>
      </c>
      <c r="O3631" t="s">
        <v>11105</v>
      </c>
      <c r="P3631" t="s">
        <v>68</v>
      </c>
      <c r="Q3631" t="s">
        <v>68</v>
      </c>
      <c r="R3631" t="s">
        <v>68</v>
      </c>
      <c r="S3631" t="s">
        <v>60</v>
      </c>
    </row>
    <row r="3632" spans="1:19" x14ac:dyDescent="0.35">
      <c r="A3632">
        <v>68221</v>
      </c>
      <c r="B3632" t="str">
        <f>"068221"</f>
        <v>068221</v>
      </c>
      <c r="C3632" t="s">
        <v>11108</v>
      </c>
      <c r="D3632" t="s">
        <v>3394</v>
      </c>
      <c r="E3632" t="s">
        <v>3395</v>
      </c>
      <c r="F3632" t="s">
        <v>3396</v>
      </c>
      <c r="G3632" t="s">
        <v>63</v>
      </c>
      <c r="H3632" t="s">
        <v>11109</v>
      </c>
      <c r="I3632" t="s">
        <v>11110</v>
      </c>
      <c r="J3632" t="s">
        <v>285</v>
      </c>
      <c r="K3632" t="s">
        <v>55</v>
      </c>
      <c r="L3632" t="s">
        <v>1237</v>
      </c>
      <c r="M3632" t="s">
        <v>57</v>
      </c>
      <c r="N3632" t="str">
        <f>"043786"</f>
        <v>043786</v>
      </c>
      <c r="O3632" t="s">
        <v>1340</v>
      </c>
      <c r="P3632" t="s">
        <v>68</v>
      </c>
      <c r="Q3632">
        <v>100</v>
      </c>
      <c r="R3632">
        <v>100</v>
      </c>
      <c r="S3632" t="s">
        <v>69</v>
      </c>
    </row>
    <row r="3633" spans="1:19" x14ac:dyDescent="0.35">
      <c r="A3633">
        <v>68239</v>
      </c>
      <c r="B3633" t="str">
        <f>"068239"</f>
        <v>068239</v>
      </c>
      <c r="C3633" t="s">
        <v>11111</v>
      </c>
      <c r="D3633" t="s">
        <v>3398</v>
      </c>
      <c r="E3633" t="s">
        <v>3395</v>
      </c>
      <c r="F3633" t="s">
        <v>3396</v>
      </c>
      <c r="G3633" t="s">
        <v>600</v>
      </c>
      <c r="H3633" t="s">
        <v>11112</v>
      </c>
      <c r="I3633" t="s">
        <v>11113</v>
      </c>
      <c r="J3633" t="s">
        <v>1348</v>
      </c>
      <c r="K3633" t="s">
        <v>55</v>
      </c>
      <c r="L3633" t="s">
        <v>1516</v>
      </c>
      <c r="M3633" t="s">
        <v>57</v>
      </c>
      <c r="N3633" t="str">
        <f>"043802"</f>
        <v>043802</v>
      </c>
      <c r="O3633" t="s">
        <v>3171</v>
      </c>
      <c r="P3633" t="s">
        <v>68</v>
      </c>
      <c r="Q3633">
        <v>100</v>
      </c>
      <c r="R3633">
        <v>83.9</v>
      </c>
      <c r="S3633" t="s">
        <v>60</v>
      </c>
    </row>
    <row r="3634" spans="1:19" x14ac:dyDescent="0.35">
      <c r="A3634">
        <v>68338</v>
      </c>
      <c r="B3634" t="str">
        <f>"068338"</f>
        <v>068338</v>
      </c>
      <c r="C3634" t="s">
        <v>11114</v>
      </c>
      <c r="D3634" t="s">
        <v>3394</v>
      </c>
      <c r="E3634" t="s">
        <v>9538</v>
      </c>
      <c r="F3634" t="s">
        <v>3396</v>
      </c>
      <c r="G3634" t="s">
        <v>855</v>
      </c>
      <c r="H3634" t="s">
        <v>11115</v>
      </c>
      <c r="I3634" t="s">
        <v>11116</v>
      </c>
      <c r="J3634" t="s">
        <v>855</v>
      </c>
      <c r="K3634" t="s">
        <v>55</v>
      </c>
      <c r="L3634" t="s">
        <v>1457</v>
      </c>
      <c r="M3634" t="s">
        <v>57</v>
      </c>
      <c r="N3634" t="str">
        <f>"068338"</f>
        <v>068338</v>
      </c>
      <c r="O3634" t="s">
        <v>11114</v>
      </c>
      <c r="P3634" t="s">
        <v>68</v>
      </c>
      <c r="Q3634" t="s">
        <v>68</v>
      </c>
      <c r="R3634" t="s">
        <v>68</v>
      </c>
      <c r="S3634" t="s">
        <v>77</v>
      </c>
    </row>
    <row r="3635" spans="1:19" x14ac:dyDescent="0.35">
      <c r="A3635">
        <v>68379</v>
      </c>
      <c r="B3635" t="str">
        <f>"068379"</f>
        <v>068379</v>
      </c>
      <c r="C3635" t="s">
        <v>11117</v>
      </c>
      <c r="D3635" t="s">
        <v>3394</v>
      </c>
      <c r="E3635" t="s">
        <v>3395</v>
      </c>
      <c r="F3635" t="s">
        <v>3396</v>
      </c>
      <c r="G3635" t="s">
        <v>543</v>
      </c>
      <c r="H3635" t="s">
        <v>11118</v>
      </c>
      <c r="I3635" t="s">
        <v>11119</v>
      </c>
      <c r="J3635" t="s">
        <v>1858</v>
      </c>
      <c r="K3635" t="s">
        <v>55</v>
      </c>
      <c r="L3635" t="s">
        <v>1859</v>
      </c>
      <c r="M3635" t="s">
        <v>57</v>
      </c>
      <c r="N3635" t="str">
        <f>"043737"</f>
        <v>043737</v>
      </c>
      <c r="O3635" t="s">
        <v>1855</v>
      </c>
      <c r="P3635" t="s">
        <v>68</v>
      </c>
      <c r="Q3635">
        <v>27.8</v>
      </c>
      <c r="R3635">
        <v>29.799999999999997</v>
      </c>
      <c r="S3635" t="s">
        <v>180</v>
      </c>
    </row>
    <row r="3636" spans="1:19" x14ac:dyDescent="0.35">
      <c r="A3636">
        <v>68403</v>
      </c>
      <c r="B3636" t="str">
        <f>"068403"</f>
        <v>068403</v>
      </c>
      <c r="C3636" t="s">
        <v>11120</v>
      </c>
      <c r="D3636" t="s">
        <v>3398</v>
      </c>
      <c r="E3636" t="s">
        <v>9538</v>
      </c>
      <c r="F3636" t="s">
        <v>3396</v>
      </c>
      <c r="G3636" t="s">
        <v>383</v>
      </c>
      <c r="H3636" t="s">
        <v>11121</v>
      </c>
      <c r="I3636" t="s">
        <v>11122</v>
      </c>
      <c r="J3636" t="s">
        <v>1215</v>
      </c>
      <c r="K3636" t="s">
        <v>55</v>
      </c>
      <c r="L3636" t="s">
        <v>2451</v>
      </c>
      <c r="M3636" t="s">
        <v>57</v>
      </c>
      <c r="N3636" t="str">
        <f>"000129"</f>
        <v>000129</v>
      </c>
      <c r="O3636" t="s">
        <v>1284</v>
      </c>
      <c r="P3636" t="s">
        <v>68</v>
      </c>
      <c r="Q3636" t="s">
        <v>68</v>
      </c>
      <c r="R3636" t="s">
        <v>68</v>
      </c>
      <c r="S3636" t="s">
        <v>77</v>
      </c>
    </row>
    <row r="3637" spans="1:19" x14ac:dyDescent="0.35">
      <c r="A3637">
        <v>68452</v>
      </c>
      <c r="B3637" t="str">
        <f>"068452"</f>
        <v>068452</v>
      </c>
      <c r="C3637" t="s">
        <v>11123</v>
      </c>
      <c r="D3637" t="s">
        <v>3400</v>
      </c>
      <c r="E3637" t="s">
        <v>3395</v>
      </c>
      <c r="F3637" t="s">
        <v>3396</v>
      </c>
      <c r="G3637" t="s">
        <v>92</v>
      </c>
      <c r="H3637" t="s">
        <v>11124</v>
      </c>
      <c r="I3637" t="s">
        <v>11125</v>
      </c>
      <c r="J3637" t="s">
        <v>1532</v>
      </c>
      <c r="K3637" t="s">
        <v>55</v>
      </c>
      <c r="L3637" t="s">
        <v>1533</v>
      </c>
      <c r="M3637" t="s">
        <v>57</v>
      </c>
      <c r="N3637" t="str">
        <f>"046888"</f>
        <v>046888</v>
      </c>
      <c r="O3637" t="s">
        <v>1529</v>
      </c>
      <c r="P3637" t="s">
        <v>68</v>
      </c>
      <c r="Q3637">
        <v>30.7</v>
      </c>
      <c r="R3637">
        <v>4.9000000000000057</v>
      </c>
      <c r="S3637" t="s">
        <v>60</v>
      </c>
    </row>
    <row r="3638" spans="1:19" x14ac:dyDescent="0.35">
      <c r="A3638">
        <v>68478</v>
      </c>
      <c r="B3638" t="str">
        <f>"068478"</f>
        <v>068478</v>
      </c>
      <c r="C3638" t="s">
        <v>11126</v>
      </c>
      <c r="D3638" t="s">
        <v>3394</v>
      </c>
      <c r="E3638" t="s">
        <v>3395</v>
      </c>
      <c r="F3638" t="s">
        <v>3396</v>
      </c>
      <c r="G3638" t="s">
        <v>200</v>
      </c>
      <c r="H3638" t="s">
        <v>11127</v>
      </c>
      <c r="I3638" t="s">
        <v>11128</v>
      </c>
      <c r="J3638" t="s">
        <v>304</v>
      </c>
      <c r="K3638" t="s">
        <v>55</v>
      </c>
      <c r="L3638" t="s">
        <v>3858</v>
      </c>
      <c r="M3638" t="s">
        <v>57</v>
      </c>
      <c r="N3638" t="str">
        <f>"044909"</f>
        <v>044909</v>
      </c>
      <c r="O3638" t="s">
        <v>3318</v>
      </c>
      <c r="P3638" t="s">
        <v>68</v>
      </c>
      <c r="Q3638">
        <v>92.5</v>
      </c>
      <c r="R3638">
        <v>65.3</v>
      </c>
      <c r="S3638" t="s">
        <v>156</v>
      </c>
    </row>
    <row r="3639" spans="1:19" x14ac:dyDescent="0.35">
      <c r="A3639">
        <v>68486</v>
      </c>
      <c r="B3639" t="str">
        <f>"068486"</f>
        <v>068486</v>
      </c>
      <c r="C3639" t="s">
        <v>11129</v>
      </c>
      <c r="D3639" t="s">
        <v>3394</v>
      </c>
      <c r="E3639" t="s">
        <v>3395</v>
      </c>
      <c r="F3639" t="s">
        <v>3396</v>
      </c>
      <c r="G3639" t="s">
        <v>200</v>
      </c>
      <c r="H3639" t="s">
        <v>11130</v>
      </c>
      <c r="I3639" t="s">
        <v>11131</v>
      </c>
      <c r="J3639" t="s">
        <v>304</v>
      </c>
      <c r="K3639" t="s">
        <v>55</v>
      </c>
      <c r="L3639" t="s">
        <v>5497</v>
      </c>
      <c r="M3639" t="s">
        <v>57</v>
      </c>
      <c r="N3639" t="str">
        <f>"044909"</f>
        <v>044909</v>
      </c>
      <c r="O3639" t="s">
        <v>3318</v>
      </c>
      <c r="P3639" t="s">
        <v>68</v>
      </c>
      <c r="Q3639">
        <v>100</v>
      </c>
      <c r="R3639">
        <v>100</v>
      </c>
      <c r="S3639" t="s">
        <v>156</v>
      </c>
    </row>
    <row r="3640" spans="1:19" x14ac:dyDescent="0.35">
      <c r="A3640">
        <v>68502</v>
      </c>
      <c r="B3640" t="str">
        <f>"068502"</f>
        <v>068502</v>
      </c>
      <c r="C3640" t="s">
        <v>11132</v>
      </c>
      <c r="D3640" t="s">
        <v>3398</v>
      </c>
      <c r="E3640" t="s">
        <v>3395</v>
      </c>
      <c r="F3640" t="s">
        <v>3396</v>
      </c>
      <c r="G3640" t="s">
        <v>212</v>
      </c>
      <c r="H3640" t="s">
        <v>11133</v>
      </c>
      <c r="I3640" t="s">
        <v>11134</v>
      </c>
      <c r="J3640" t="s">
        <v>215</v>
      </c>
      <c r="K3640" t="s">
        <v>55</v>
      </c>
      <c r="L3640" t="s">
        <v>7316</v>
      </c>
      <c r="M3640" t="s">
        <v>57</v>
      </c>
      <c r="N3640" t="str">
        <f>"047340"</f>
        <v>047340</v>
      </c>
      <c r="O3640" t="s">
        <v>2511</v>
      </c>
      <c r="P3640" t="s">
        <v>68</v>
      </c>
      <c r="Q3640">
        <v>8.3000000000000007</v>
      </c>
      <c r="R3640">
        <v>11.799999999999997</v>
      </c>
      <c r="S3640" t="s">
        <v>217</v>
      </c>
    </row>
    <row r="3641" spans="1:19" x14ac:dyDescent="0.35">
      <c r="A3641">
        <v>68510</v>
      </c>
      <c r="B3641" t="str">
        <f>"068510"</f>
        <v>068510</v>
      </c>
      <c r="C3641" t="s">
        <v>4125</v>
      </c>
      <c r="D3641" t="s">
        <v>3394</v>
      </c>
      <c r="E3641" t="s">
        <v>3395</v>
      </c>
      <c r="F3641" t="s">
        <v>3396</v>
      </c>
      <c r="G3641" t="s">
        <v>143</v>
      </c>
      <c r="H3641" t="s">
        <v>11135</v>
      </c>
      <c r="I3641" t="s">
        <v>11136</v>
      </c>
      <c r="J3641" t="s">
        <v>2617</v>
      </c>
      <c r="K3641" t="s">
        <v>55</v>
      </c>
      <c r="L3641" t="s">
        <v>2618</v>
      </c>
      <c r="M3641" t="s">
        <v>57</v>
      </c>
      <c r="N3641" t="str">
        <f>"044537"</f>
        <v>044537</v>
      </c>
      <c r="O3641" t="s">
        <v>2614</v>
      </c>
      <c r="P3641" t="s">
        <v>68</v>
      </c>
      <c r="Q3641">
        <v>23.5</v>
      </c>
      <c r="R3641">
        <v>18.599999999999994</v>
      </c>
      <c r="S3641" t="s">
        <v>69</v>
      </c>
    </row>
    <row r="3642" spans="1:19" x14ac:dyDescent="0.35">
      <c r="A3642">
        <v>68528</v>
      </c>
      <c r="B3642" t="str">
        <f>"068528"</f>
        <v>068528</v>
      </c>
      <c r="C3642" t="s">
        <v>11137</v>
      </c>
      <c r="D3642" t="s">
        <v>3398</v>
      </c>
      <c r="E3642" t="s">
        <v>3395</v>
      </c>
      <c r="F3642" t="s">
        <v>3396</v>
      </c>
      <c r="G3642" t="s">
        <v>600</v>
      </c>
      <c r="H3642" t="s">
        <v>11138</v>
      </c>
      <c r="I3642" t="s">
        <v>11139</v>
      </c>
      <c r="J3642" t="s">
        <v>1348</v>
      </c>
      <c r="K3642" t="s">
        <v>55</v>
      </c>
      <c r="L3642" t="s">
        <v>3462</v>
      </c>
      <c r="M3642" t="s">
        <v>57</v>
      </c>
      <c r="N3642" t="str">
        <f>"043802"</f>
        <v>043802</v>
      </c>
      <c r="O3642" t="s">
        <v>3171</v>
      </c>
      <c r="P3642" t="s">
        <v>68</v>
      </c>
      <c r="Q3642">
        <v>100</v>
      </c>
      <c r="R3642">
        <v>91.5</v>
      </c>
      <c r="S3642" t="s">
        <v>60</v>
      </c>
    </row>
    <row r="3643" spans="1:19" x14ac:dyDescent="0.35">
      <c r="A3643">
        <v>68536</v>
      </c>
      <c r="B3643" t="str">
        <f>"068536"</f>
        <v>068536</v>
      </c>
      <c r="C3643" t="s">
        <v>11140</v>
      </c>
      <c r="D3643" t="s">
        <v>3398</v>
      </c>
      <c r="E3643" t="s">
        <v>3395</v>
      </c>
      <c r="F3643" t="s">
        <v>3396</v>
      </c>
      <c r="G3643" t="s">
        <v>600</v>
      </c>
      <c r="H3643" t="s">
        <v>11141</v>
      </c>
      <c r="I3643" t="s">
        <v>11142</v>
      </c>
      <c r="J3643" t="s">
        <v>1348</v>
      </c>
      <c r="K3643" t="s">
        <v>55</v>
      </c>
      <c r="L3643" t="s">
        <v>5611</v>
      </c>
      <c r="M3643" t="s">
        <v>57</v>
      </c>
      <c r="N3643" t="str">
        <f>"043802"</f>
        <v>043802</v>
      </c>
      <c r="O3643" t="s">
        <v>3171</v>
      </c>
      <c r="P3643" t="s">
        <v>68</v>
      </c>
      <c r="Q3643">
        <v>100</v>
      </c>
      <c r="R3643">
        <v>64.3</v>
      </c>
      <c r="S3643" t="s">
        <v>60</v>
      </c>
    </row>
    <row r="3644" spans="1:19" x14ac:dyDescent="0.35">
      <c r="A3644">
        <v>68544</v>
      </c>
      <c r="B3644" t="str">
        <f>"068544"</f>
        <v>068544</v>
      </c>
      <c r="C3644" t="s">
        <v>11143</v>
      </c>
      <c r="D3644" t="s">
        <v>3394</v>
      </c>
      <c r="E3644" t="s">
        <v>3395</v>
      </c>
      <c r="F3644" t="s">
        <v>3396</v>
      </c>
      <c r="G3644" t="s">
        <v>600</v>
      </c>
      <c r="H3644" t="s">
        <v>11144</v>
      </c>
      <c r="I3644" t="s">
        <v>11145</v>
      </c>
      <c r="J3644" t="s">
        <v>1348</v>
      </c>
      <c r="K3644" t="s">
        <v>55</v>
      </c>
      <c r="L3644" t="s">
        <v>4008</v>
      </c>
      <c r="M3644" t="s">
        <v>57</v>
      </c>
      <c r="N3644" t="str">
        <f>"043802"</f>
        <v>043802</v>
      </c>
      <c r="O3644" t="s">
        <v>3171</v>
      </c>
      <c r="P3644" t="s">
        <v>68</v>
      </c>
      <c r="Q3644">
        <v>100</v>
      </c>
      <c r="R3644">
        <v>59.5</v>
      </c>
      <c r="S3644" t="s">
        <v>60</v>
      </c>
    </row>
    <row r="3645" spans="1:19" x14ac:dyDescent="0.35">
      <c r="A3645">
        <v>68551</v>
      </c>
      <c r="B3645" t="str">
        <f>"068551"</f>
        <v>068551</v>
      </c>
      <c r="C3645" t="s">
        <v>11146</v>
      </c>
      <c r="D3645" t="s">
        <v>3398</v>
      </c>
      <c r="E3645" t="s">
        <v>3395</v>
      </c>
      <c r="F3645" t="s">
        <v>3396</v>
      </c>
      <c r="G3645" t="s">
        <v>200</v>
      </c>
      <c r="H3645" t="s">
        <v>11147</v>
      </c>
      <c r="I3645" t="s">
        <v>11148</v>
      </c>
      <c r="J3645" t="s">
        <v>203</v>
      </c>
      <c r="K3645" t="s">
        <v>55</v>
      </c>
      <c r="L3645" t="s">
        <v>204</v>
      </c>
      <c r="M3645" t="s">
        <v>57</v>
      </c>
      <c r="N3645" t="str">
        <f>"044875"</f>
        <v>044875</v>
      </c>
      <c r="O3645" t="s">
        <v>521</v>
      </c>
      <c r="P3645" t="s">
        <v>68</v>
      </c>
      <c r="Q3645">
        <v>24.6</v>
      </c>
      <c r="R3645">
        <v>25.400000000000006</v>
      </c>
      <c r="S3645" t="s">
        <v>156</v>
      </c>
    </row>
    <row r="3646" spans="1:19" x14ac:dyDescent="0.35">
      <c r="A3646">
        <v>68577</v>
      </c>
      <c r="B3646" t="str">
        <f>"068577"</f>
        <v>068577</v>
      </c>
      <c r="C3646" t="s">
        <v>11149</v>
      </c>
      <c r="D3646" t="s">
        <v>3398</v>
      </c>
      <c r="E3646" t="s">
        <v>3395</v>
      </c>
      <c r="F3646" t="s">
        <v>3396</v>
      </c>
      <c r="G3646" t="s">
        <v>777</v>
      </c>
      <c r="H3646" t="s">
        <v>10697</v>
      </c>
      <c r="I3646" t="s">
        <v>10698</v>
      </c>
      <c r="J3646" t="s">
        <v>780</v>
      </c>
      <c r="K3646" t="s">
        <v>55</v>
      </c>
      <c r="L3646" t="s">
        <v>6175</v>
      </c>
      <c r="M3646" t="s">
        <v>57</v>
      </c>
      <c r="N3646" t="str">
        <f>"046250"</f>
        <v>046250</v>
      </c>
      <c r="O3646" t="s">
        <v>776</v>
      </c>
      <c r="P3646" t="s">
        <v>68</v>
      </c>
      <c r="Q3646">
        <v>21.6</v>
      </c>
      <c r="R3646">
        <v>15</v>
      </c>
      <c r="S3646" t="s">
        <v>180</v>
      </c>
    </row>
    <row r="3647" spans="1:19" x14ac:dyDescent="0.35">
      <c r="A3647">
        <v>68619</v>
      </c>
      <c r="B3647" t="str">
        <f>"068619"</f>
        <v>068619</v>
      </c>
      <c r="C3647" t="s">
        <v>11150</v>
      </c>
      <c r="D3647" t="s">
        <v>3398</v>
      </c>
      <c r="E3647" t="s">
        <v>3395</v>
      </c>
      <c r="F3647" t="s">
        <v>3396</v>
      </c>
      <c r="G3647" t="s">
        <v>212</v>
      </c>
      <c r="H3647" t="s">
        <v>11151</v>
      </c>
      <c r="I3647" t="s">
        <v>11152</v>
      </c>
      <c r="J3647" t="s">
        <v>215</v>
      </c>
      <c r="K3647" t="s">
        <v>55</v>
      </c>
      <c r="L3647" t="s">
        <v>2468</v>
      </c>
      <c r="M3647" t="s">
        <v>57</v>
      </c>
      <c r="N3647" t="str">
        <f>"043752"</f>
        <v>043752</v>
      </c>
      <c r="O3647" t="s">
        <v>440</v>
      </c>
      <c r="P3647" t="s">
        <v>68</v>
      </c>
      <c r="Q3647">
        <v>52.7</v>
      </c>
      <c r="R3647">
        <v>73.2</v>
      </c>
      <c r="S3647" t="s">
        <v>217</v>
      </c>
    </row>
    <row r="3648" spans="1:19" x14ac:dyDescent="0.35">
      <c r="A3648">
        <v>68940</v>
      </c>
      <c r="B3648" t="str">
        <f>"068940"</f>
        <v>068940</v>
      </c>
      <c r="C3648" t="s">
        <v>11153</v>
      </c>
      <c r="D3648" t="s">
        <v>3394</v>
      </c>
      <c r="E3648" t="s">
        <v>3395</v>
      </c>
      <c r="F3648" t="s">
        <v>3396</v>
      </c>
      <c r="G3648" t="s">
        <v>423</v>
      </c>
      <c r="H3648" t="s">
        <v>424</v>
      </c>
      <c r="I3648" t="s">
        <v>425</v>
      </c>
      <c r="J3648" t="s">
        <v>426</v>
      </c>
      <c r="K3648" t="s">
        <v>55</v>
      </c>
      <c r="L3648" t="s">
        <v>427</v>
      </c>
      <c r="M3648" t="s">
        <v>57</v>
      </c>
      <c r="N3648" t="str">
        <f>"043729"</f>
        <v>043729</v>
      </c>
      <c r="O3648" t="s">
        <v>1485</v>
      </c>
      <c r="P3648" t="s">
        <v>68</v>
      </c>
      <c r="Q3648" t="s">
        <v>68</v>
      </c>
      <c r="R3648" t="s">
        <v>68</v>
      </c>
      <c r="S3648" t="s">
        <v>156</v>
      </c>
    </row>
    <row r="3649" spans="1:19" x14ac:dyDescent="0.35">
      <c r="A3649">
        <v>69906</v>
      </c>
      <c r="B3649" t="str">
        <f>"069906"</f>
        <v>069906</v>
      </c>
      <c r="C3649" t="s">
        <v>11154</v>
      </c>
      <c r="D3649" t="s">
        <v>3394</v>
      </c>
      <c r="E3649" t="s">
        <v>9538</v>
      </c>
      <c r="F3649" t="s">
        <v>3396</v>
      </c>
      <c r="G3649" t="s">
        <v>200</v>
      </c>
      <c r="H3649" t="s">
        <v>11155</v>
      </c>
      <c r="I3649" t="s">
        <v>11156</v>
      </c>
      <c r="J3649" t="s">
        <v>304</v>
      </c>
      <c r="K3649" t="s">
        <v>55</v>
      </c>
      <c r="L3649" t="s">
        <v>6203</v>
      </c>
      <c r="M3649" t="s">
        <v>57</v>
      </c>
      <c r="N3649" t="str">
        <f>"069906"</f>
        <v>069906</v>
      </c>
      <c r="O3649" t="s">
        <v>11154</v>
      </c>
      <c r="P3649" t="s">
        <v>68</v>
      </c>
      <c r="Q3649" t="s">
        <v>68</v>
      </c>
      <c r="R3649" t="s">
        <v>68</v>
      </c>
      <c r="S3649" t="s">
        <v>156</v>
      </c>
    </row>
    <row r="3650" spans="1:19" x14ac:dyDescent="0.35">
      <c r="A3650">
        <v>69914</v>
      </c>
      <c r="B3650" t="str">
        <f>"069914"</f>
        <v>069914</v>
      </c>
      <c r="C3650" t="s">
        <v>11157</v>
      </c>
      <c r="D3650" t="s">
        <v>3394</v>
      </c>
      <c r="E3650" t="s">
        <v>9538</v>
      </c>
      <c r="F3650" t="s">
        <v>3396</v>
      </c>
      <c r="G3650" t="s">
        <v>63</v>
      </c>
      <c r="H3650" t="s">
        <v>11158</v>
      </c>
      <c r="I3650" t="s">
        <v>11159</v>
      </c>
      <c r="J3650" t="s">
        <v>3960</v>
      </c>
      <c r="K3650" t="s">
        <v>55</v>
      </c>
      <c r="L3650" t="s">
        <v>3961</v>
      </c>
      <c r="M3650" t="s">
        <v>57</v>
      </c>
      <c r="N3650" t="str">
        <f>"000136"</f>
        <v>000136</v>
      </c>
      <c r="O3650" t="s">
        <v>2853</v>
      </c>
      <c r="P3650" t="s">
        <v>68</v>
      </c>
      <c r="Q3650" t="s">
        <v>68</v>
      </c>
      <c r="R3650" t="s">
        <v>68</v>
      </c>
      <c r="S3650" t="s">
        <v>69</v>
      </c>
    </row>
    <row r="3651" spans="1:19" x14ac:dyDescent="0.35">
      <c r="A3651">
        <v>69914</v>
      </c>
      <c r="B3651" t="str">
        <f>"069914"</f>
        <v>069914</v>
      </c>
      <c r="C3651" t="s">
        <v>11157</v>
      </c>
      <c r="D3651" t="s">
        <v>9541</v>
      </c>
      <c r="E3651" t="s">
        <v>9538</v>
      </c>
      <c r="F3651" t="s">
        <v>3396</v>
      </c>
      <c r="G3651" t="s">
        <v>63</v>
      </c>
      <c r="H3651" t="s">
        <v>11158</v>
      </c>
      <c r="I3651" t="s">
        <v>11159</v>
      </c>
      <c r="J3651" t="s">
        <v>3960</v>
      </c>
      <c r="K3651" t="s">
        <v>55</v>
      </c>
      <c r="L3651" t="s">
        <v>3961</v>
      </c>
      <c r="M3651" t="s">
        <v>57</v>
      </c>
      <c r="N3651" t="str">
        <f>"000136"</f>
        <v>000136</v>
      </c>
      <c r="O3651" t="s">
        <v>2853</v>
      </c>
      <c r="P3651" t="s">
        <v>68</v>
      </c>
      <c r="Q3651" t="s">
        <v>68</v>
      </c>
      <c r="R3651" t="s">
        <v>68</v>
      </c>
      <c r="S3651" t="s">
        <v>69</v>
      </c>
    </row>
    <row r="3652" spans="1:19" x14ac:dyDescent="0.35">
      <c r="A3652">
        <v>70060</v>
      </c>
      <c r="B3652" t="str">
        <f>"070060"</f>
        <v>070060</v>
      </c>
      <c r="C3652" t="s">
        <v>11160</v>
      </c>
      <c r="D3652" t="s">
        <v>3400</v>
      </c>
      <c r="E3652" t="s">
        <v>3395</v>
      </c>
      <c r="F3652" t="s">
        <v>3396</v>
      </c>
      <c r="G3652" t="s">
        <v>543</v>
      </c>
      <c r="H3652" t="s">
        <v>11161</v>
      </c>
      <c r="I3652" t="s">
        <v>11162</v>
      </c>
      <c r="J3652" t="s">
        <v>1858</v>
      </c>
      <c r="K3652" t="s">
        <v>55</v>
      </c>
      <c r="L3652" t="s">
        <v>4246</v>
      </c>
      <c r="M3652" t="s">
        <v>57</v>
      </c>
      <c r="N3652" t="str">
        <f>"043737"</f>
        <v>043737</v>
      </c>
      <c r="O3652" t="s">
        <v>1855</v>
      </c>
      <c r="P3652" t="s">
        <v>68</v>
      </c>
      <c r="Q3652">
        <v>23.3</v>
      </c>
      <c r="R3652">
        <v>34</v>
      </c>
      <c r="S3652" t="s">
        <v>180</v>
      </c>
    </row>
    <row r="3653" spans="1:19" x14ac:dyDescent="0.35">
      <c r="A3653">
        <v>70078</v>
      </c>
      <c r="B3653" t="str">
        <f>"070078"</f>
        <v>070078</v>
      </c>
      <c r="C3653" t="s">
        <v>11163</v>
      </c>
      <c r="D3653" t="s">
        <v>3400</v>
      </c>
      <c r="E3653" t="s">
        <v>3395</v>
      </c>
      <c r="F3653" t="s">
        <v>3396</v>
      </c>
      <c r="G3653" t="s">
        <v>600</v>
      </c>
      <c r="H3653" t="s">
        <v>11164</v>
      </c>
      <c r="I3653" t="s">
        <v>11165</v>
      </c>
      <c r="J3653" t="s">
        <v>1348</v>
      </c>
      <c r="K3653" t="s">
        <v>55</v>
      </c>
      <c r="L3653" t="s">
        <v>4810</v>
      </c>
      <c r="M3653" t="s">
        <v>57</v>
      </c>
      <c r="N3653" t="str">
        <f>"043802"</f>
        <v>043802</v>
      </c>
      <c r="O3653" t="s">
        <v>3171</v>
      </c>
      <c r="P3653" t="s">
        <v>68</v>
      </c>
      <c r="Q3653">
        <v>100</v>
      </c>
      <c r="R3653">
        <v>91.8</v>
      </c>
      <c r="S3653" t="s">
        <v>60</v>
      </c>
    </row>
    <row r="3654" spans="1:19" x14ac:dyDescent="0.35">
      <c r="A3654">
        <v>70086</v>
      </c>
      <c r="B3654" t="str">
        <f>"070086"</f>
        <v>070086</v>
      </c>
      <c r="C3654" t="s">
        <v>11166</v>
      </c>
      <c r="D3654" t="s">
        <v>3394</v>
      </c>
      <c r="E3654" t="s">
        <v>3395</v>
      </c>
      <c r="F3654" t="s">
        <v>3396</v>
      </c>
      <c r="G3654" t="s">
        <v>600</v>
      </c>
      <c r="H3654" t="s">
        <v>11167</v>
      </c>
      <c r="I3654" t="s">
        <v>11168</v>
      </c>
      <c r="J3654" t="s">
        <v>1348</v>
      </c>
      <c r="K3654" t="s">
        <v>55</v>
      </c>
      <c r="L3654" t="s">
        <v>3462</v>
      </c>
      <c r="M3654" t="s">
        <v>57</v>
      </c>
      <c r="N3654" t="str">
        <f>"043802"</f>
        <v>043802</v>
      </c>
      <c r="O3654" t="s">
        <v>3171</v>
      </c>
      <c r="P3654" t="s">
        <v>68</v>
      </c>
      <c r="Q3654">
        <v>100</v>
      </c>
      <c r="R3654">
        <v>93</v>
      </c>
      <c r="S3654" t="s">
        <v>60</v>
      </c>
    </row>
    <row r="3655" spans="1:19" x14ac:dyDescent="0.35">
      <c r="A3655">
        <v>70136</v>
      </c>
      <c r="B3655" t="str">
        <f>"070136"</f>
        <v>070136</v>
      </c>
      <c r="C3655" t="s">
        <v>11169</v>
      </c>
      <c r="D3655" t="s">
        <v>3398</v>
      </c>
      <c r="E3655" t="s">
        <v>9538</v>
      </c>
      <c r="F3655" t="s">
        <v>3396</v>
      </c>
      <c r="G3655" t="s">
        <v>143</v>
      </c>
      <c r="H3655" t="s">
        <v>11170</v>
      </c>
      <c r="I3655" t="s">
        <v>11171</v>
      </c>
      <c r="J3655" t="s">
        <v>528</v>
      </c>
      <c r="K3655" t="s">
        <v>55</v>
      </c>
      <c r="L3655" t="s">
        <v>529</v>
      </c>
      <c r="M3655" t="s">
        <v>57</v>
      </c>
      <c r="N3655" t="str">
        <f>"070136"</f>
        <v>070136</v>
      </c>
      <c r="O3655" t="s">
        <v>11169</v>
      </c>
      <c r="P3655" t="s">
        <v>68</v>
      </c>
      <c r="Q3655" t="s">
        <v>68</v>
      </c>
      <c r="R3655" t="s">
        <v>68</v>
      </c>
      <c r="S3655" t="s">
        <v>69</v>
      </c>
    </row>
    <row r="3656" spans="1:19" x14ac:dyDescent="0.35">
      <c r="A3656">
        <v>70151</v>
      </c>
      <c r="B3656" t="str">
        <f>"070151"</f>
        <v>070151</v>
      </c>
      <c r="C3656" t="s">
        <v>11172</v>
      </c>
      <c r="D3656" t="s">
        <v>3398</v>
      </c>
      <c r="E3656" t="s">
        <v>9538</v>
      </c>
      <c r="F3656" t="s">
        <v>3396</v>
      </c>
      <c r="G3656" t="s">
        <v>536</v>
      </c>
      <c r="H3656" t="s">
        <v>11173</v>
      </c>
      <c r="I3656" t="s">
        <v>11174</v>
      </c>
      <c r="J3656" t="s">
        <v>539</v>
      </c>
      <c r="K3656" t="s">
        <v>55</v>
      </c>
      <c r="L3656" t="s">
        <v>540</v>
      </c>
      <c r="M3656" t="s">
        <v>57</v>
      </c>
      <c r="N3656" t="str">
        <f>"070151"</f>
        <v>070151</v>
      </c>
      <c r="O3656" t="s">
        <v>11172</v>
      </c>
      <c r="P3656" t="s">
        <v>68</v>
      </c>
      <c r="Q3656" t="s">
        <v>68</v>
      </c>
      <c r="R3656" t="s">
        <v>68</v>
      </c>
      <c r="S3656" t="s">
        <v>77</v>
      </c>
    </row>
    <row r="3657" spans="1:19" x14ac:dyDescent="0.35">
      <c r="A3657">
        <v>70201</v>
      </c>
      <c r="B3657" t="str">
        <f>"070201"</f>
        <v>070201</v>
      </c>
      <c r="C3657" t="s">
        <v>11175</v>
      </c>
      <c r="D3657" t="s">
        <v>3400</v>
      </c>
      <c r="E3657" t="s">
        <v>3395</v>
      </c>
      <c r="F3657" t="s">
        <v>3396</v>
      </c>
      <c r="G3657" t="s">
        <v>600</v>
      </c>
      <c r="H3657" t="s">
        <v>11176</v>
      </c>
      <c r="I3657" t="s">
        <v>11177</v>
      </c>
      <c r="J3657" t="s">
        <v>3160</v>
      </c>
      <c r="K3657" t="s">
        <v>55</v>
      </c>
      <c r="L3657" t="s">
        <v>3161</v>
      </c>
      <c r="M3657" t="s">
        <v>57</v>
      </c>
      <c r="N3657" t="str">
        <f>"043620"</f>
        <v>043620</v>
      </c>
      <c r="O3657" t="s">
        <v>3157</v>
      </c>
      <c r="P3657" t="s">
        <v>68</v>
      </c>
      <c r="Q3657">
        <v>8.5</v>
      </c>
      <c r="R3657">
        <v>18.900000000000006</v>
      </c>
      <c r="S3657" t="s">
        <v>60</v>
      </c>
    </row>
    <row r="3658" spans="1:19" x14ac:dyDescent="0.35">
      <c r="A3658">
        <v>70235</v>
      </c>
      <c r="B3658" t="str">
        <f>"070235"</f>
        <v>070235</v>
      </c>
      <c r="C3658" t="s">
        <v>11178</v>
      </c>
      <c r="D3658" t="s">
        <v>3394</v>
      </c>
      <c r="E3658" t="s">
        <v>3395</v>
      </c>
      <c r="F3658" t="s">
        <v>3396</v>
      </c>
      <c r="G3658" t="s">
        <v>1041</v>
      </c>
      <c r="H3658" t="s">
        <v>11179</v>
      </c>
      <c r="I3658" t="s">
        <v>11180</v>
      </c>
      <c r="J3658" t="s">
        <v>2638</v>
      </c>
      <c r="K3658" t="s">
        <v>55</v>
      </c>
      <c r="L3658" t="s">
        <v>2639</v>
      </c>
      <c r="M3658" t="s">
        <v>57</v>
      </c>
      <c r="N3658" t="str">
        <f>"046342"</f>
        <v>046342</v>
      </c>
      <c r="O3658" t="s">
        <v>2635</v>
      </c>
      <c r="P3658" t="s">
        <v>68</v>
      </c>
      <c r="Q3658">
        <v>47.6</v>
      </c>
      <c r="R3658">
        <v>14.700000000000003</v>
      </c>
      <c r="S3658" t="s">
        <v>217</v>
      </c>
    </row>
    <row r="3659" spans="1:19" x14ac:dyDescent="0.35">
      <c r="A3659">
        <v>70243</v>
      </c>
      <c r="B3659" t="str">
        <f>"070243"</f>
        <v>070243</v>
      </c>
      <c r="C3659" t="s">
        <v>11181</v>
      </c>
      <c r="D3659" t="s">
        <v>3394</v>
      </c>
      <c r="E3659" t="s">
        <v>9538</v>
      </c>
      <c r="F3659" t="s">
        <v>3396</v>
      </c>
      <c r="G3659" t="s">
        <v>674</v>
      </c>
      <c r="H3659" t="s">
        <v>11182</v>
      </c>
      <c r="I3659" t="s">
        <v>11183</v>
      </c>
      <c r="J3659" t="s">
        <v>927</v>
      </c>
      <c r="K3659" t="s">
        <v>55</v>
      </c>
      <c r="L3659" t="s">
        <v>928</v>
      </c>
      <c r="M3659" t="s">
        <v>57</v>
      </c>
      <c r="N3659" t="str">
        <f>"052571"</f>
        <v>052571</v>
      </c>
      <c r="O3659" t="s">
        <v>2843</v>
      </c>
      <c r="P3659" t="s">
        <v>68</v>
      </c>
      <c r="Q3659" t="s">
        <v>68</v>
      </c>
      <c r="R3659" t="s">
        <v>68</v>
      </c>
      <c r="S3659" t="s">
        <v>130</v>
      </c>
    </row>
    <row r="3660" spans="1:19" x14ac:dyDescent="0.35">
      <c r="A3660">
        <v>70250</v>
      </c>
      <c r="B3660" t="str">
        <f>"070250"</f>
        <v>070250</v>
      </c>
      <c r="C3660" t="s">
        <v>11184</v>
      </c>
      <c r="D3660" t="s">
        <v>3394</v>
      </c>
      <c r="E3660" t="s">
        <v>9538</v>
      </c>
      <c r="F3660" t="s">
        <v>3396</v>
      </c>
      <c r="G3660" t="s">
        <v>325</v>
      </c>
      <c r="H3660" t="s">
        <v>11185</v>
      </c>
      <c r="I3660" t="s">
        <v>11186</v>
      </c>
      <c r="J3660" t="s">
        <v>328</v>
      </c>
      <c r="K3660" t="s">
        <v>55</v>
      </c>
      <c r="L3660" t="s">
        <v>329</v>
      </c>
      <c r="M3660" t="s">
        <v>57</v>
      </c>
      <c r="N3660" t="str">
        <f>"052571"</f>
        <v>052571</v>
      </c>
      <c r="O3660" t="s">
        <v>2843</v>
      </c>
      <c r="P3660" t="s">
        <v>68</v>
      </c>
      <c r="Q3660" t="s">
        <v>68</v>
      </c>
      <c r="R3660" t="s">
        <v>68</v>
      </c>
      <c r="S3660" t="s">
        <v>180</v>
      </c>
    </row>
    <row r="3661" spans="1:19" x14ac:dyDescent="0.35">
      <c r="A3661">
        <v>70276</v>
      </c>
      <c r="B3661" t="str">
        <f>"070276"</f>
        <v>070276</v>
      </c>
      <c r="C3661" t="s">
        <v>11187</v>
      </c>
      <c r="D3661" t="s">
        <v>3394</v>
      </c>
      <c r="E3661" t="s">
        <v>9538</v>
      </c>
      <c r="F3661" t="s">
        <v>3396</v>
      </c>
      <c r="G3661" t="s">
        <v>600</v>
      </c>
      <c r="H3661" t="s">
        <v>11188</v>
      </c>
      <c r="I3661" t="s">
        <v>11189</v>
      </c>
      <c r="J3661" t="s">
        <v>2690</v>
      </c>
      <c r="K3661" t="s">
        <v>55</v>
      </c>
      <c r="L3661" t="s">
        <v>2691</v>
      </c>
      <c r="M3661" t="s">
        <v>57</v>
      </c>
      <c r="N3661" t="str">
        <f>"052571"</f>
        <v>052571</v>
      </c>
      <c r="O3661" t="s">
        <v>2843</v>
      </c>
      <c r="P3661" t="s">
        <v>68</v>
      </c>
      <c r="Q3661" t="s">
        <v>68</v>
      </c>
      <c r="R3661" t="s">
        <v>68</v>
      </c>
      <c r="S3661" t="s">
        <v>60</v>
      </c>
    </row>
    <row r="3662" spans="1:19" x14ac:dyDescent="0.35">
      <c r="A3662">
        <v>70326</v>
      </c>
      <c r="B3662" t="str">
        <f>"070326"</f>
        <v>070326</v>
      </c>
      <c r="C3662" t="s">
        <v>11190</v>
      </c>
      <c r="D3662" t="s">
        <v>3394</v>
      </c>
      <c r="E3662" t="s">
        <v>3395</v>
      </c>
      <c r="F3662" t="s">
        <v>3396</v>
      </c>
      <c r="G3662" t="s">
        <v>212</v>
      </c>
      <c r="H3662" t="s">
        <v>11191</v>
      </c>
      <c r="I3662" t="s">
        <v>11192</v>
      </c>
      <c r="J3662" t="s">
        <v>215</v>
      </c>
      <c r="K3662" t="s">
        <v>55</v>
      </c>
      <c r="L3662" t="s">
        <v>7782</v>
      </c>
      <c r="M3662" t="s">
        <v>57</v>
      </c>
      <c r="N3662" t="str">
        <f>"043752"</f>
        <v>043752</v>
      </c>
      <c r="O3662" t="s">
        <v>440</v>
      </c>
      <c r="P3662" t="s">
        <v>68</v>
      </c>
      <c r="Q3662">
        <v>100</v>
      </c>
      <c r="R3662">
        <v>95.5</v>
      </c>
      <c r="S3662" t="s">
        <v>217</v>
      </c>
    </row>
    <row r="3663" spans="1:19" x14ac:dyDescent="0.35">
      <c r="A3663">
        <v>70409</v>
      </c>
      <c r="B3663" t="str">
        <f>"070409"</f>
        <v>070409</v>
      </c>
      <c r="C3663" t="s">
        <v>11193</v>
      </c>
      <c r="D3663" t="s">
        <v>3398</v>
      </c>
      <c r="E3663" t="s">
        <v>9538</v>
      </c>
      <c r="F3663" t="s">
        <v>3396</v>
      </c>
      <c r="G3663" t="s">
        <v>244</v>
      </c>
      <c r="H3663" t="s">
        <v>11194</v>
      </c>
      <c r="I3663" t="s">
        <v>11195</v>
      </c>
      <c r="J3663" t="s">
        <v>11196</v>
      </c>
      <c r="K3663" t="s">
        <v>55</v>
      </c>
      <c r="L3663" t="s">
        <v>374</v>
      </c>
      <c r="M3663" t="s">
        <v>57</v>
      </c>
      <c r="N3663" t="str">
        <f>"000129"</f>
        <v>000129</v>
      </c>
      <c r="O3663" t="s">
        <v>1284</v>
      </c>
      <c r="P3663" t="s">
        <v>68</v>
      </c>
      <c r="Q3663" t="s">
        <v>68</v>
      </c>
      <c r="R3663" t="s">
        <v>68</v>
      </c>
      <c r="S3663" t="s">
        <v>217</v>
      </c>
    </row>
    <row r="3664" spans="1:19" x14ac:dyDescent="0.35">
      <c r="A3664">
        <v>70417</v>
      </c>
      <c r="B3664" t="str">
        <f>"070417"</f>
        <v>070417</v>
      </c>
      <c r="C3664" t="s">
        <v>11197</v>
      </c>
      <c r="D3664" t="s">
        <v>3400</v>
      </c>
      <c r="E3664" t="s">
        <v>3395</v>
      </c>
      <c r="F3664" t="s">
        <v>3396</v>
      </c>
      <c r="G3664" t="s">
        <v>383</v>
      </c>
      <c r="H3664" t="s">
        <v>11198</v>
      </c>
      <c r="I3664" t="s">
        <v>11199</v>
      </c>
      <c r="J3664" t="s">
        <v>1069</v>
      </c>
      <c r="K3664" t="s">
        <v>55</v>
      </c>
      <c r="L3664" t="s">
        <v>1070</v>
      </c>
      <c r="M3664" t="s">
        <v>57</v>
      </c>
      <c r="N3664" t="str">
        <f>"048314"</f>
        <v>048314</v>
      </c>
      <c r="O3664" t="s">
        <v>1138</v>
      </c>
      <c r="P3664" t="s">
        <v>68</v>
      </c>
      <c r="Q3664">
        <v>11.4</v>
      </c>
      <c r="R3664">
        <v>13.099999999999994</v>
      </c>
      <c r="S3664" t="s">
        <v>77</v>
      </c>
    </row>
    <row r="3665" spans="1:19" x14ac:dyDescent="0.35">
      <c r="A3665">
        <v>70532</v>
      </c>
      <c r="B3665" t="str">
        <f>"070532"</f>
        <v>070532</v>
      </c>
      <c r="C3665" t="s">
        <v>11200</v>
      </c>
      <c r="D3665" t="s">
        <v>3394</v>
      </c>
      <c r="E3665" t="s">
        <v>3395</v>
      </c>
      <c r="F3665" t="s">
        <v>3396</v>
      </c>
      <c r="G3665" t="s">
        <v>200</v>
      </c>
      <c r="H3665" t="s">
        <v>11201</v>
      </c>
      <c r="I3665" t="s">
        <v>11202</v>
      </c>
      <c r="J3665" t="s">
        <v>304</v>
      </c>
      <c r="K3665" t="s">
        <v>55</v>
      </c>
      <c r="L3665" t="s">
        <v>3835</v>
      </c>
      <c r="M3665" t="s">
        <v>57</v>
      </c>
      <c r="N3665" t="str">
        <f>"044909"</f>
        <v>044909</v>
      </c>
      <c r="O3665" t="s">
        <v>3318</v>
      </c>
      <c r="P3665" t="s">
        <v>68</v>
      </c>
      <c r="Q3665" t="s">
        <v>68</v>
      </c>
      <c r="R3665" t="s">
        <v>68</v>
      </c>
      <c r="S3665" t="s">
        <v>156</v>
      </c>
    </row>
    <row r="3666" spans="1:19" x14ac:dyDescent="0.35">
      <c r="A3666">
        <v>70656</v>
      </c>
      <c r="B3666" t="str">
        <f>"070656"</f>
        <v>070656</v>
      </c>
      <c r="C3666" t="s">
        <v>11203</v>
      </c>
      <c r="D3666" t="s">
        <v>3394</v>
      </c>
      <c r="E3666" t="s">
        <v>9538</v>
      </c>
      <c r="F3666" t="s">
        <v>3396</v>
      </c>
      <c r="G3666" t="s">
        <v>777</v>
      </c>
      <c r="H3666" t="s">
        <v>11204</v>
      </c>
      <c r="I3666" t="s">
        <v>11205</v>
      </c>
      <c r="J3666" t="s">
        <v>780</v>
      </c>
      <c r="K3666" t="s">
        <v>55</v>
      </c>
      <c r="L3666" t="s">
        <v>2815</v>
      </c>
      <c r="M3666" t="s">
        <v>57</v>
      </c>
      <c r="N3666" t="str">
        <f>"070656"</f>
        <v>070656</v>
      </c>
      <c r="O3666" t="s">
        <v>11203</v>
      </c>
      <c r="P3666" t="s">
        <v>68</v>
      </c>
      <c r="Q3666" t="s">
        <v>68</v>
      </c>
      <c r="R3666" t="s">
        <v>68</v>
      </c>
      <c r="S3666" t="s">
        <v>180</v>
      </c>
    </row>
    <row r="3667" spans="1:19" x14ac:dyDescent="0.35">
      <c r="A3667">
        <v>70664</v>
      </c>
      <c r="B3667" t="str">
        <f>"070664"</f>
        <v>070664</v>
      </c>
      <c r="C3667" t="s">
        <v>11206</v>
      </c>
      <c r="D3667" t="s">
        <v>3394</v>
      </c>
      <c r="E3667" t="s">
        <v>9538</v>
      </c>
      <c r="F3667" t="s">
        <v>3396</v>
      </c>
      <c r="G3667" t="s">
        <v>481</v>
      </c>
      <c r="H3667" t="s">
        <v>11207</v>
      </c>
      <c r="I3667" t="s">
        <v>11208</v>
      </c>
      <c r="J3667" t="s">
        <v>3091</v>
      </c>
      <c r="K3667" t="s">
        <v>55</v>
      </c>
      <c r="L3667" t="s">
        <v>3092</v>
      </c>
      <c r="M3667" t="s">
        <v>57</v>
      </c>
      <c r="N3667" t="str">
        <f>"052522"</f>
        <v>052522</v>
      </c>
      <c r="O3667" t="s">
        <v>605</v>
      </c>
      <c r="P3667" t="s">
        <v>68</v>
      </c>
      <c r="Q3667" t="s">
        <v>68</v>
      </c>
      <c r="R3667" t="s">
        <v>68</v>
      </c>
      <c r="S3667" t="s">
        <v>69</v>
      </c>
    </row>
    <row r="3668" spans="1:19" x14ac:dyDescent="0.35">
      <c r="A3668">
        <v>70748</v>
      </c>
      <c r="B3668" t="str">
        <f>"070748"</f>
        <v>070748</v>
      </c>
      <c r="C3668" t="s">
        <v>11209</v>
      </c>
      <c r="D3668" t="s">
        <v>3394</v>
      </c>
      <c r="E3668" t="s">
        <v>9538</v>
      </c>
      <c r="F3668" t="s">
        <v>3396</v>
      </c>
      <c r="G3668" t="s">
        <v>63</v>
      </c>
      <c r="H3668" t="s">
        <v>11210</v>
      </c>
      <c r="I3668" t="s">
        <v>11211</v>
      </c>
      <c r="J3668" t="s">
        <v>1844</v>
      </c>
      <c r="K3668" t="s">
        <v>55</v>
      </c>
      <c r="L3668" t="s">
        <v>1636</v>
      </c>
      <c r="M3668" t="s">
        <v>57</v>
      </c>
      <c r="N3668" t="str">
        <f>"000136"</f>
        <v>000136</v>
      </c>
      <c r="O3668" t="s">
        <v>2853</v>
      </c>
      <c r="P3668" t="s">
        <v>68</v>
      </c>
      <c r="Q3668" t="s">
        <v>68</v>
      </c>
      <c r="R3668" t="s">
        <v>68</v>
      </c>
      <c r="S3668" t="s">
        <v>69</v>
      </c>
    </row>
    <row r="3669" spans="1:19" x14ac:dyDescent="0.35">
      <c r="A3669">
        <v>70748</v>
      </c>
      <c r="B3669" t="str">
        <f>"070748"</f>
        <v>070748</v>
      </c>
      <c r="C3669" t="s">
        <v>11209</v>
      </c>
      <c r="D3669" t="s">
        <v>9541</v>
      </c>
      <c r="E3669" t="s">
        <v>9538</v>
      </c>
      <c r="F3669" t="s">
        <v>3396</v>
      </c>
      <c r="G3669" t="s">
        <v>63</v>
      </c>
      <c r="H3669" t="s">
        <v>11210</v>
      </c>
      <c r="I3669" t="s">
        <v>11211</v>
      </c>
      <c r="J3669" t="s">
        <v>1844</v>
      </c>
      <c r="K3669" t="s">
        <v>55</v>
      </c>
      <c r="L3669" t="s">
        <v>1636</v>
      </c>
      <c r="M3669" t="s">
        <v>57</v>
      </c>
      <c r="N3669" t="str">
        <f>"000136"</f>
        <v>000136</v>
      </c>
      <c r="O3669" t="s">
        <v>2853</v>
      </c>
      <c r="P3669" t="s">
        <v>68</v>
      </c>
      <c r="Q3669" t="s">
        <v>68</v>
      </c>
      <c r="R3669" t="s">
        <v>68</v>
      </c>
      <c r="S3669" t="s">
        <v>69</v>
      </c>
    </row>
    <row r="3670" spans="1:19" x14ac:dyDescent="0.35">
      <c r="A3670">
        <v>70771</v>
      </c>
      <c r="B3670" t="str">
        <f>"070771"</f>
        <v>070771</v>
      </c>
      <c r="C3670" t="s">
        <v>11212</v>
      </c>
      <c r="D3670" t="s">
        <v>3394</v>
      </c>
      <c r="E3670" t="s">
        <v>9538</v>
      </c>
      <c r="F3670" t="s">
        <v>3396</v>
      </c>
      <c r="G3670" t="s">
        <v>63</v>
      </c>
      <c r="H3670" t="s">
        <v>11213</v>
      </c>
      <c r="I3670" t="s">
        <v>11214</v>
      </c>
      <c r="J3670" t="s">
        <v>871</v>
      </c>
      <c r="K3670" t="s">
        <v>55</v>
      </c>
      <c r="L3670" t="s">
        <v>872</v>
      </c>
      <c r="M3670" t="s">
        <v>57</v>
      </c>
      <c r="N3670" t="str">
        <f>"000136"</f>
        <v>000136</v>
      </c>
      <c r="O3670" t="s">
        <v>2853</v>
      </c>
      <c r="P3670" t="s">
        <v>68</v>
      </c>
      <c r="Q3670" t="s">
        <v>68</v>
      </c>
      <c r="R3670" t="s">
        <v>68</v>
      </c>
      <c r="S3670" t="s">
        <v>69</v>
      </c>
    </row>
    <row r="3671" spans="1:19" x14ac:dyDescent="0.35">
      <c r="A3671">
        <v>70771</v>
      </c>
      <c r="B3671" t="str">
        <f>"070771"</f>
        <v>070771</v>
      </c>
      <c r="C3671" t="s">
        <v>11212</v>
      </c>
      <c r="D3671" t="s">
        <v>9541</v>
      </c>
      <c r="E3671" t="s">
        <v>9538</v>
      </c>
      <c r="F3671" t="s">
        <v>3396</v>
      </c>
      <c r="G3671" t="s">
        <v>63</v>
      </c>
      <c r="H3671" t="s">
        <v>11213</v>
      </c>
      <c r="I3671" t="s">
        <v>11214</v>
      </c>
      <c r="J3671" t="s">
        <v>871</v>
      </c>
      <c r="K3671" t="s">
        <v>55</v>
      </c>
      <c r="L3671" t="s">
        <v>872</v>
      </c>
      <c r="M3671" t="s">
        <v>57</v>
      </c>
      <c r="N3671" t="str">
        <f>"000136"</f>
        <v>000136</v>
      </c>
      <c r="O3671" t="s">
        <v>2853</v>
      </c>
      <c r="P3671" t="s">
        <v>68</v>
      </c>
      <c r="Q3671" t="s">
        <v>68</v>
      </c>
      <c r="R3671" t="s">
        <v>68</v>
      </c>
      <c r="S3671" t="s">
        <v>69</v>
      </c>
    </row>
    <row r="3672" spans="1:19" x14ac:dyDescent="0.35">
      <c r="A3672">
        <v>70789</v>
      </c>
      <c r="B3672" t="str">
        <f>"070789"</f>
        <v>070789</v>
      </c>
      <c r="C3672" t="s">
        <v>11215</v>
      </c>
      <c r="D3672" t="s">
        <v>3394</v>
      </c>
      <c r="E3672" t="s">
        <v>9538</v>
      </c>
      <c r="F3672" t="s">
        <v>3396</v>
      </c>
      <c r="G3672" t="s">
        <v>663</v>
      </c>
      <c r="H3672" t="s">
        <v>11216</v>
      </c>
      <c r="I3672" t="s">
        <v>11217</v>
      </c>
      <c r="J3672" t="s">
        <v>666</v>
      </c>
      <c r="K3672" t="s">
        <v>55</v>
      </c>
      <c r="L3672" t="s">
        <v>6944</v>
      </c>
      <c r="M3672" t="s">
        <v>57</v>
      </c>
      <c r="N3672" t="str">
        <f>"070789"</f>
        <v>070789</v>
      </c>
      <c r="O3672" t="s">
        <v>11215</v>
      </c>
      <c r="P3672" t="s">
        <v>68</v>
      </c>
      <c r="Q3672" t="s">
        <v>68</v>
      </c>
      <c r="R3672" t="s">
        <v>68</v>
      </c>
      <c r="S3672" t="s">
        <v>77</v>
      </c>
    </row>
    <row r="3673" spans="1:19" x14ac:dyDescent="0.35">
      <c r="A3673">
        <v>70789</v>
      </c>
      <c r="B3673" t="str">
        <f>"070789"</f>
        <v>070789</v>
      </c>
      <c r="C3673" t="s">
        <v>11215</v>
      </c>
      <c r="D3673" t="s">
        <v>9541</v>
      </c>
      <c r="E3673" t="s">
        <v>9538</v>
      </c>
      <c r="F3673" t="s">
        <v>3396</v>
      </c>
      <c r="G3673" t="s">
        <v>663</v>
      </c>
      <c r="H3673" t="s">
        <v>11216</v>
      </c>
      <c r="I3673" t="s">
        <v>11217</v>
      </c>
      <c r="J3673" t="s">
        <v>666</v>
      </c>
      <c r="K3673" t="s">
        <v>55</v>
      </c>
      <c r="L3673" t="s">
        <v>6944</v>
      </c>
      <c r="M3673" t="s">
        <v>57</v>
      </c>
      <c r="N3673" t="str">
        <f>"070789"</f>
        <v>070789</v>
      </c>
      <c r="O3673" t="s">
        <v>11215</v>
      </c>
      <c r="P3673" t="s">
        <v>68</v>
      </c>
      <c r="Q3673" t="s">
        <v>68</v>
      </c>
      <c r="R3673" t="s">
        <v>68</v>
      </c>
      <c r="S3673" t="s">
        <v>77</v>
      </c>
    </row>
    <row r="3674" spans="1:19" x14ac:dyDescent="0.35">
      <c r="A3674">
        <v>70847</v>
      </c>
      <c r="B3674" t="str">
        <f>"070847"</f>
        <v>070847</v>
      </c>
      <c r="C3674" t="s">
        <v>11218</v>
      </c>
      <c r="D3674" t="s">
        <v>3400</v>
      </c>
      <c r="E3674" t="s">
        <v>3395</v>
      </c>
      <c r="F3674" t="s">
        <v>3396</v>
      </c>
      <c r="G3674" t="s">
        <v>244</v>
      </c>
      <c r="H3674" t="s">
        <v>11219</v>
      </c>
      <c r="I3674" t="s">
        <v>11220</v>
      </c>
      <c r="J3674" t="s">
        <v>92</v>
      </c>
      <c r="K3674" t="s">
        <v>55</v>
      </c>
      <c r="L3674" t="s">
        <v>2423</v>
      </c>
      <c r="M3674" t="s">
        <v>57</v>
      </c>
      <c r="N3674" t="str">
        <f>"046102"</f>
        <v>046102</v>
      </c>
      <c r="O3674" t="s">
        <v>2420</v>
      </c>
      <c r="P3674" t="s">
        <v>68</v>
      </c>
      <c r="Q3674">
        <v>54.2</v>
      </c>
      <c r="R3674">
        <v>53.6</v>
      </c>
      <c r="S3674" t="s">
        <v>217</v>
      </c>
    </row>
    <row r="3675" spans="1:19" x14ac:dyDescent="0.35">
      <c r="A3675">
        <v>70912</v>
      </c>
      <c r="B3675" t="str">
        <f>"070912"</f>
        <v>070912</v>
      </c>
      <c r="C3675" t="s">
        <v>11221</v>
      </c>
      <c r="D3675" t="s">
        <v>3394</v>
      </c>
      <c r="E3675" t="s">
        <v>9538</v>
      </c>
      <c r="F3675" t="s">
        <v>3396</v>
      </c>
      <c r="G3675" t="s">
        <v>212</v>
      </c>
      <c r="H3675" t="s">
        <v>11222</v>
      </c>
      <c r="I3675" t="s">
        <v>11223</v>
      </c>
      <c r="J3675" t="s">
        <v>215</v>
      </c>
      <c r="K3675" t="s">
        <v>55</v>
      </c>
      <c r="L3675" t="s">
        <v>7168</v>
      </c>
      <c r="M3675" t="s">
        <v>57</v>
      </c>
      <c r="N3675" t="str">
        <f>"000136"</f>
        <v>000136</v>
      </c>
      <c r="O3675" t="s">
        <v>2853</v>
      </c>
      <c r="P3675" t="s">
        <v>68</v>
      </c>
      <c r="Q3675" t="s">
        <v>68</v>
      </c>
      <c r="R3675" t="s">
        <v>68</v>
      </c>
      <c r="S3675" t="s">
        <v>217</v>
      </c>
    </row>
    <row r="3676" spans="1:19" x14ac:dyDescent="0.35">
      <c r="A3676">
        <v>70912</v>
      </c>
      <c r="B3676" t="str">
        <f>"070912"</f>
        <v>070912</v>
      </c>
      <c r="C3676" t="s">
        <v>11221</v>
      </c>
      <c r="D3676" t="s">
        <v>9541</v>
      </c>
      <c r="E3676" t="s">
        <v>9538</v>
      </c>
      <c r="F3676" t="s">
        <v>3396</v>
      </c>
      <c r="G3676" t="s">
        <v>212</v>
      </c>
      <c r="H3676" t="s">
        <v>11222</v>
      </c>
      <c r="I3676" t="s">
        <v>11223</v>
      </c>
      <c r="J3676" t="s">
        <v>215</v>
      </c>
      <c r="K3676" t="s">
        <v>55</v>
      </c>
      <c r="L3676" t="s">
        <v>7168</v>
      </c>
      <c r="M3676" t="s">
        <v>57</v>
      </c>
      <c r="N3676" t="str">
        <f>"000136"</f>
        <v>000136</v>
      </c>
      <c r="O3676" t="s">
        <v>2853</v>
      </c>
      <c r="P3676" t="s">
        <v>68</v>
      </c>
      <c r="Q3676" t="s">
        <v>68</v>
      </c>
      <c r="R3676" t="s">
        <v>68</v>
      </c>
      <c r="S3676" t="s">
        <v>217</v>
      </c>
    </row>
    <row r="3677" spans="1:19" x14ac:dyDescent="0.35">
      <c r="A3677">
        <v>70920</v>
      </c>
      <c r="B3677" t="str">
        <f>"070920"</f>
        <v>070920</v>
      </c>
      <c r="C3677" t="s">
        <v>5256</v>
      </c>
      <c r="D3677" t="s">
        <v>3394</v>
      </c>
      <c r="E3677" t="s">
        <v>3395</v>
      </c>
      <c r="F3677" t="s">
        <v>3396</v>
      </c>
      <c r="G3677" t="s">
        <v>244</v>
      </c>
      <c r="H3677" t="s">
        <v>11224</v>
      </c>
      <c r="I3677" t="s">
        <v>11225</v>
      </c>
      <c r="J3677" t="s">
        <v>5918</v>
      </c>
      <c r="K3677" t="s">
        <v>55</v>
      </c>
      <c r="L3677" t="s">
        <v>5919</v>
      </c>
      <c r="M3677" t="s">
        <v>57</v>
      </c>
      <c r="N3677" t="str">
        <f>"046110"</f>
        <v>046110</v>
      </c>
      <c r="O3677" t="s">
        <v>2005</v>
      </c>
      <c r="P3677" t="s">
        <v>68</v>
      </c>
      <c r="Q3677">
        <v>39.799999999999997</v>
      </c>
      <c r="R3677">
        <v>48.4</v>
      </c>
      <c r="S3677" t="s">
        <v>217</v>
      </c>
    </row>
    <row r="3678" spans="1:19" x14ac:dyDescent="0.35">
      <c r="A3678">
        <v>70961</v>
      </c>
      <c r="B3678" t="str">
        <f>"070961"</f>
        <v>070961</v>
      </c>
      <c r="C3678" t="s">
        <v>10242</v>
      </c>
      <c r="D3678" t="s">
        <v>3394</v>
      </c>
      <c r="E3678" t="s">
        <v>9538</v>
      </c>
      <c r="F3678" t="s">
        <v>3396</v>
      </c>
      <c r="G3678" t="s">
        <v>600</v>
      </c>
      <c r="H3678" t="s">
        <v>11226</v>
      </c>
      <c r="I3678" t="s">
        <v>11227</v>
      </c>
      <c r="J3678" t="s">
        <v>1889</v>
      </c>
      <c r="K3678" t="s">
        <v>55</v>
      </c>
      <c r="L3678" t="s">
        <v>1890</v>
      </c>
      <c r="M3678" t="s">
        <v>57</v>
      </c>
      <c r="N3678" t="str">
        <f>"070961"</f>
        <v>070961</v>
      </c>
      <c r="O3678" t="s">
        <v>10242</v>
      </c>
      <c r="P3678" t="s">
        <v>68</v>
      </c>
      <c r="Q3678" t="s">
        <v>68</v>
      </c>
      <c r="R3678" t="s">
        <v>68</v>
      </c>
      <c r="S3678" t="s">
        <v>60</v>
      </c>
    </row>
    <row r="3679" spans="1:19" x14ac:dyDescent="0.35">
      <c r="A3679">
        <v>70961</v>
      </c>
      <c r="B3679" t="str">
        <f>"070961"</f>
        <v>070961</v>
      </c>
      <c r="C3679" t="s">
        <v>10242</v>
      </c>
      <c r="D3679" t="s">
        <v>3929</v>
      </c>
      <c r="E3679" t="s">
        <v>9538</v>
      </c>
      <c r="F3679" t="s">
        <v>3396</v>
      </c>
      <c r="G3679" t="s">
        <v>600</v>
      </c>
      <c r="H3679" t="s">
        <v>11226</v>
      </c>
      <c r="I3679" t="s">
        <v>11227</v>
      </c>
      <c r="J3679" t="s">
        <v>1889</v>
      </c>
      <c r="K3679" t="s">
        <v>55</v>
      </c>
      <c r="L3679" t="s">
        <v>1890</v>
      </c>
      <c r="M3679" t="s">
        <v>57</v>
      </c>
      <c r="N3679" t="str">
        <f>"070961"</f>
        <v>070961</v>
      </c>
      <c r="O3679" t="s">
        <v>10242</v>
      </c>
      <c r="P3679" t="s">
        <v>68</v>
      </c>
      <c r="Q3679" t="s">
        <v>68</v>
      </c>
      <c r="R3679" t="s">
        <v>68</v>
      </c>
      <c r="S3679" t="s">
        <v>60</v>
      </c>
    </row>
    <row r="3680" spans="1:19" x14ac:dyDescent="0.35">
      <c r="A3680">
        <v>70961</v>
      </c>
      <c r="B3680" t="str">
        <f>"070961"</f>
        <v>070961</v>
      </c>
      <c r="C3680" t="s">
        <v>10242</v>
      </c>
      <c r="D3680" t="s">
        <v>4572</v>
      </c>
      <c r="E3680" t="s">
        <v>9538</v>
      </c>
      <c r="F3680" t="s">
        <v>3396</v>
      </c>
      <c r="G3680" t="s">
        <v>600</v>
      </c>
      <c r="H3680" t="s">
        <v>11226</v>
      </c>
      <c r="I3680" t="s">
        <v>11227</v>
      </c>
      <c r="J3680" t="s">
        <v>1889</v>
      </c>
      <c r="K3680" t="s">
        <v>55</v>
      </c>
      <c r="L3680" t="s">
        <v>1890</v>
      </c>
      <c r="M3680" t="s">
        <v>57</v>
      </c>
      <c r="N3680" t="str">
        <f>"070961"</f>
        <v>070961</v>
      </c>
      <c r="O3680" t="s">
        <v>10242</v>
      </c>
      <c r="P3680" t="s">
        <v>68</v>
      </c>
      <c r="Q3680" t="s">
        <v>68</v>
      </c>
      <c r="R3680" t="s">
        <v>68</v>
      </c>
      <c r="S3680" t="s">
        <v>60</v>
      </c>
    </row>
    <row r="3681" spans="1:19" x14ac:dyDescent="0.35">
      <c r="A3681">
        <v>70979</v>
      </c>
      <c r="B3681" t="str">
        <f>"070979"</f>
        <v>070979</v>
      </c>
      <c r="C3681" t="s">
        <v>11228</v>
      </c>
      <c r="D3681" t="s">
        <v>3394</v>
      </c>
      <c r="E3681" t="s">
        <v>9538</v>
      </c>
      <c r="F3681" t="s">
        <v>3396</v>
      </c>
      <c r="G3681" t="s">
        <v>264</v>
      </c>
      <c r="H3681" t="s">
        <v>11229</v>
      </c>
      <c r="I3681" t="s">
        <v>11230</v>
      </c>
      <c r="J3681" t="s">
        <v>800</v>
      </c>
      <c r="K3681" t="s">
        <v>55</v>
      </c>
      <c r="L3681" t="s">
        <v>801</v>
      </c>
      <c r="M3681" t="s">
        <v>57</v>
      </c>
      <c r="N3681" t="str">
        <f>"000136"</f>
        <v>000136</v>
      </c>
      <c r="O3681" t="s">
        <v>2853</v>
      </c>
      <c r="P3681" t="s">
        <v>68</v>
      </c>
      <c r="Q3681" t="s">
        <v>68</v>
      </c>
      <c r="R3681" t="s">
        <v>68</v>
      </c>
      <c r="S3681" t="s">
        <v>77</v>
      </c>
    </row>
    <row r="3682" spans="1:19" x14ac:dyDescent="0.35">
      <c r="A3682">
        <v>70979</v>
      </c>
      <c r="B3682" t="str">
        <f>"070979"</f>
        <v>070979</v>
      </c>
      <c r="C3682" t="s">
        <v>11228</v>
      </c>
      <c r="D3682" t="s">
        <v>9541</v>
      </c>
      <c r="E3682" t="s">
        <v>9538</v>
      </c>
      <c r="F3682" t="s">
        <v>3396</v>
      </c>
      <c r="G3682" t="s">
        <v>264</v>
      </c>
      <c r="H3682" t="s">
        <v>11229</v>
      </c>
      <c r="I3682" t="s">
        <v>11230</v>
      </c>
      <c r="J3682" t="s">
        <v>800</v>
      </c>
      <c r="K3682" t="s">
        <v>55</v>
      </c>
      <c r="L3682" t="s">
        <v>801</v>
      </c>
      <c r="M3682" t="s">
        <v>57</v>
      </c>
      <c r="N3682" t="str">
        <f>"000136"</f>
        <v>000136</v>
      </c>
      <c r="O3682" t="s">
        <v>2853</v>
      </c>
      <c r="P3682" t="s">
        <v>68</v>
      </c>
      <c r="Q3682" t="s">
        <v>68</v>
      </c>
      <c r="R3682" t="s">
        <v>68</v>
      </c>
      <c r="S3682" t="s">
        <v>77</v>
      </c>
    </row>
    <row r="3683" spans="1:19" x14ac:dyDescent="0.35">
      <c r="A3683">
        <v>71001</v>
      </c>
      <c r="B3683" t="str">
        <f>"071001"</f>
        <v>071001</v>
      </c>
      <c r="C3683" t="s">
        <v>11231</v>
      </c>
      <c r="D3683" t="s">
        <v>3398</v>
      </c>
      <c r="E3683" t="s">
        <v>9538</v>
      </c>
      <c r="F3683" t="s">
        <v>3396</v>
      </c>
      <c r="G3683" t="s">
        <v>600</v>
      </c>
      <c r="H3683" t="s">
        <v>11232</v>
      </c>
      <c r="I3683" t="s">
        <v>11233</v>
      </c>
      <c r="J3683" t="s">
        <v>1500</v>
      </c>
      <c r="K3683" t="s">
        <v>55</v>
      </c>
      <c r="L3683" t="s">
        <v>1501</v>
      </c>
      <c r="M3683" t="s">
        <v>57</v>
      </c>
      <c r="N3683" t="str">
        <f>"000129"</f>
        <v>000129</v>
      </c>
      <c r="O3683" t="s">
        <v>1284</v>
      </c>
      <c r="P3683" t="s">
        <v>68</v>
      </c>
      <c r="Q3683" t="s">
        <v>68</v>
      </c>
      <c r="R3683" t="s">
        <v>68</v>
      </c>
      <c r="S3683" t="s">
        <v>60</v>
      </c>
    </row>
    <row r="3684" spans="1:19" x14ac:dyDescent="0.35">
      <c r="A3684">
        <v>71027</v>
      </c>
      <c r="B3684" t="str">
        <f>"071027"</f>
        <v>071027</v>
      </c>
      <c r="C3684" t="s">
        <v>11234</v>
      </c>
      <c r="D3684" t="s">
        <v>3400</v>
      </c>
      <c r="E3684" t="s">
        <v>3395</v>
      </c>
      <c r="F3684" t="s">
        <v>3396</v>
      </c>
      <c r="G3684" t="s">
        <v>169</v>
      </c>
      <c r="H3684" t="s">
        <v>3712</v>
      </c>
      <c r="I3684" t="s">
        <v>3713</v>
      </c>
      <c r="J3684" t="s">
        <v>730</v>
      </c>
      <c r="K3684" t="s">
        <v>55</v>
      </c>
      <c r="L3684" t="s">
        <v>731</v>
      </c>
      <c r="M3684" t="s">
        <v>57</v>
      </c>
      <c r="N3684" t="str">
        <f>"050187"</f>
        <v>050187</v>
      </c>
      <c r="O3684" t="s">
        <v>3192</v>
      </c>
      <c r="P3684" t="s">
        <v>68</v>
      </c>
      <c r="Q3684">
        <v>26.2</v>
      </c>
      <c r="R3684">
        <v>9.5999999999999943</v>
      </c>
      <c r="S3684" t="s">
        <v>77</v>
      </c>
    </row>
    <row r="3685" spans="1:19" x14ac:dyDescent="0.35">
      <c r="A3685">
        <v>71068</v>
      </c>
      <c r="B3685" t="str">
        <f>"071068"</f>
        <v>071068</v>
      </c>
      <c r="C3685" t="s">
        <v>11235</v>
      </c>
      <c r="D3685" t="s">
        <v>3400</v>
      </c>
      <c r="E3685" t="s">
        <v>3395</v>
      </c>
      <c r="F3685" t="s">
        <v>3396</v>
      </c>
      <c r="G3685" t="s">
        <v>71</v>
      </c>
      <c r="H3685" t="s">
        <v>11236</v>
      </c>
      <c r="I3685" t="s">
        <v>11237</v>
      </c>
      <c r="J3685" t="s">
        <v>991</v>
      </c>
      <c r="K3685" t="s">
        <v>55</v>
      </c>
      <c r="L3685" t="s">
        <v>992</v>
      </c>
      <c r="M3685" t="s">
        <v>57</v>
      </c>
      <c r="N3685" t="str">
        <f>"043893"</f>
        <v>043893</v>
      </c>
      <c r="O3685" t="s">
        <v>988</v>
      </c>
      <c r="P3685" t="s">
        <v>68</v>
      </c>
      <c r="Q3685">
        <v>39.299999999999997</v>
      </c>
      <c r="R3685">
        <v>19.200000000000003</v>
      </c>
      <c r="S3685" t="s">
        <v>77</v>
      </c>
    </row>
    <row r="3686" spans="1:19" x14ac:dyDescent="0.35">
      <c r="A3686">
        <v>71357</v>
      </c>
      <c r="B3686" t="str">
        <f>"071357"</f>
        <v>071357</v>
      </c>
      <c r="C3686" t="s">
        <v>11238</v>
      </c>
      <c r="D3686" t="s">
        <v>3394</v>
      </c>
      <c r="E3686" t="s">
        <v>3395</v>
      </c>
      <c r="F3686" t="s">
        <v>3396</v>
      </c>
      <c r="G3686" t="s">
        <v>406</v>
      </c>
      <c r="H3686" t="s">
        <v>11239</v>
      </c>
      <c r="I3686" t="s">
        <v>11240</v>
      </c>
      <c r="J3686" t="s">
        <v>909</v>
      </c>
      <c r="K3686" t="s">
        <v>55</v>
      </c>
      <c r="L3686" t="s">
        <v>910</v>
      </c>
      <c r="M3686" t="s">
        <v>57</v>
      </c>
      <c r="N3686" t="str">
        <f>"043661"</f>
        <v>043661</v>
      </c>
      <c r="O3686" t="s">
        <v>906</v>
      </c>
      <c r="P3686" t="s">
        <v>68</v>
      </c>
      <c r="Q3686">
        <v>25.5</v>
      </c>
      <c r="R3686">
        <v>16.799999999999997</v>
      </c>
      <c r="S3686" t="s">
        <v>77</v>
      </c>
    </row>
    <row r="3687" spans="1:19" x14ac:dyDescent="0.35">
      <c r="A3687">
        <v>71381</v>
      </c>
      <c r="B3687" t="str">
        <f>"071381"</f>
        <v>071381</v>
      </c>
      <c r="C3687" t="s">
        <v>11241</v>
      </c>
      <c r="D3687" t="s">
        <v>3506</v>
      </c>
      <c r="E3687" t="s">
        <v>3395</v>
      </c>
      <c r="F3687" t="s">
        <v>3396</v>
      </c>
      <c r="G3687" t="s">
        <v>295</v>
      </c>
      <c r="H3687" t="s">
        <v>3005</v>
      </c>
      <c r="I3687" t="s">
        <v>3006</v>
      </c>
      <c r="J3687" t="s">
        <v>3007</v>
      </c>
      <c r="K3687" t="s">
        <v>55</v>
      </c>
      <c r="L3687" t="s">
        <v>3008</v>
      </c>
      <c r="M3687" t="s">
        <v>57</v>
      </c>
      <c r="N3687" t="str">
        <f>"045666"</f>
        <v>045666</v>
      </c>
      <c r="O3687" t="s">
        <v>3004</v>
      </c>
      <c r="P3687" t="s">
        <v>68</v>
      </c>
      <c r="Q3687">
        <v>100</v>
      </c>
      <c r="R3687">
        <v>29.5</v>
      </c>
      <c r="S3687" t="s">
        <v>77</v>
      </c>
    </row>
    <row r="3688" spans="1:19" x14ac:dyDescent="0.35">
      <c r="A3688">
        <v>71399</v>
      </c>
      <c r="B3688" t="str">
        <f>"071399"</f>
        <v>071399</v>
      </c>
      <c r="C3688" t="s">
        <v>11242</v>
      </c>
      <c r="D3688" t="s">
        <v>3506</v>
      </c>
      <c r="E3688" t="s">
        <v>3395</v>
      </c>
      <c r="F3688" t="s">
        <v>3396</v>
      </c>
      <c r="G3688" t="s">
        <v>295</v>
      </c>
      <c r="H3688" t="s">
        <v>11243</v>
      </c>
      <c r="I3688" t="s">
        <v>11244</v>
      </c>
      <c r="J3688" t="s">
        <v>11245</v>
      </c>
      <c r="K3688" t="s">
        <v>55</v>
      </c>
      <c r="L3688" t="s">
        <v>11246</v>
      </c>
      <c r="M3688" t="s">
        <v>57</v>
      </c>
      <c r="N3688" t="str">
        <f>"049221"</f>
        <v>049221</v>
      </c>
      <c r="O3688" t="s">
        <v>2105</v>
      </c>
      <c r="P3688" t="s">
        <v>68</v>
      </c>
      <c r="Q3688">
        <v>45.8</v>
      </c>
      <c r="R3688">
        <v>6.9000000000000057</v>
      </c>
      <c r="S3688" t="s">
        <v>77</v>
      </c>
    </row>
    <row r="3689" spans="1:19" x14ac:dyDescent="0.35">
      <c r="A3689">
        <v>71571</v>
      </c>
      <c r="B3689" t="str">
        <f>"071571"</f>
        <v>071571</v>
      </c>
      <c r="C3689" t="s">
        <v>11247</v>
      </c>
      <c r="D3689" t="s">
        <v>3394</v>
      </c>
      <c r="E3689" t="s">
        <v>9538</v>
      </c>
      <c r="F3689" t="s">
        <v>3396</v>
      </c>
      <c r="G3689" t="s">
        <v>264</v>
      </c>
      <c r="H3689" t="s">
        <v>11248</v>
      </c>
      <c r="I3689" t="s">
        <v>11249</v>
      </c>
      <c r="J3689" t="s">
        <v>267</v>
      </c>
      <c r="K3689" t="s">
        <v>55</v>
      </c>
      <c r="L3689" t="s">
        <v>268</v>
      </c>
      <c r="M3689" t="s">
        <v>57</v>
      </c>
      <c r="N3689" t="str">
        <f>"000129"</f>
        <v>000129</v>
      </c>
      <c r="O3689" t="s">
        <v>1284</v>
      </c>
      <c r="P3689" t="s">
        <v>68</v>
      </c>
      <c r="Q3689" t="s">
        <v>68</v>
      </c>
      <c r="R3689" t="s">
        <v>68</v>
      </c>
      <c r="S3689" t="s">
        <v>77</v>
      </c>
    </row>
    <row r="3690" spans="1:19" x14ac:dyDescent="0.35">
      <c r="A3690">
        <v>81786</v>
      </c>
      <c r="B3690" t="str">
        <f>"081786"</f>
        <v>081786</v>
      </c>
      <c r="C3690" t="s">
        <v>6281</v>
      </c>
      <c r="D3690" t="s">
        <v>3394</v>
      </c>
      <c r="E3690" t="s">
        <v>3395</v>
      </c>
      <c r="F3690" t="s">
        <v>3396</v>
      </c>
      <c r="G3690" t="s">
        <v>117</v>
      </c>
      <c r="H3690" t="s">
        <v>11250</v>
      </c>
      <c r="I3690" t="s">
        <v>11251</v>
      </c>
      <c r="J3690" t="s">
        <v>10912</v>
      </c>
      <c r="K3690" t="s">
        <v>55</v>
      </c>
      <c r="L3690" t="s">
        <v>10913</v>
      </c>
      <c r="M3690" t="s">
        <v>57</v>
      </c>
      <c r="N3690" t="str">
        <f>"049866"</f>
        <v>049866</v>
      </c>
      <c r="O3690" t="s">
        <v>157</v>
      </c>
      <c r="P3690" t="s">
        <v>68</v>
      </c>
      <c r="Q3690">
        <v>16.600000000000001</v>
      </c>
      <c r="R3690">
        <v>8</v>
      </c>
      <c r="S3690" t="s">
        <v>77</v>
      </c>
    </row>
    <row r="3691" spans="1:19" x14ac:dyDescent="0.35">
      <c r="A3691">
        <v>81802</v>
      </c>
      <c r="B3691" t="str">
        <f>"081802"</f>
        <v>081802</v>
      </c>
      <c r="C3691" t="s">
        <v>9351</v>
      </c>
      <c r="D3691" t="s">
        <v>3394</v>
      </c>
      <c r="E3691" t="s">
        <v>3395</v>
      </c>
      <c r="F3691" t="s">
        <v>3396</v>
      </c>
      <c r="G3691" t="s">
        <v>226</v>
      </c>
      <c r="H3691" t="s">
        <v>11252</v>
      </c>
      <c r="I3691" t="s">
        <v>11253</v>
      </c>
      <c r="J3691" t="s">
        <v>944</v>
      </c>
      <c r="K3691" t="s">
        <v>55</v>
      </c>
      <c r="L3691" t="s">
        <v>945</v>
      </c>
      <c r="M3691" t="s">
        <v>57</v>
      </c>
      <c r="N3691" t="str">
        <f>"045583"</f>
        <v>045583</v>
      </c>
      <c r="O3691" t="s">
        <v>1899</v>
      </c>
      <c r="P3691" t="s">
        <v>68</v>
      </c>
      <c r="Q3691">
        <v>12.5</v>
      </c>
      <c r="R3691">
        <v>25.099999999999994</v>
      </c>
      <c r="S3691" t="s">
        <v>156</v>
      </c>
    </row>
    <row r="3692" spans="1:19" x14ac:dyDescent="0.35">
      <c r="A3692">
        <v>81810</v>
      </c>
      <c r="B3692" t="str">
        <f>"081810"</f>
        <v>081810</v>
      </c>
      <c r="C3692" t="s">
        <v>11254</v>
      </c>
      <c r="D3692" t="s">
        <v>3394</v>
      </c>
      <c r="E3692" t="s">
        <v>3395</v>
      </c>
      <c r="F3692" t="s">
        <v>3396</v>
      </c>
      <c r="G3692" t="s">
        <v>1613</v>
      </c>
      <c r="H3692" t="s">
        <v>11255</v>
      </c>
      <c r="I3692" t="s">
        <v>11256</v>
      </c>
      <c r="J3692" t="s">
        <v>1613</v>
      </c>
      <c r="K3692" t="s">
        <v>55</v>
      </c>
      <c r="L3692" t="s">
        <v>1616</v>
      </c>
      <c r="M3692" t="s">
        <v>57</v>
      </c>
      <c r="N3692" t="str">
        <f>"043828"</f>
        <v>043828</v>
      </c>
      <c r="O3692" t="s">
        <v>3102</v>
      </c>
      <c r="P3692" t="s">
        <v>68</v>
      </c>
      <c r="Q3692">
        <v>98.2</v>
      </c>
      <c r="R3692">
        <v>11.200000000000003</v>
      </c>
      <c r="S3692" t="s">
        <v>130</v>
      </c>
    </row>
    <row r="3693" spans="1:19" x14ac:dyDescent="0.35">
      <c r="A3693">
        <v>81851</v>
      </c>
      <c r="B3693" t="str">
        <f>"081851"</f>
        <v>081851</v>
      </c>
      <c r="C3693" t="s">
        <v>11257</v>
      </c>
      <c r="D3693" t="s">
        <v>3398</v>
      </c>
      <c r="E3693" t="s">
        <v>9538</v>
      </c>
      <c r="F3693" t="s">
        <v>3396</v>
      </c>
      <c r="G3693" t="s">
        <v>200</v>
      </c>
      <c r="H3693" t="s">
        <v>11258</v>
      </c>
      <c r="I3693" t="s">
        <v>11259</v>
      </c>
      <c r="J3693" t="s">
        <v>304</v>
      </c>
      <c r="K3693" t="s">
        <v>55</v>
      </c>
      <c r="L3693" t="s">
        <v>3835</v>
      </c>
      <c r="M3693" t="s">
        <v>57</v>
      </c>
      <c r="N3693" t="str">
        <f>"000129"</f>
        <v>000129</v>
      </c>
      <c r="O3693" t="s">
        <v>1284</v>
      </c>
      <c r="P3693" t="s">
        <v>68</v>
      </c>
      <c r="Q3693" t="s">
        <v>68</v>
      </c>
      <c r="R3693" t="s">
        <v>68</v>
      </c>
      <c r="S3693" t="s">
        <v>156</v>
      </c>
    </row>
    <row r="3694" spans="1:19" x14ac:dyDescent="0.35">
      <c r="A3694">
        <v>82578</v>
      </c>
      <c r="B3694" t="str">
        <f>"082578"</f>
        <v>082578</v>
      </c>
      <c r="C3694" t="s">
        <v>11260</v>
      </c>
      <c r="D3694" t="s">
        <v>3400</v>
      </c>
      <c r="E3694" t="s">
        <v>3395</v>
      </c>
      <c r="F3694" t="s">
        <v>3396</v>
      </c>
      <c r="G3694" t="s">
        <v>19</v>
      </c>
      <c r="H3694" t="s">
        <v>11261</v>
      </c>
      <c r="I3694" t="s">
        <v>11262</v>
      </c>
      <c r="J3694" t="s">
        <v>2392</v>
      </c>
      <c r="K3694" t="s">
        <v>55</v>
      </c>
      <c r="L3694" t="s">
        <v>2393</v>
      </c>
      <c r="M3694" t="s">
        <v>57</v>
      </c>
      <c r="N3694" t="str">
        <f>"046045"</f>
        <v>046045</v>
      </c>
      <c r="O3694" t="s">
        <v>2389</v>
      </c>
      <c r="P3694" t="s">
        <v>68</v>
      </c>
      <c r="Q3694">
        <v>42</v>
      </c>
      <c r="R3694">
        <v>2.7999999999999972</v>
      </c>
      <c r="S3694" t="s">
        <v>217</v>
      </c>
    </row>
    <row r="3695" spans="1:19" x14ac:dyDescent="0.35">
      <c r="A3695">
        <v>82586</v>
      </c>
      <c r="B3695" t="str">
        <f>"082586"</f>
        <v>082586</v>
      </c>
      <c r="C3695" t="s">
        <v>11263</v>
      </c>
      <c r="D3695" t="s">
        <v>3400</v>
      </c>
      <c r="E3695" t="s">
        <v>3395</v>
      </c>
      <c r="F3695" t="s">
        <v>3396</v>
      </c>
      <c r="G3695" t="s">
        <v>226</v>
      </c>
      <c r="H3695" t="s">
        <v>7170</v>
      </c>
      <c r="I3695" t="s">
        <v>7171</v>
      </c>
      <c r="J3695" t="s">
        <v>2113</v>
      </c>
      <c r="K3695" t="s">
        <v>55</v>
      </c>
      <c r="L3695" t="s">
        <v>2114</v>
      </c>
      <c r="M3695" t="s">
        <v>57</v>
      </c>
      <c r="N3695" t="str">
        <f>"050708"</f>
        <v>050708</v>
      </c>
      <c r="O3695" t="s">
        <v>2110</v>
      </c>
      <c r="P3695" t="s">
        <v>68</v>
      </c>
      <c r="Q3695">
        <v>42.7</v>
      </c>
      <c r="R3695">
        <v>11.200000000000003</v>
      </c>
      <c r="S3695" t="s">
        <v>156</v>
      </c>
    </row>
    <row r="3696" spans="1:19" x14ac:dyDescent="0.35">
      <c r="A3696">
        <v>83295</v>
      </c>
      <c r="B3696" t="str">
        <f>"083295"</f>
        <v>083295</v>
      </c>
      <c r="C3696" t="s">
        <v>11264</v>
      </c>
      <c r="D3696" t="s">
        <v>3394</v>
      </c>
      <c r="E3696" t="s">
        <v>9538</v>
      </c>
      <c r="F3696" t="s">
        <v>3396</v>
      </c>
      <c r="G3696" t="s">
        <v>295</v>
      </c>
      <c r="H3696" t="s">
        <v>11265</v>
      </c>
      <c r="I3696" t="s">
        <v>11266</v>
      </c>
      <c r="J3696" t="s">
        <v>748</v>
      </c>
      <c r="K3696" t="s">
        <v>55</v>
      </c>
      <c r="L3696" t="s">
        <v>749</v>
      </c>
      <c r="M3696" t="s">
        <v>57</v>
      </c>
      <c r="N3696" t="str">
        <f>"000129"</f>
        <v>000129</v>
      </c>
      <c r="O3696" t="s">
        <v>1284</v>
      </c>
      <c r="P3696" t="s">
        <v>68</v>
      </c>
      <c r="Q3696" t="s">
        <v>68</v>
      </c>
      <c r="R3696" t="s">
        <v>68</v>
      </c>
      <c r="S3696" t="s">
        <v>77</v>
      </c>
    </row>
    <row r="3697" spans="1:19" x14ac:dyDescent="0.35">
      <c r="A3697">
        <v>83873</v>
      </c>
      <c r="B3697" t="str">
        <f>"083873"</f>
        <v>083873</v>
      </c>
      <c r="C3697" t="s">
        <v>11267</v>
      </c>
      <c r="D3697" t="s">
        <v>3400</v>
      </c>
      <c r="E3697" t="s">
        <v>3395</v>
      </c>
      <c r="F3697" t="s">
        <v>3396</v>
      </c>
      <c r="G3697" t="s">
        <v>663</v>
      </c>
      <c r="H3697" t="s">
        <v>11268</v>
      </c>
      <c r="I3697" t="s">
        <v>11269</v>
      </c>
      <c r="J3697" t="s">
        <v>200</v>
      </c>
      <c r="K3697" t="s">
        <v>55</v>
      </c>
      <c r="L3697" t="s">
        <v>922</v>
      </c>
      <c r="M3697" t="s">
        <v>57</v>
      </c>
      <c r="N3697" t="str">
        <f>"049445"</f>
        <v>049445</v>
      </c>
      <c r="O3697" t="s">
        <v>919</v>
      </c>
      <c r="P3697" t="s">
        <v>68</v>
      </c>
      <c r="Q3697">
        <v>29.9</v>
      </c>
      <c r="R3697">
        <v>3.9000000000000057</v>
      </c>
      <c r="S3697" t="s">
        <v>77</v>
      </c>
    </row>
    <row r="3698" spans="1:19" x14ac:dyDescent="0.35">
      <c r="A3698">
        <v>83923</v>
      </c>
      <c r="B3698" t="str">
        <f>"083923"</f>
        <v>083923</v>
      </c>
      <c r="C3698" t="s">
        <v>11270</v>
      </c>
      <c r="D3698" t="s">
        <v>3394</v>
      </c>
      <c r="E3698" t="s">
        <v>9538</v>
      </c>
      <c r="F3698" t="s">
        <v>3396</v>
      </c>
      <c r="G3698" t="s">
        <v>600</v>
      </c>
      <c r="H3698" t="s">
        <v>11271</v>
      </c>
      <c r="I3698" t="s">
        <v>11272</v>
      </c>
      <c r="J3698" t="s">
        <v>1348</v>
      </c>
      <c r="K3698" t="s">
        <v>55</v>
      </c>
      <c r="L3698" t="s">
        <v>4473</v>
      </c>
      <c r="M3698" t="s">
        <v>57</v>
      </c>
      <c r="N3698" t="str">
        <f>"000129"</f>
        <v>000129</v>
      </c>
      <c r="O3698" t="s">
        <v>1284</v>
      </c>
      <c r="P3698" t="s">
        <v>68</v>
      </c>
      <c r="Q3698" t="s">
        <v>68</v>
      </c>
      <c r="R3698" t="s">
        <v>68</v>
      </c>
      <c r="S3698" t="s">
        <v>60</v>
      </c>
    </row>
    <row r="3699" spans="1:19" x14ac:dyDescent="0.35">
      <c r="A3699">
        <v>84202</v>
      </c>
      <c r="B3699" t="str">
        <f>"084202"</f>
        <v>084202</v>
      </c>
      <c r="C3699" t="s">
        <v>11273</v>
      </c>
      <c r="D3699" t="s">
        <v>3398</v>
      </c>
      <c r="E3699" t="s">
        <v>9538</v>
      </c>
      <c r="F3699" t="s">
        <v>3396</v>
      </c>
      <c r="G3699" t="s">
        <v>172</v>
      </c>
      <c r="H3699" t="s">
        <v>11274</v>
      </c>
      <c r="I3699" t="s">
        <v>11275</v>
      </c>
      <c r="J3699" t="s">
        <v>600</v>
      </c>
      <c r="K3699" t="s">
        <v>55</v>
      </c>
      <c r="L3699" t="s">
        <v>939</v>
      </c>
      <c r="M3699" t="s">
        <v>57</v>
      </c>
      <c r="N3699" t="str">
        <f>"084202"</f>
        <v>084202</v>
      </c>
      <c r="O3699" t="s">
        <v>11273</v>
      </c>
      <c r="P3699" t="s">
        <v>68</v>
      </c>
      <c r="Q3699" t="s">
        <v>68</v>
      </c>
      <c r="R3699" t="s">
        <v>68</v>
      </c>
      <c r="S3699" t="s">
        <v>217</v>
      </c>
    </row>
    <row r="3700" spans="1:19" x14ac:dyDescent="0.35">
      <c r="A3700">
        <v>84335</v>
      </c>
      <c r="B3700" t="str">
        <f>"084335"</f>
        <v>084335</v>
      </c>
      <c r="C3700" t="s">
        <v>11276</v>
      </c>
      <c r="D3700" t="s">
        <v>3398</v>
      </c>
      <c r="E3700" t="s">
        <v>9538</v>
      </c>
      <c r="F3700" t="s">
        <v>3396</v>
      </c>
      <c r="G3700" t="s">
        <v>117</v>
      </c>
      <c r="H3700" t="s">
        <v>11277</v>
      </c>
      <c r="I3700" t="s">
        <v>11278</v>
      </c>
      <c r="J3700" t="s">
        <v>977</v>
      </c>
      <c r="K3700" t="s">
        <v>55</v>
      </c>
      <c r="L3700" t="s">
        <v>1779</v>
      </c>
      <c r="M3700" t="s">
        <v>57</v>
      </c>
      <c r="N3700" t="str">
        <f>"084335"</f>
        <v>084335</v>
      </c>
      <c r="O3700" t="s">
        <v>11276</v>
      </c>
      <c r="P3700" t="s">
        <v>68</v>
      </c>
      <c r="Q3700" t="s">
        <v>68</v>
      </c>
      <c r="R3700" t="s">
        <v>68</v>
      </c>
      <c r="S3700" t="s">
        <v>77</v>
      </c>
    </row>
    <row r="3701" spans="1:19" x14ac:dyDescent="0.35">
      <c r="A3701">
        <v>84970</v>
      </c>
      <c r="B3701" t="str">
        <f>"084970"</f>
        <v>084970</v>
      </c>
      <c r="C3701" t="s">
        <v>11279</v>
      </c>
      <c r="D3701" t="s">
        <v>3394</v>
      </c>
      <c r="E3701" t="s">
        <v>3395</v>
      </c>
      <c r="F3701" t="s">
        <v>3396</v>
      </c>
      <c r="G3701" t="s">
        <v>1041</v>
      </c>
      <c r="H3701" t="s">
        <v>11280</v>
      </c>
      <c r="I3701" t="s">
        <v>11281</v>
      </c>
      <c r="J3701" t="s">
        <v>1115</v>
      </c>
      <c r="K3701" t="s">
        <v>55</v>
      </c>
      <c r="L3701" t="s">
        <v>1116</v>
      </c>
      <c r="M3701" t="s">
        <v>57</v>
      </c>
      <c r="N3701" t="str">
        <f>"045500"</f>
        <v>045500</v>
      </c>
      <c r="O3701" t="s">
        <v>1112</v>
      </c>
      <c r="P3701" t="s">
        <v>68</v>
      </c>
      <c r="Q3701">
        <v>13.4</v>
      </c>
      <c r="R3701">
        <v>9.9000000000000057</v>
      </c>
      <c r="S3701" t="s">
        <v>217</v>
      </c>
    </row>
    <row r="3702" spans="1:19" x14ac:dyDescent="0.35">
      <c r="A3702">
        <v>84988</v>
      </c>
      <c r="B3702" t="str">
        <f>"084988"</f>
        <v>084988</v>
      </c>
      <c r="C3702" t="s">
        <v>11282</v>
      </c>
      <c r="D3702" t="s">
        <v>3394</v>
      </c>
      <c r="E3702" t="s">
        <v>3395</v>
      </c>
      <c r="F3702" t="s">
        <v>3396</v>
      </c>
      <c r="G3702" t="s">
        <v>1613</v>
      </c>
      <c r="H3702" t="s">
        <v>11283</v>
      </c>
      <c r="I3702" t="s">
        <v>11284</v>
      </c>
      <c r="J3702" t="s">
        <v>3358</v>
      </c>
      <c r="K3702" t="s">
        <v>55</v>
      </c>
      <c r="L3702" t="s">
        <v>3359</v>
      </c>
      <c r="M3702" t="s">
        <v>57</v>
      </c>
      <c r="N3702" t="str">
        <f>"046482"</f>
        <v>046482</v>
      </c>
      <c r="O3702" t="s">
        <v>3355</v>
      </c>
      <c r="P3702" t="s">
        <v>68</v>
      </c>
      <c r="Q3702">
        <v>51.5</v>
      </c>
      <c r="R3702">
        <v>4.2000000000000028</v>
      </c>
      <c r="S3702" t="s">
        <v>130</v>
      </c>
    </row>
    <row r="3703" spans="1:19" x14ac:dyDescent="0.35">
      <c r="A3703">
        <v>85076</v>
      </c>
      <c r="B3703" t="str">
        <f>"085076"</f>
        <v>085076</v>
      </c>
      <c r="C3703" t="s">
        <v>11285</v>
      </c>
      <c r="D3703" t="s">
        <v>3394</v>
      </c>
      <c r="E3703" t="s">
        <v>3395</v>
      </c>
      <c r="F3703" t="s">
        <v>3396</v>
      </c>
      <c r="G3703" t="s">
        <v>52</v>
      </c>
      <c r="H3703" t="s">
        <v>11286</v>
      </c>
      <c r="I3703" t="s">
        <v>11287</v>
      </c>
      <c r="J3703" t="s">
        <v>1956</v>
      </c>
      <c r="K3703" t="s">
        <v>55</v>
      </c>
      <c r="L3703" t="s">
        <v>1957</v>
      </c>
      <c r="M3703" t="s">
        <v>57</v>
      </c>
      <c r="N3703" t="str">
        <f>"047027"</f>
        <v>047027</v>
      </c>
      <c r="O3703" t="s">
        <v>1953</v>
      </c>
      <c r="P3703" t="s">
        <v>68</v>
      </c>
      <c r="Q3703">
        <v>2.8</v>
      </c>
      <c r="R3703">
        <v>39.9</v>
      </c>
      <c r="S3703" t="s">
        <v>60</v>
      </c>
    </row>
    <row r="3704" spans="1:19" x14ac:dyDescent="0.35">
      <c r="A3704">
        <v>85084</v>
      </c>
      <c r="B3704" t="str">
        <f>"085084"</f>
        <v>085084</v>
      </c>
      <c r="C3704" t="s">
        <v>11288</v>
      </c>
      <c r="D3704" t="s">
        <v>3400</v>
      </c>
      <c r="E3704" t="s">
        <v>3395</v>
      </c>
      <c r="F3704" t="s">
        <v>3396</v>
      </c>
      <c r="G3704" t="s">
        <v>1679</v>
      </c>
      <c r="H3704" t="s">
        <v>11289</v>
      </c>
      <c r="I3704" t="s">
        <v>11290</v>
      </c>
      <c r="J3704" t="s">
        <v>4076</v>
      </c>
      <c r="K3704" t="s">
        <v>55</v>
      </c>
      <c r="L3704" t="s">
        <v>4077</v>
      </c>
      <c r="M3704" t="s">
        <v>57</v>
      </c>
      <c r="N3704" t="str">
        <f>"047308"</f>
        <v>047308</v>
      </c>
      <c r="O3704" t="s">
        <v>1678</v>
      </c>
      <c r="P3704" t="s">
        <v>68</v>
      </c>
      <c r="Q3704">
        <v>100</v>
      </c>
      <c r="R3704">
        <v>5.5999999999999943</v>
      </c>
      <c r="S3704" t="s">
        <v>130</v>
      </c>
    </row>
    <row r="3705" spans="1:19" x14ac:dyDescent="0.35">
      <c r="A3705">
        <v>85688</v>
      </c>
      <c r="B3705" t="str">
        <f>"085688"</f>
        <v>085688</v>
      </c>
      <c r="C3705" t="s">
        <v>11291</v>
      </c>
      <c r="D3705" t="s">
        <v>3394</v>
      </c>
      <c r="E3705" t="s">
        <v>9538</v>
      </c>
      <c r="F3705" t="s">
        <v>3396</v>
      </c>
      <c r="G3705" t="s">
        <v>63</v>
      </c>
      <c r="H3705" t="s">
        <v>11292</v>
      </c>
      <c r="I3705" t="s">
        <v>11293</v>
      </c>
      <c r="J3705" t="s">
        <v>8793</v>
      </c>
      <c r="K3705" t="s">
        <v>55</v>
      </c>
      <c r="L3705" t="s">
        <v>2232</v>
      </c>
      <c r="M3705" t="s">
        <v>57</v>
      </c>
      <c r="N3705" t="str">
        <f>"085688"</f>
        <v>085688</v>
      </c>
      <c r="O3705" t="s">
        <v>11291</v>
      </c>
      <c r="P3705" t="s">
        <v>68</v>
      </c>
      <c r="Q3705" t="s">
        <v>68</v>
      </c>
      <c r="R3705" t="s">
        <v>68</v>
      </c>
      <c r="S3705" t="s">
        <v>69</v>
      </c>
    </row>
    <row r="3706" spans="1:19" x14ac:dyDescent="0.35">
      <c r="A3706">
        <v>86033</v>
      </c>
      <c r="B3706" t="str">
        <f>"086033"</f>
        <v>086033</v>
      </c>
      <c r="C3706" t="s">
        <v>11294</v>
      </c>
      <c r="D3706" t="s">
        <v>3394</v>
      </c>
      <c r="E3706" t="s">
        <v>9538</v>
      </c>
      <c r="F3706" t="s">
        <v>3396</v>
      </c>
      <c r="G3706" t="s">
        <v>63</v>
      </c>
      <c r="H3706" t="s">
        <v>11295</v>
      </c>
      <c r="I3706" t="s">
        <v>11296</v>
      </c>
      <c r="J3706" t="s">
        <v>3949</v>
      </c>
      <c r="K3706" t="s">
        <v>55</v>
      </c>
      <c r="L3706" t="s">
        <v>286</v>
      </c>
      <c r="M3706" t="s">
        <v>57</v>
      </c>
      <c r="N3706" t="str">
        <f>"135335"</f>
        <v>135335</v>
      </c>
      <c r="O3706" t="s">
        <v>1841</v>
      </c>
      <c r="P3706" t="s">
        <v>68</v>
      </c>
      <c r="Q3706" t="s">
        <v>68</v>
      </c>
      <c r="R3706" t="s">
        <v>68</v>
      </c>
      <c r="S3706" t="s">
        <v>69</v>
      </c>
    </row>
    <row r="3707" spans="1:19" x14ac:dyDescent="0.35">
      <c r="A3707">
        <v>86389</v>
      </c>
      <c r="B3707" t="str">
        <f>"086389"</f>
        <v>086389</v>
      </c>
      <c r="C3707" t="s">
        <v>11297</v>
      </c>
      <c r="D3707" t="s">
        <v>3394</v>
      </c>
      <c r="E3707" t="s">
        <v>9538</v>
      </c>
      <c r="F3707" t="s">
        <v>3396</v>
      </c>
      <c r="G3707" t="s">
        <v>600</v>
      </c>
      <c r="H3707" t="s">
        <v>11298</v>
      </c>
      <c r="I3707" t="s">
        <v>11299</v>
      </c>
      <c r="J3707" t="s">
        <v>2536</v>
      </c>
      <c r="K3707" t="s">
        <v>55</v>
      </c>
      <c r="L3707" t="s">
        <v>2537</v>
      </c>
      <c r="M3707" t="s">
        <v>57</v>
      </c>
      <c r="N3707" t="str">
        <f>"086389"</f>
        <v>086389</v>
      </c>
      <c r="O3707" t="s">
        <v>11297</v>
      </c>
      <c r="P3707" t="s">
        <v>68</v>
      </c>
      <c r="Q3707" t="s">
        <v>68</v>
      </c>
      <c r="R3707" t="s">
        <v>68</v>
      </c>
      <c r="S3707" t="s">
        <v>60</v>
      </c>
    </row>
    <row r="3708" spans="1:19" x14ac:dyDescent="0.35">
      <c r="A3708">
        <v>86454</v>
      </c>
      <c r="B3708" t="str">
        <f>"086454"</f>
        <v>086454</v>
      </c>
      <c r="C3708" t="s">
        <v>4125</v>
      </c>
      <c r="D3708" t="s">
        <v>3394</v>
      </c>
      <c r="E3708" t="s">
        <v>3395</v>
      </c>
      <c r="F3708" t="s">
        <v>3396</v>
      </c>
      <c r="G3708" t="s">
        <v>600</v>
      </c>
      <c r="H3708" t="s">
        <v>11300</v>
      </c>
      <c r="I3708" t="s">
        <v>11301</v>
      </c>
      <c r="J3708" t="s">
        <v>11302</v>
      </c>
      <c r="K3708" t="s">
        <v>55</v>
      </c>
      <c r="L3708" t="s">
        <v>11303</v>
      </c>
      <c r="M3708" t="s">
        <v>57</v>
      </c>
      <c r="N3708" t="str">
        <f>"045138"</f>
        <v>045138</v>
      </c>
      <c r="O3708" t="s">
        <v>1497</v>
      </c>
      <c r="P3708" t="s">
        <v>68</v>
      </c>
      <c r="Q3708">
        <v>30.2</v>
      </c>
      <c r="R3708">
        <v>29</v>
      </c>
      <c r="S3708" t="s">
        <v>60</v>
      </c>
    </row>
    <row r="3709" spans="1:19" x14ac:dyDescent="0.35">
      <c r="A3709">
        <v>86520</v>
      </c>
      <c r="B3709" t="str">
        <f>"086520"</f>
        <v>086520</v>
      </c>
      <c r="C3709" t="s">
        <v>11304</v>
      </c>
      <c r="D3709" t="s">
        <v>3394</v>
      </c>
      <c r="E3709" t="s">
        <v>9538</v>
      </c>
      <c r="F3709" t="s">
        <v>3396</v>
      </c>
      <c r="G3709" t="s">
        <v>200</v>
      </c>
      <c r="H3709" t="s">
        <v>11305</v>
      </c>
      <c r="I3709" t="s">
        <v>11306</v>
      </c>
      <c r="J3709" t="s">
        <v>304</v>
      </c>
      <c r="K3709" t="s">
        <v>55</v>
      </c>
      <c r="L3709" t="s">
        <v>5763</v>
      </c>
      <c r="M3709" t="s">
        <v>57</v>
      </c>
      <c r="N3709" t="str">
        <f>"086520"</f>
        <v>086520</v>
      </c>
      <c r="O3709" t="s">
        <v>11304</v>
      </c>
      <c r="P3709" t="s">
        <v>68</v>
      </c>
      <c r="Q3709" t="s">
        <v>68</v>
      </c>
      <c r="R3709" t="s">
        <v>68</v>
      </c>
      <c r="S3709" t="s">
        <v>156</v>
      </c>
    </row>
    <row r="3710" spans="1:19" x14ac:dyDescent="0.35">
      <c r="A3710">
        <v>86520</v>
      </c>
      <c r="B3710" t="str">
        <f>"086520"</f>
        <v>086520</v>
      </c>
      <c r="C3710" t="s">
        <v>11304</v>
      </c>
      <c r="D3710" t="s">
        <v>9541</v>
      </c>
      <c r="E3710" t="s">
        <v>9538</v>
      </c>
      <c r="F3710" t="s">
        <v>3396</v>
      </c>
      <c r="G3710" t="s">
        <v>200</v>
      </c>
      <c r="H3710" t="s">
        <v>11305</v>
      </c>
      <c r="I3710" t="s">
        <v>11306</v>
      </c>
      <c r="J3710" t="s">
        <v>304</v>
      </c>
      <c r="K3710" t="s">
        <v>55</v>
      </c>
      <c r="L3710" t="s">
        <v>5763</v>
      </c>
      <c r="M3710" t="s">
        <v>57</v>
      </c>
      <c r="N3710" t="str">
        <f>"086520"</f>
        <v>086520</v>
      </c>
      <c r="O3710" t="s">
        <v>11304</v>
      </c>
      <c r="P3710" t="s">
        <v>68</v>
      </c>
      <c r="Q3710" t="s">
        <v>68</v>
      </c>
      <c r="R3710" t="s">
        <v>68</v>
      </c>
      <c r="S3710" t="s">
        <v>156</v>
      </c>
    </row>
    <row r="3711" spans="1:19" x14ac:dyDescent="0.35">
      <c r="A3711">
        <v>86546</v>
      </c>
      <c r="B3711" t="str">
        <f>"086546"</f>
        <v>086546</v>
      </c>
      <c r="C3711" t="s">
        <v>11307</v>
      </c>
      <c r="D3711" t="s">
        <v>3394</v>
      </c>
      <c r="E3711" t="s">
        <v>9538</v>
      </c>
      <c r="F3711" t="s">
        <v>3396</v>
      </c>
      <c r="G3711" t="s">
        <v>600</v>
      </c>
      <c r="H3711" t="s">
        <v>11308</v>
      </c>
      <c r="I3711" t="s">
        <v>11309</v>
      </c>
      <c r="J3711" t="s">
        <v>1348</v>
      </c>
      <c r="K3711" t="s">
        <v>55</v>
      </c>
      <c r="L3711" t="s">
        <v>4473</v>
      </c>
      <c r="M3711" t="s">
        <v>57</v>
      </c>
      <c r="N3711" t="str">
        <f>"086546"</f>
        <v>086546</v>
      </c>
      <c r="O3711" t="s">
        <v>11307</v>
      </c>
      <c r="P3711" t="s">
        <v>68</v>
      </c>
      <c r="Q3711" t="s">
        <v>68</v>
      </c>
      <c r="R3711" t="s">
        <v>68</v>
      </c>
      <c r="S3711" t="s">
        <v>60</v>
      </c>
    </row>
    <row r="3712" spans="1:19" x14ac:dyDescent="0.35">
      <c r="A3712">
        <v>86579</v>
      </c>
      <c r="B3712" t="str">
        <f>"086579"</f>
        <v>086579</v>
      </c>
      <c r="C3712" t="s">
        <v>5109</v>
      </c>
      <c r="D3712" t="s">
        <v>3394</v>
      </c>
      <c r="E3712" t="s">
        <v>3395</v>
      </c>
      <c r="F3712" t="s">
        <v>3396</v>
      </c>
      <c r="G3712" t="s">
        <v>92</v>
      </c>
      <c r="H3712" t="s">
        <v>11310</v>
      </c>
      <c r="I3712" t="s">
        <v>11311</v>
      </c>
      <c r="J3712" t="s">
        <v>2295</v>
      </c>
      <c r="K3712" t="s">
        <v>55</v>
      </c>
      <c r="L3712" t="s">
        <v>2296</v>
      </c>
      <c r="M3712" t="s">
        <v>57</v>
      </c>
      <c r="N3712" t="str">
        <f>"046896"</f>
        <v>046896</v>
      </c>
      <c r="O3712" t="s">
        <v>2292</v>
      </c>
      <c r="P3712" t="s">
        <v>68</v>
      </c>
      <c r="Q3712">
        <v>37.799999999999997</v>
      </c>
      <c r="R3712">
        <v>54.3</v>
      </c>
      <c r="S3712" t="s">
        <v>60</v>
      </c>
    </row>
    <row r="3713" spans="1:19" x14ac:dyDescent="0.35">
      <c r="A3713">
        <v>86678</v>
      </c>
      <c r="B3713" t="str">
        <f>"086678"</f>
        <v>086678</v>
      </c>
      <c r="C3713" t="s">
        <v>11312</v>
      </c>
      <c r="D3713" t="s">
        <v>3398</v>
      </c>
      <c r="E3713" t="s">
        <v>9538</v>
      </c>
      <c r="F3713" t="s">
        <v>3396</v>
      </c>
      <c r="G3713" t="s">
        <v>63</v>
      </c>
      <c r="H3713" t="s">
        <v>11313</v>
      </c>
      <c r="I3713" t="s">
        <v>11314</v>
      </c>
      <c r="J3713" t="s">
        <v>1844</v>
      </c>
      <c r="K3713" t="s">
        <v>55</v>
      </c>
      <c r="L3713" t="s">
        <v>3424</v>
      </c>
      <c r="M3713" t="s">
        <v>57</v>
      </c>
      <c r="N3713" t="str">
        <f>"135335"</f>
        <v>135335</v>
      </c>
      <c r="O3713" t="s">
        <v>1841</v>
      </c>
      <c r="P3713" t="s">
        <v>68</v>
      </c>
      <c r="Q3713" t="s">
        <v>68</v>
      </c>
      <c r="R3713" t="s">
        <v>68</v>
      </c>
      <c r="S3713" t="s">
        <v>69</v>
      </c>
    </row>
    <row r="3714" spans="1:19" x14ac:dyDescent="0.35">
      <c r="A3714">
        <v>87809</v>
      </c>
      <c r="B3714" t="str">
        <f>"087809"</f>
        <v>087809</v>
      </c>
      <c r="C3714" t="s">
        <v>11315</v>
      </c>
      <c r="D3714" t="s">
        <v>3394</v>
      </c>
      <c r="E3714" t="s">
        <v>9538</v>
      </c>
      <c r="F3714" t="s">
        <v>3396</v>
      </c>
      <c r="G3714" t="s">
        <v>63</v>
      </c>
      <c r="H3714" t="s">
        <v>11316</v>
      </c>
      <c r="I3714" t="s">
        <v>11317</v>
      </c>
      <c r="J3714" t="s">
        <v>285</v>
      </c>
      <c r="K3714" t="s">
        <v>55</v>
      </c>
      <c r="L3714" t="s">
        <v>3561</v>
      </c>
      <c r="M3714" t="s">
        <v>57</v>
      </c>
      <c r="N3714" t="str">
        <f>"087809"</f>
        <v>087809</v>
      </c>
      <c r="O3714" t="s">
        <v>11315</v>
      </c>
      <c r="P3714" t="s">
        <v>68</v>
      </c>
      <c r="Q3714" t="s">
        <v>68</v>
      </c>
      <c r="R3714" t="s">
        <v>68</v>
      </c>
      <c r="S3714" t="s">
        <v>69</v>
      </c>
    </row>
    <row r="3715" spans="1:19" x14ac:dyDescent="0.35">
      <c r="A3715">
        <v>88062</v>
      </c>
      <c r="B3715" t="str">
        <f>"088062"</f>
        <v>088062</v>
      </c>
      <c r="C3715" t="s">
        <v>11318</v>
      </c>
      <c r="D3715" t="s">
        <v>3398</v>
      </c>
      <c r="E3715" t="s">
        <v>9538</v>
      </c>
      <c r="F3715" t="s">
        <v>3396</v>
      </c>
      <c r="G3715" t="s">
        <v>600</v>
      </c>
      <c r="H3715" t="s">
        <v>11319</v>
      </c>
      <c r="I3715" t="s">
        <v>11320</v>
      </c>
      <c r="J3715" t="s">
        <v>1348</v>
      </c>
      <c r="K3715" t="s">
        <v>55</v>
      </c>
      <c r="L3715" t="s">
        <v>3736</v>
      </c>
      <c r="M3715" t="s">
        <v>57</v>
      </c>
      <c r="N3715" t="str">
        <f>"000129"</f>
        <v>000129</v>
      </c>
      <c r="O3715" t="s">
        <v>1284</v>
      </c>
      <c r="P3715" t="s">
        <v>68</v>
      </c>
      <c r="Q3715" t="s">
        <v>68</v>
      </c>
      <c r="R3715" t="s">
        <v>68</v>
      </c>
      <c r="S3715" t="s">
        <v>60</v>
      </c>
    </row>
    <row r="3716" spans="1:19" x14ac:dyDescent="0.35">
      <c r="A3716">
        <v>88070</v>
      </c>
      <c r="B3716" t="str">
        <f>"088070"</f>
        <v>088070</v>
      </c>
      <c r="C3716" t="s">
        <v>11321</v>
      </c>
      <c r="D3716" t="s">
        <v>3394</v>
      </c>
      <c r="E3716" t="s">
        <v>9538</v>
      </c>
      <c r="F3716" t="s">
        <v>3396</v>
      </c>
      <c r="G3716" t="s">
        <v>600</v>
      </c>
      <c r="H3716" t="s">
        <v>11322</v>
      </c>
      <c r="I3716" t="s">
        <v>11323</v>
      </c>
      <c r="J3716" t="s">
        <v>2339</v>
      </c>
      <c r="K3716" t="s">
        <v>55</v>
      </c>
      <c r="L3716" t="s">
        <v>2340</v>
      </c>
      <c r="M3716" t="s">
        <v>57</v>
      </c>
      <c r="N3716" t="str">
        <f>"000136"</f>
        <v>000136</v>
      </c>
      <c r="O3716" t="s">
        <v>2853</v>
      </c>
      <c r="P3716" t="s">
        <v>68</v>
      </c>
      <c r="Q3716" t="s">
        <v>68</v>
      </c>
      <c r="R3716" t="s">
        <v>68</v>
      </c>
      <c r="S3716" t="s">
        <v>60</v>
      </c>
    </row>
    <row r="3717" spans="1:19" x14ac:dyDescent="0.35">
      <c r="A3717">
        <v>88070</v>
      </c>
      <c r="B3717" t="str">
        <f>"088070"</f>
        <v>088070</v>
      </c>
      <c r="C3717" t="s">
        <v>11321</v>
      </c>
      <c r="D3717" t="s">
        <v>9541</v>
      </c>
      <c r="E3717" t="s">
        <v>9538</v>
      </c>
      <c r="F3717" t="s">
        <v>3396</v>
      </c>
      <c r="G3717" t="s">
        <v>600</v>
      </c>
      <c r="H3717" t="s">
        <v>11322</v>
      </c>
      <c r="I3717" t="s">
        <v>11323</v>
      </c>
      <c r="J3717" t="s">
        <v>2339</v>
      </c>
      <c r="K3717" t="s">
        <v>55</v>
      </c>
      <c r="L3717" t="s">
        <v>2340</v>
      </c>
      <c r="M3717" t="s">
        <v>57</v>
      </c>
      <c r="N3717" t="str">
        <f>"000136"</f>
        <v>000136</v>
      </c>
      <c r="O3717" t="s">
        <v>2853</v>
      </c>
      <c r="P3717" t="s">
        <v>68</v>
      </c>
      <c r="Q3717" t="s">
        <v>68</v>
      </c>
      <c r="R3717" t="s">
        <v>68</v>
      </c>
      <c r="S3717" t="s">
        <v>60</v>
      </c>
    </row>
    <row r="3718" spans="1:19" x14ac:dyDescent="0.35">
      <c r="A3718">
        <v>88104</v>
      </c>
      <c r="B3718" t="str">
        <f>"088104"</f>
        <v>088104</v>
      </c>
      <c r="C3718" t="s">
        <v>11324</v>
      </c>
      <c r="D3718" t="s">
        <v>3394</v>
      </c>
      <c r="E3718" t="s">
        <v>9538</v>
      </c>
      <c r="F3718" t="s">
        <v>3396</v>
      </c>
      <c r="G3718" t="s">
        <v>600</v>
      </c>
      <c r="H3718" t="s">
        <v>11325</v>
      </c>
      <c r="I3718" t="s">
        <v>11326</v>
      </c>
      <c r="J3718" t="s">
        <v>1348</v>
      </c>
      <c r="K3718" t="s">
        <v>55</v>
      </c>
      <c r="L3718" t="s">
        <v>4473</v>
      </c>
      <c r="M3718" t="s">
        <v>57</v>
      </c>
      <c r="N3718" t="str">
        <f>"052530"</f>
        <v>052530</v>
      </c>
      <c r="O3718" t="s">
        <v>2009</v>
      </c>
      <c r="P3718" t="s">
        <v>68</v>
      </c>
      <c r="Q3718" t="s">
        <v>68</v>
      </c>
      <c r="R3718" t="s">
        <v>68</v>
      </c>
      <c r="S3718" t="s">
        <v>60</v>
      </c>
    </row>
    <row r="3719" spans="1:19" x14ac:dyDescent="0.35">
      <c r="A3719">
        <v>88112</v>
      </c>
      <c r="B3719" t="str">
        <f>"088112"</f>
        <v>088112</v>
      </c>
      <c r="C3719" t="s">
        <v>11327</v>
      </c>
      <c r="D3719" t="s">
        <v>3400</v>
      </c>
      <c r="E3719" t="s">
        <v>9538</v>
      </c>
      <c r="F3719" t="s">
        <v>3396</v>
      </c>
      <c r="G3719" t="s">
        <v>600</v>
      </c>
      <c r="H3719" t="s">
        <v>11328</v>
      </c>
      <c r="I3719" t="s">
        <v>11329</v>
      </c>
      <c r="J3719" t="s">
        <v>6089</v>
      </c>
      <c r="K3719" t="s">
        <v>55</v>
      </c>
      <c r="L3719" t="s">
        <v>6090</v>
      </c>
      <c r="M3719" t="s">
        <v>57</v>
      </c>
      <c r="N3719" t="str">
        <f>"088112"</f>
        <v>088112</v>
      </c>
      <c r="O3719" t="s">
        <v>11327</v>
      </c>
      <c r="P3719" t="s">
        <v>68</v>
      </c>
      <c r="Q3719" t="s">
        <v>68</v>
      </c>
      <c r="R3719" t="s">
        <v>68</v>
      </c>
      <c r="S3719" t="s">
        <v>60</v>
      </c>
    </row>
    <row r="3720" spans="1:19" x14ac:dyDescent="0.35">
      <c r="A3720">
        <v>88963</v>
      </c>
      <c r="B3720" t="str">
        <f>"088963"</f>
        <v>088963</v>
      </c>
      <c r="C3720" t="s">
        <v>11330</v>
      </c>
      <c r="D3720" t="s">
        <v>3394</v>
      </c>
      <c r="E3720" t="s">
        <v>3395</v>
      </c>
      <c r="F3720" t="s">
        <v>3396</v>
      </c>
      <c r="G3720" t="s">
        <v>250</v>
      </c>
      <c r="H3720" t="s">
        <v>11331</v>
      </c>
      <c r="I3720" t="s">
        <v>11332</v>
      </c>
      <c r="J3720" t="s">
        <v>1585</v>
      </c>
      <c r="K3720" t="s">
        <v>55</v>
      </c>
      <c r="L3720" t="s">
        <v>1586</v>
      </c>
      <c r="M3720" t="s">
        <v>57</v>
      </c>
      <c r="N3720" t="str">
        <f>"046391"</f>
        <v>046391</v>
      </c>
      <c r="O3720" t="s">
        <v>1582</v>
      </c>
      <c r="P3720" t="s">
        <v>68</v>
      </c>
      <c r="Q3720">
        <v>22.8</v>
      </c>
      <c r="R3720">
        <v>3.2000000000000028</v>
      </c>
      <c r="S3720" t="s">
        <v>60</v>
      </c>
    </row>
    <row r="3721" spans="1:19" x14ac:dyDescent="0.35">
      <c r="A3721">
        <v>89409</v>
      </c>
      <c r="B3721" t="str">
        <f>"089409"</f>
        <v>089409</v>
      </c>
      <c r="C3721" t="s">
        <v>11333</v>
      </c>
      <c r="D3721" t="s">
        <v>3394</v>
      </c>
      <c r="E3721" t="s">
        <v>9538</v>
      </c>
      <c r="F3721" t="s">
        <v>3396</v>
      </c>
      <c r="G3721" t="s">
        <v>110</v>
      </c>
      <c r="H3721" t="s">
        <v>11334</v>
      </c>
      <c r="I3721" t="s">
        <v>11335</v>
      </c>
      <c r="J3721" t="s">
        <v>551</v>
      </c>
      <c r="K3721" t="s">
        <v>55</v>
      </c>
      <c r="L3721" t="s">
        <v>552</v>
      </c>
      <c r="M3721" t="s">
        <v>57</v>
      </c>
      <c r="N3721" t="str">
        <f>"000136"</f>
        <v>000136</v>
      </c>
      <c r="O3721" t="s">
        <v>2853</v>
      </c>
      <c r="P3721" t="s">
        <v>68</v>
      </c>
      <c r="Q3721" t="s">
        <v>68</v>
      </c>
      <c r="R3721" t="s">
        <v>68</v>
      </c>
      <c r="S3721" t="s">
        <v>60</v>
      </c>
    </row>
    <row r="3722" spans="1:19" x14ac:dyDescent="0.35">
      <c r="A3722">
        <v>89409</v>
      </c>
      <c r="B3722" t="str">
        <f>"089409"</f>
        <v>089409</v>
      </c>
      <c r="C3722" t="s">
        <v>11333</v>
      </c>
      <c r="D3722" t="s">
        <v>9541</v>
      </c>
      <c r="E3722" t="s">
        <v>9538</v>
      </c>
      <c r="F3722" t="s">
        <v>3396</v>
      </c>
      <c r="G3722" t="s">
        <v>110</v>
      </c>
      <c r="H3722" t="s">
        <v>11334</v>
      </c>
      <c r="I3722" t="s">
        <v>11335</v>
      </c>
      <c r="J3722" t="s">
        <v>551</v>
      </c>
      <c r="K3722" t="s">
        <v>55</v>
      </c>
      <c r="L3722" t="s">
        <v>552</v>
      </c>
      <c r="M3722" t="s">
        <v>57</v>
      </c>
      <c r="N3722" t="str">
        <f>"000136"</f>
        <v>000136</v>
      </c>
      <c r="O3722" t="s">
        <v>2853</v>
      </c>
      <c r="P3722" t="s">
        <v>68</v>
      </c>
      <c r="Q3722" t="s">
        <v>68</v>
      </c>
      <c r="R3722" t="s">
        <v>68</v>
      </c>
      <c r="S3722" t="s">
        <v>60</v>
      </c>
    </row>
    <row r="3723" spans="1:19" x14ac:dyDescent="0.35">
      <c r="A3723">
        <v>89565</v>
      </c>
      <c r="B3723" t="str">
        <f>"089565"</f>
        <v>089565</v>
      </c>
      <c r="C3723" t="s">
        <v>11336</v>
      </c>
      <c r="D3723" t="s">
        <v>3394</v>
      </c>
      <c r="E3723" t="s">
        <v>3395</v>
      </c>
      <c r="F3723" t="s">
        <v>3396</v>
      </c>
      <c r="G3723" t="s">
        <v>1041</v>
      </c>
      <c r="H3723" t="s">
        <v>11337</v>
      </c>
      <c r="I3723" t="s">
        <v>11338</v>
      </c>
      <c r="J3723" t="s">
        <v>3480</v>
      </c>
      <c r="K3723" t="s">
        <v>55</v>
      </c>
      <c r="L3723" t="s">
        <v>3481</v>
      </c>
      <c r="M3723" t="s">
        <v>57</v>
      </c>
      <c r="N3723" t="str">
        <f>"046359"</f>
        <v>046359</v>
      </c>
      <c r="O3723" t="s">
        <v>1040</v>
      </c>
      <c r="P3723" t="s">
        <v>68</v>
      </c>
      <c r="Q3723">
        <v>42.3</v>
      </c>
      <c r="R3723">
        <v>15.599999999999994</v>
      </c>
      <c r="S3723" t="s">
        <v>217</v>
      </c>
    </row>
    <row r="3724" spans="1:19" x14ac:dyDescent="0.35">
      <c r="A3724">
        <v>89599</v>
      </c>
      <c r="B3724" t="str">
        <f>"089599"</f>
        <v>089599</v>
      </c>
      <c r="C3724" t="s">
        <v>11339</v>
      </c>
      <c r="D3724" t="s">
        <v>3394</v>
      </c>
      <c r="E3724" t="s">
        <v>3395</v>
      </c>
      <c r="F3724" t="s">
        <v>3396</v>
      </c>
      <c r="G3724" t="s">
        <v>657</v>
      </c>
      <c r="H3724" t="s">
        <v>11340</v>
      </c>
      <c r="I3724" t="s">
        <v>11341</v>
      </c>
      <c r="J3724" t="s">
        <v>1432</v>
      </c>
      <c r="K3724" t="s">
        <v>55</v>
      </c>
      <c r="L3724" t="s">
        <v>1433</v>
      </c>
      <c r="M3724" t="s">
        <v>57</v>
      </c>
      <c r="N3724" t="str">
        <f>"044255"</f>
        <v>044255</v>
      </c>
      <c r="O3724" t="s">
        <v>1429</v>
      </c>
      <c r="P3724" t="s">
        <v>68</v>
      </c>
      <c r="Q3724">
        <v>48.1</v>
      </c>
      <c r="R3724">
        <v>16.799999999999997</v>
      </c>
      <c r="S3724" t="s">
        <v>60</v>
      </c>
    </row>
    <row r="3725" spans="1:19" x14ac:dyDescent="0.35">
      <c r="A3725">
        <v>89631</v>
      </c>
      <c r="B3725" t="str">
        <f>"089631"</f>
        <v>089631</v>
      </c>
      <c r="C3725" t="s">
        <v>11342</v>
      </c>
      <c r="D3725" t="s">
        <v>3394</v>
      </c>
      <c r="E3725" t="s">
        <v>3395</v>
      </c>
      <c r="F3725" t="s">
        <v>3396</v>
      </c>
      <c r="G3725" t="s">
        <v>135</v>
      </c>
      <c r="H3725" t="s">
        <v>11343</v>
      </c>
      <c r="I3725" t="s">
        <v>11344</v>
      </c>
      <c r="J3725" t="s">
        <v>2434</v>
      </c>
      <c r="K3725" t="s">
        <v>55</v>
      </c>
      <c r="L3725" t="s">
        <v>2435</v>
      </c>
      <c r="M3725" t="s">
        <v>57</v>
      </c>
      <c r="N3725" t="str">
        <f>"044917"</f>
        <v>044917</v>
      </c>
      <c r="O3725" t="s">
        <v>2431</v>
      </c>
      <c r="P3725" t="s">
        <v>68</v>
      </c>
      <c r="Q3725">
        <v>52.2</v>
      </c>
      <c r="R3725">
        <v>8.2000000000000028</v>
      </c>
      <c r="S3725" t="s">
        <v>130</v>
      </c>
    </row>
    <row r="3726" spans="1:19" x14ac:dyDescent="0.35">
      <c r="A3726">
        <v>89649</v>
      </c>
      <c r="B3726" t="str">
        <f>"089649"</f>
        <v>089649</v>
      </c>
      <c r="C3726" t="s">
        <v>11345</v>
      </c>
      <c r="D3726" t="s">
        <v>3394</v>
      </c>
      <c r="E3726" t="s">
        <v>3395</v>
      </c>
      <c r="F3726" t="s">
        <v>3396</v>
      </c>
      <c r="G3726" t="s">
        <v>1359</v>
      </c>
      <c r="H3726" t="s">
        <v>11346</v>
      </c>
      <c r="I3726" t="s">
        <v>11347</v>
      </c>
      <c r="J3726" t="s">
        <v>2343</v>
      </c>
      <c r="K3726" t="s">
        <v>55</v>
      </c>
      <c r="L3726" t="s">
        <v>2344</v>
      </c>
      <c r="M3726" t="s">
        <v>57</v>
      </c>
      <c r="N3726" t="str">
        <f>"048801"</f>
        <v>048801</v>
      </c>
      <c r="O3726" t="s">
        <v>405</v>
      </c>
      <c r="P3726" t="s">
        <v>68</v>
      </c>
      <c r="Q3726">
        <v>25.9</v>
      </c>
      <c r="R3726">
        <v>7.0999999999999943</v>
      </c>
      <c r="S3726" t="s">
        <v>60</v>
      </c>
    </row>
    <row r="3727" spans="1:19" x14ac:dyDescent="0.35">
      <c r="A3727">
        <v>89722</v>
      </c>
      <c r="B3727" t="str">
        <f>"089722"</f>
        <v>089722</v>
      </c>
      <c r="C3727" t="s">
        <v>11348</v>
      </c>
      <c r="D3727" t="s">
        <v>3398</v>
      </c>
      <c r="E3727" t="s">
        <v>9538</v>
      </c>
      <c r="F3727" t="s">
        <v>3396</v>
      </c>
      <c r="G3727" t="s">
        <v>600</v>
      </c>
      <c r="H3727" t="s">
        <v>11349</v>
      </c>
      <c r="I3727" t="s">
        <v>11350</v>
      </c>
      <c r="J3727" t="s">
        <v>1081</v>
      </c>
      <c r="K3727" t="s">
        <v>55</v>
      </c>
      <c r="L3727" t="s">
        <v>1082</v>
      </c>
      <c r="M3727" t="s">
        <v>57</v>
      </c>
      <c r="N3727" t="str">
        <f>"000129"</f>
        <v>000129</v>
      </c>
      <c r="O3727" t="s">
        <v>1284</v>
      </c>
      <c r="P3727" t="s">
        <v>68</v>
      </c>
      <c r="Q3727" t="s">
        <v>68</v>
      </c>
      <c r="R3727" t="s">
        <v>68</v>
      </c>
      <c r="S3727" t="s">
        <v>60</v>
      </c>
    </row>
    <row r="3728" spans="1:19" x14ac:dyDescent="0.35">
      <c r="A3728">
        <v>89979</v>
      </c>
      <c r="B3728" t="str">
        <f>"089979"</f>
        <v>089979</v>
      </c>
      <c r="C3728" t="s">
        <v>11351</v>
      </c>
      <c r="D3728" t="s">
        <v>3398</v>
      </c>
      <c r="E3728" t="s">
        <v>9538</v>
      </c>
      <c r="F3728" t="s">
        <v>3396</v>
      </c>
      <c r="G3728" t="s">
        <v>406</v>
      </c>
      <c r="H3728" t="s">
        <v>11352</v>
      </c>
      <c r="I3728" t="s">
        <v>11353</v>
      </c>
      <c r="J3728" t="s">
        <v>406</v>
      </c>
      <c r="K3728" t="s">
        <v>55</v>
      </c>
      <c r="L3728" t="s">
        <v>409</v>
      </c>
      <c r="M3728" t="s">
        <v>57</v>
      </c>
      <c r="N3728" t="str">
        <f>"089979"</f>
        <v>089979</v>
      </c>
      <c r="O3728" t="s">
        <v>11351</v>
      </c>
      <c r="P3728" t="s">
        <v>68</v>
      </c>
      <c r="Q3728" t="s">
        <v>68</v>
      </c>
      <c r="R3728" t="s">
        <v>68</v>
      </c>
      <c r="S3728" t="s">
        <v>77</v>
      </c>
    </row>
    <row r="3729" spans="1:19" x14ac:dyDescent="0.35">
      <c r="A3729">
        <v>90209</v>
      </c>
      <c r="B3729" t="str">
        <f>"090209"</f>
        <v>090209</v>
      </c>
      <c r="C3729" t="s">
        <v>11354</v>
      </c>
      <c r="D3729" t="s">
        <v>3398</v>
      </c>
      <c r="E3729" t="s">
        <v>9538</v>
      </c>
      <c r="F3729" t="s">
        <v>3396</v>
      </c>
      <c r="G3729" t="s">
        <v>600</v>
      </c>
      <c r="H3729" t="s">
        <v>11355</v>
      </c>
      <c r="I3729" t="s">
        <v>11356</v>
      </c>
      <c r="J3729" t="s">
        <v>1348</v>
      </c>
      <c r="K3729" t="s">
        <v>55</v>
      </c>
      <c r="L3729" t="s">
        <v>5611</v>
      </c>
      <c r="M3729" t="s">
        <v>57</v>
      </c>
      <c r="N3729" t="str">
        <f>"000136"</f>
        <v>000136</v>
      </c>
      <c r="O3729" t="s">
        <v>2853</v>
      </c>
      <c r="P3729" t="s">
        <v>68</v>
      </c>
      <c r="Q3729" t="s">
        <v>68</v>
      </c>
      <c r="R3729" t="s">
        <v>68</v>
      </c>
      <c r="S3729" t="s">
        <v>60</v>
      </c>
    </row>
    <row r="3730" spans="1:19" x14ac:dyDescent="0.35">
      <c r="A3730">
        <v>90209</v>
      </c>
      <c r="B3730" t="str">
        <f>"090209"</f>
        <v>090209</v>
      </c>
      <c r="C3730" t="s">
        <v>11354</v>
      </c>
      <c r="D3730" t="s">
        <v>9541</v>
      </c>
      <c r="E3730" t="s">
        <v>9538</v>
      </c>
      <c r="F3730" t="s">
        <v>3396</v>
      </c>
      <c r="G3730" t="s">
        <v>600</v>
      </c>
      <c r="H3730" t="s">
        <v>11355</v>
      </c>
      <c r="I3730" t="s">
        <v>11356</v>
      </c>
      <c r="J3730" t="s">
        <v>1348</v>
      </c>
      <c r="K3730" t="s">
        <v>55</v>
      </c>
      <c r="L3730" t="s">
        <v>5611</v>
      </c>
      <c r="M3730" t="s">
        <v>57</v>
      </c>
      <c r="N3730" t="str">
        <f>"000136"</f>
        <v>000136</v>
      </c>
      <c r="O3730" t="s">
        <v>2853</v>
      </c>
      <c r="P3730" t="s">
        <v>68</v>
      </c>
      <c r="Q3730" t="s">
        <v>68</v>
      </c>
      <c r="R3730" t="s">
        <v>68</v>
      </c>
      <c r="S3730" t="s">
        <v>60</v>
      </c>
    </row>
    <row r="3731" spans="1:19" x14ac:dyDescent="0.35">
      <c r="A3731">
        <v>90233</v>
      </c>
      <c r="B3731" t="str">
        <f>"090233"</f>
        <v>090233</v>
      </c>
      <c r="C3731" t="s">
        <v>11357</v>
      </c>
      <c r="D3731" t="s">
        <v>3394</v>
      </c>
      <c r="E3731" t="s">
        <v>9538</v>
      </c>
      <c r="F3731" t="s">
        <v>3396</v>
      </c>
      <c r="G3731" t="s">
        <v>325</v>
      </c>
      <c r="H3731" t="s">
        <v>11358</v>
      </c>
      <c r="I3731" t="s">
        <v>11359</v>
      </c>
      <c r="J3731" t="s">
        <v>2819</v>
      </c>
      <c r="K3731" t="s">
        <v>55</v>
      </c>
      <c r="L3731" t="s">
        <v>2820</v>
      </c>
      <c r="M3731" t="s">
        <v>57</v>
      </c>
      <c r="N3731" t="str">
        <f>"090233"</f>
        <v>090233</v>
      </c>
      <c r="O3731" t="s">
        <v>11357</v>
      </c>
      <c r="P3731" t="s">
        <v>68</v>
      </c>
      <c r="Q3731" t="s">
        <v>68</v>
      </c>
      <c r="R3731" t="s">
        <v>68</v>
      </c>
      <c r="S3731" t="s">
        <v>180</v>
      </c>
    </row>
    <row r="3732" spans="1:19" x14ac:dyDescent="0.35">
      <c r="A3732">
        <v>90274</v>
      </c>
      <c r="B3732" t="str">
        <f>"090274"</f>
        <v>090274</v>
      </c>
      <c r="C3732" t="s">
        <v>11360</v>
      </c>
      <c r="D3732" t="s">
        <v>3398</v>
      </c>
      <c r="E3732" t="s">
        <v>9538</v>
      </c>
      <c r="F3732" t="s">
        <v>3396</v>
      </c>
      <c r="G3732" t="s">
        <v>143</v>
      </c>
      <c r="H3732" t="s">
        <v>11361</v>
      </c>
      <c r="I3732" t="s">
        <v>11362</v>
      </c>
      <c r="J3732" t="s">
        <v>528</v>
      </c>
      <c r="K3732" t="s">
        <v>55</v>
      </c>
      <c r="L3732" t="s">
        <v>529</v>
      </c>
      <c r="M3732" t="s">
        <v>57</v>
      </c>
      <c r="N3732" t="str">
        <f>"000129"</f>
        <v>000129</v>
      </c>
      <c r="O3732" t="s">
        <v>1284</v>
      </c>
      <c r="P3732" t="s">
        <v>68</v>
      </c>
      <c r="Q3732" t="s">
        <v>68</v>
      </c>
      <c r="R3732" t="s">
        <v>68</v>
      </c>
      <c r="S3732" t="s">
        <v>69</v>
      </c>
    </row>
    <row r="3733" spans="1:19" x14ac:dyDescent="0.35">
      <c r="A3733">
        <v>90456</v>
      </c>
      <c r="B3733" t="str">
        <f>"090456"</f>
        <v>090456</v>
      </c>
      <c r="C3733" t="s">
        <v>11363</v>
      </c>
      <c r="D3733" t="s">
        <v>3398</v>
      </c>
      <c r="E3733" t="s">
        <v>9538</v>
      </c>
      <c r="F3733" t="s">
        <v>3396</v>
      </c>
      <c r="G3733" t="s">
        <v>169</v>
      </c>
      <c r="H3733" t="s">
        <v>11364</v>
      </c>
      <c r="I3733" t="s">
        <v>11365</v>
      </c>
      <c r="J3733" t="s">
        <v>2973</v>
      </c>
      <c r="K3733" t="s">
        <v>55</v>
      </c>
      <c r="L3733" t="s">
        <v>2974</v>
      </c>
      <c r="M3733" t="s">
        <v>57</v>
      </c>
      <c r="N3733" t="str">
        <f>"090456"</f>
        <v>090456</v>
      </c>
      <c r="O3733" t="s">
        <v>11363</v>
      </c>
      <c r="P3733" t="s">
        <v>68</v>
      </c>
      <c r="Q3733" t="s">
        <v>68</v>
      </c>
      <c r="R3733" t="s">
        <v>68</v>
      </c>
      <c r="S3733" t="s">
        <v>77</v>
      </c>
    </row>
    <row r="3734" spans="1:19" x14ac:dyDescent="0.35">
      <c r="A3734">
        <v>90464</v>
      </c>
      <c r="B3734" t="str">
        <f>"090464"</f>
        <v>090464</v>
      </c>
      <c r="C3734" t="s">
        <v>11366</v>
      </c>
      <c r="D3734" t="s">
        <v>3394</v>
      </c>
      <c r="E3734" t="s">
        <v>9538</v>
      </c>
      <c r="F3734" t="s">
        <v>3396</v>
      </c>
      <c r="G3734" t="s">
        <v>481</v>
      </c>
      <c r="H3734" t="s">
        <v>11367</v>
      </c>
      <c r="I3734" t="s">
        <v>11368</v>
      </c>
      <c r="J3734" t="s">
        <v>876</v>
      </c>
      <c r="K3734" t="s">
        <v>55</v>
      </c>
      <c r="L3734" t="s">
        <v>819</v>
      </c>
      <c r="M3734" t="s">
        <v>57</v>
      </c>
      <c r="N3734" t="str">
        <f>"052597"</f>
        <v>052597</v>
      </c>
      <c r="O3734" t="s">
        <v>2565</v>
      </c>
      <c r="P3734" t="s">
        <v>68</v>
      </c>
      <c r="Q3734" t="s">
        <v>68</v>
      </c>
      <c r="R3734" t="s">
        <v>68</v>
      </c>
      <c r="S3734" t="s">
        <v>69</v>
      </c>
    </row>
    <row r="3735" spans="1:19" x14ac:dyDescent="0.35">
      <c r="A3735">
        <v>90472</v>
      </c>
      <c r="B3735" t="str">
        <f>"090472"</f>
        <v>090472</v>
      </c>
      <c r="C3735" t="s">
        <v>11369</v>
      </c>
      <c r="D3735" t="s">
        <v>3394</v>
      </c>
      <c r="E3735" t="s">
        <v>9538</v>
      </c>
      <c r="F3735" t="s">
        <v>3396</v>
      </c>
      <c r="G3735" t="s">
        <v>600</v>
      </c>
      <c r="H3735" t="s">
        <v>11370</v>
      </c>
      <c r="I3735" t="s">
        <v>11371</v>
      </c>
      <c r="J3735" t="s">
        <v>1348</v>
      </c>
      <c r="K3735" t="s">
        <v>55</v>
      </c>
      <c r="L3735" t="s">
        <v>4840</v>
      </c>
      <c r="M3735" t="s">
        <v>57</v>
      </c>
      <c r="N3735" t="str">
        <f>"090472"</f>
        <v>090472</v>
      </c>
      <c r="O3735" t="s">
        <v>11369</v>
      </c>
      <c r="P3735" t="s">
        <v>68</v>
      </c>
      <c r="Q3735" t="s">
        <v>68</v>
      </c>
      <c r="R3735" t="s">
        <v>68</v>
      </c>
      <c r="S3735" t="s">
        <v>60</v>
      </c>
    </row>
    <row r="3736" spans="1:19" x14ac:dyDescent="0.35">
      <c r="A3736">
        <v>90746</v>
      </c>
      <c r="B3736" t="str">
        <f>"090746"</f>
        <v>090746</v>
      </c>
      <c r="C3736" t="s">
        <v>11372</v>
      </c>
      <c r="D3736" t="s">
        <v>3394</v>
      </c>
      <c r="E3736" t="s">
        <v>9538</v>
      </c>
      <c r="F3736" t="s">
        <v>3396</v>
      </c>
      <c r="G3736" t="s">
        <v>621</v>
      </c>
      <c r="H3736" t="s">
        <v>11373</v>
      </c>
      <c r="I3736" t="s">
        <v>11374</v>
      </c>
      <c r="J3736" t="s">
        <v>624</v>
      </c>
      <c r="K3736" t="s">
        <v>55</v>
      </c>
      <c r="L3736" t="s">
        <v>625</v>
      </c>
      <c r="M3736" t="s">
        <v>57</v>
      </c>
      <c r="N3736" t="str">
        <f>"090746"</f>
        <v>090746</v>
      </c>
      <c r="O3736" t="s">
        <v>11372</v>
      </c>
      <c r="P3736" t="s">
        <v>68</v>
      </c>
      <c r="Q3736" t="s">
        <v>68</v>
      </c>
      <c r="R3736" t="s">
        <v>68</v>
      </c>
      <c r="S3736" t="s">
        <v>130</v>
      </c>
    </row>
    <row r="3737" spans="1:19" x14ac:dyDescent="0.35">
      <c r="A3737">
        <v>91314</v>
      </c>
      <c r="B3737" t="str">
        <f>"091314"</f>
        <v>091314</v>
      </c>
      <c r="C3737" t="s">
        <v>11375</v>
      </c>
      <c r="D3737" t="s">
        <v>3394</v>
      </c>
      <c r="E3737" t="s">
        <v>9538</v>
      </c>
      <c r="F3737" t="s">
        <v>3396</v>
      </c>
      <c r="G3737" t="s">
        <v>63</v>
      </c>
      <c r="H3737" t="s">
        <v>11376</v>
      </c>
      <c r="I3737" t="s">
        <v>11377</v>
      </c>
      <c r="J3737" t="s">
        <v>3051</v>
      </c>
      <c r="K3737" t="s">
        <v>55</v>
      </c>
      <c r="L3737" t="s">
        <v>3052</v>
      </c>
      <c r="M3737" t="s">
        <v>57</v>
      </c>
      <c r="N3737" t="str">
        <f>"091314"</f>
        <v>091314</v>
      </c>
      <c r="O3737" t="s">
        <v>11375</v>
      </c>
      <c r="P3737" t="s">
        <v>68</v>
      </c>
      <c r="Q3737" t="s">
        <v>68</v>
      </c>
      <c r="R3737" t="s">
        <v>68</v>
      </c>
      <c r="S3737" t="s">
        <v>69</v>
      </c>
    </row>
    <row r="3738" spans="1:19" x14ac:dyDescent="0.35">
      <c r="A3738">
        <v>91314</v>
      </c>
      <c r="B3738" t="str">
        <f>"091314"</f>
        <v>091314</v>
      </c>
      <c r="C3738" t="s">
        <v>11375</v>
      </c>
      <c r="D3738" t="s">
        <v>9541</v>
      </c>
      <c r="E3738" t="s">
        <v>9538</v>
      </c>
      <c r="F3738" t="s">
        <v>3396</v>
      </c>
      <c r="G3738" t="s">
        <v>63</v>
      </c>
      <c r="H3738" t="s">
        <v>11376</v>
      </c>
      <c r="I3738" t="s">
        <v>11377</v>
      </c>
      <c r="J3738" t="s">
        <v>3051</v>
      </c>
      <c r="K3738" t="s">
        <v>55</v>
      </c>
      <c r="L3738" t="s">
        <v>3052</v>
      </c>
      <c r="M3738" t="s">
        <v>57</v>
      </c>
      <c r="N3738" t="str">
        <f>"091314"</f>
        <v>091314</v>
      </c>
      <c r="O3738" t="s">
        <v>11375</v>
      </c>
      <c r="P3738" t="s">
        <v>68</v>
      </c>
      <c r="Q3738" t="s">
        <v>68</v>
      </c>
      <c r="R3738" t="s">
        <v>68</v>
      </c>
      <c r="S3738" t="s">
        <v>69</v>
      </c>
    </row>
    <row r="3739" spans="1:19" x14ac:dyDescent="0.35">
      <c r="A3739">
        <v>91363</v>
      </c>
      <c r="B3739" t="str">
        <f>"091363"</f>
        <v>091363</v>
      </c>
      <c r="C3739" t="s">
        <v>11378</v>
      </c>
      <c r="D3739" t="s">
        <v>3394</v>
      </c>
      <c r="E3739" t="s">
        <v>3395</v>
      </c>
      <c r="F3739" t="s">
        <v>3396</v>
      </c>
      <c r="G3739" t="s">
        <v>2212</v>
      </c>
      <c r="H3739" t="s">
        <v>2213</v>
      </c>
      <c r="I3739" t="s">
        <v>2214</v>
      </c>
      <c r="J3739" t="s">
        <v>2215</v>
      </c>
      <c r="K3739" t="s">
        <v>55</v>
      </c>
      <c r="L3739" t="s">
        <v>2216</v>
      </c>
      <c r="M3739" t="s">
        <v>57</v>
      </c>
      <c r="N3739" t="str">
        <f>"048900"</f>
        <v>048900</v>
      </c>
      <c r="O3739" t="s">
        <v>2211</v>
      </c>
      <c r="P3739" t="s">
        <v>68</v>
      </c>
      <c r="Q3739">
        <v>40.700000000000003</v>
      </c>
      <c r="R3739">
        <v>3.7000000000000028</v>
      </c>
      <c r="S3739" t="s">
        <v>130</v>
      </c>
    </row>
    <row r="3740" spans="1:19" x14ac:dyDescent="0.35">
      <c r="A3740">
        <v>91371</v>
      </c>
      <c r="B3740" t="str">
        <f>"091371"</f>
        <v>091371</v>
      </c>
      <c r="C3740" t="s">
        <v>11379</v>
      </c>
      <c r="D3740" t="s">
        <v>3400</v>
      </c>
      <c r="E3740" t="s">
        <v>3395</v>
      </c>
      <c r="F3740" t="s">
        <v>3396</v>
      </c>
      <c r="G3740" t="s">
        <v>1948</v>
      </c>
      <c r="H3740" t="s">
        <v>3279</v>
      </c>
      <c r="I3740" t="s">
        <v>3280</v>
      </c>
      <c r="J3740" t="s">
        <v>3281</v>
      </c>
      <c r="K3740" t="s">
        <v>55</v>
      </c>
      <c r="L3740" t="s">
        <v>3282</v>
      </c>
      <c r="M3740" t="s">
        <v>57</v>
      </c>
      <c r="N3740" t="str">
        <f>"050328"</f>
        <v>050328</v>
      </c>
      <c r="O3740" t="s">
        <v>3278</v>
      </c>
      <c r="P3740" t="s">
        <v>68</v>
      </c>
      <c r="Q3740">
        <v>20.6</v>
      </c>
      <c r="R3740">
        <v>7.2999999999999972</v>
      </c>
      <c r="S3740" t="s">
        <v>60</v>
      </c>
    </row>
    <row r="3741" spans="1:19" x14ac:dyDescent="0.35">
      <c r="A3741">
        <v>91389</v>
      </c>
      <c r="B3741" t="str">
        <f>"091389"</f>
        <v>091389</v>
      </c>
      <c r="C3741" t="s">
        <v>11380</v>
      </c>
      <c r="D3741" t="s">
        <v>3400</v>
      </c>
      <c r="E3741" t="s">
        <v>3395</v>
      </c>
      <c r="F3741" t="s">
        <v>3396</v>
      </c>
      <c r="G3741" t="s">
        <v>493</v>
      </c>
      <c r="H3741" t="s">
        <v>2524</v>
      </c>
      <c r="I3741" t="s">
        <v>2525</v>
      </c>
      <c r="J3741" t="s">
        <v>2526</v>
      </c>
      <c r="K3741" t="s">
        <v>55</v>
      </c>
      <c r="L3741" t="s">
        <v>2527</v>
      </c>
      <c r="M3741" t="s">
        <v>57</v>
      </c>
      <c r="N3741" t="str">
        <f>"045914"</f>
        <v>045914</v>
      </c>
      <c r="O3741" t="s">
        <v>2523</v>
      </c>
      <c r="P3741" t="s">
        <v>68</v>
      </c>
      <c r="Q3741">
        <v>100</v>
      </c>
      <c r="R3741">
        <v>3.9000000000000057</v>
      </c>
      <c r="S3741" t="s">
        <v>130</v>
      </c>
    </row>
    <row r="3742" spans="1:19" x14ac:dyDescent="0.35">
      <c r="A3742">
        <v>91777</v>
      </c>
      <c r="B3742" t="str">
        <f>"091777"</f>
        <v>091777</v>
      </c>
      <c r="C3742" t="s">
        <v>11381</v>
      </c>
      <c r="D3742" t="s">
        <v>3394</v>
      </c>
      <c r="E3742" t="s">
        <v>9538</v>
      </c>
      <c r="F3742" t="s">
        <v>3396</v>
      </c>
      <c r="G3742" t="s">
        <v>600</v>
      </c>
      <c r="H3742" t="s">
        <v>11382</v>
      </c>
      <c r="I3742" t="s">
        <v>11383</v>
      </c>
      <c r="J3742" t="s">
        <v>1348</v>
      </c>
      <c r="K3742" t="s">
        <v>55</v>
      </c>
      <c r="L3742" t="s">
        <v>4444</v>
      </c>
      <c r="M3742" t="s">
        <v>57</v>
      </c>
      <c r="N3742" t="str">
        <f>"091777"</f>
        <v>091777</v>
      </c>
      <c r="O3742" t="s">
        <v>11381</v>
      </c>
      <c r="P3742" t="s">
        <v>68</v>
      </c>
      <c r="Q3742" t="s">
        <v>68</v>
      </c>
      <c r="R3742" t="s">
        <v>68</v>
      </c>
      <c r="S3742" t="s">
        <v>60</v>
      </c>
    </row>
    <row r="3743" spans="1:19" x14ac:dyDescent="0.35">
      <c r="A3743">
        <v>92247</v>
      </c>
      <c r="B3743" t="str">
        <f>"092247"</f>
        <v>092247</v>
      </c>
      <c r="C3743" t="s">
        <v>11384</v>
      </c>
      <c r="D3743" t="s">
        <v>3398</v>
      </c>
      <c r="E3743" t="s">
        <v>9538</v>
      </c>
      <c r="F3743" t="s">
        <v>3396</v>
      </c>
      <c r="G3743" t="s">
        <v>1359</v>
      </c>
      <c r="H3743" t="s">
        <v>11385</v>
      </c>
      <c r="I3743" t="s">
        <v>11386</v>
      </c>
      <c r="J3743" t="s">
        <v>1374</v>
      </c>
      <c r="K3743" t="s">
        <v>55</v>
      </c>
      <c r="L3743" t="s">
        <v>1375</v>
      </c>
      <c r="M3743" t="s">
        <v>57</v>
      </c>
      <c r="N3743" t="str">
        <f>"000129"</f>
        <v>000129</v>
      </c>
      <c r="O3743" t="s">
        <v>1284</v>
      </c>
      <c r="P3743" t="s">
        <v>68</v>
      </c>
      <c r="Q3743" t="s">
        <v>68</v>
      </c>
      <c r="R3743" t="s">
        <v>68</v>
      </c>
      <c r="S3743" t="s">
        <v>60</v>
      </c>
    </row>
    <row r="3744" spans="1:19" x14ac:dyDescent="0.35">
      <c r="A3744">
        <v>92726</v>
      </c>
      <c r="B3744" t="str">
        <f>"092726"</f>
        <v>092726</v>
      </c>
      <c r="C3744" t="s">
        <v>7981</v>
      </c>
      <c r="D3744" t="s">
        <v>3394</v>
      </c>
      <c r="E3744" t="s">
        <v>3395</v>
      </c>
      <c r="F3744" t="s">
        <v>3396</v>
      </c>
      <c r="G3744" t="s">
        <v>600</v>
      </c>
      <c r="H3744" t="s">
        <v>11387</v>
      </c>
      <c r="I3744" t="s">
        <v>11388</v>
      </c>
      <c r="J3744" t="s">
        <v>1956</v>
      </c>
      <c r="K3744" t="s">
        <v>55</v>
      </c>
      <c r="L3744" t="s">
        <v>1957</v>
      </c>
      <c r="M3744" t="s">
        <v>57</v>
      </c>
      <c r="N3744" t="str">
        <f>"047027"</f>
        <v>047027</v>
      </c>
      <c r="O3744" t="s">
        <v>1953</v>
      </c>
      <c r="P3744" t="s">
        <v>68</v>
      </c>
      <c r="Q3744">
        <v>36.4</v>
      </c>
      <c r="R3744">
        <v>43.6</v>
      </c>
      <c r="S3744" t="s">
        <v>60</v>
      </c>
    </row>
    <row r="3745" spans="1:19" x14ac:dyDescent="0.35">
      <c r="A3745">
        <v>93021</v>
      </c>
      <c r="B3745" t="str">
        <f>"093021"</f>
        <v>093021</v>
      </c>
      <c r="C3745" t="s">
        <v>11389</v>
      </c>
      <c r="D3745" t="s">
        <v>3394</v>
      </c>
      <c r="E3745" t="s">
        <v>9538</v>
      </c>
      <c r="F3745" t="s">
        <v>3396</v>
      </c>
      <c r="G3745" t="s">
        <v>244</v>
      </c>
      <c r="H3745" t="s">
        <v>11390</v>
      </c>
      <c r="I3745" t="s">
        <v>11391</v>
      </c>
      <c r="J3745" t="s">
        <v>1748</v>
      </c>
      <c r="K3745" t="s">
        <v>55</v>
      </c>
      <c r="L3745" t="s">
        <v>1749</v>
      </c>
      <c r="M3745" t="s">
        <v>57</v>
      </c>
      <c r="N3745" t="str">
        <f>"000136"</f>
        <v>000136</v>
      </c>
      <c r="O3745" t="s">
        <v>2853</v>
      </c>
      <c r="P3745" t="s">
        <v>68</v>
      </c>
      <c r="Q3745" t="s">
        <v>68</v>
      </c>
      <c r="R3745" t="s">
        <v>68</v>
      </c>
      <c r="S3745" t="s">
        <v>217</v>
      </c>
    </row>
    <row r="3746" spans="1:19" x14ac:dyDescent="0.35">
      <c r="A3746">
        <v>93021</v>
      </c>
      <c r="B3746" t="str">
        <f>"093021"</f>
        <v>093021</v>
      </c>
      <c r="C3746" t="s">
        <v>11389</v>
      </c>
      <c r="D3746" t="s">
        <v>9541</v>
      </c>
      <c r="E3746" t="s">
        <v>9538</v>
      </c>
      <c r="F3746" t="s">
        <v>3396</v>
      </c>
      <c r="G3746" t="s">
        <v>244</v>
      </c>
      <c r="H3746" t="s">
        <v>11390</v>
      </c>
      <c r="I3746" t="s">
        <v>11391</v>
      </c>
      <c r="J3746" t="s">
        <v>1748</v>
      </c>
      <c r="K3746" t="s">
        <v>55</v>
      </c>
      <c r="L3746" t="s">
        <v>1749</v>
      </c>
      <c r="M3746" t="s">
        <v>57</v>
      </c>
      <c r="N3746" t="str">
        <f>"000136"</f>
        <v>000136</v>
      </c>
      <c r="O3746" t="s">
        <v>2853</v>
      </c>
      <c r="P3746" t="s">
        <v>68</v>
      </c>
      <c r="Q3746" t="s">
        <v>68</v>
      </c>
      <c r="R3746" t="s">
        <v>68</v>
      </c>
      <c r="S3746" t="s">
        <v>217</v>
      </c>
    </row>
    <row r="3747" spans="1:19" x14ac:dyDescent="0.35">
      <c r="A3747">
        <v>93039</v>
      </c>
      <c r="B3747" t="str">
        <f>"093039"</f>
        <v>093039</v>
      </c>
      <c r="C3747" t="s">
        <v>11392</v>
      </c>
      <c r="D3747" t="s">
        <v>3394</v>
      </c>
      <c r="E3747" t="s">
        <v>9538</v>
      </c>
      <c r="F3747" t="s">
        <v>3396</v>
      </c>
      <c r="G3747" t="s">
        <v>63</v>
      </c>
      <c r="H3747" t="s">
        <v>11393</v>
      </c>
      <c r="I3747" t="s">
        <v>11394</v>
      </c>
      <c r="J3747" t="s">
        <v>140</v>
      </c>
      <c r="K3747" t="s">
        <v>55</v>
      </c>
      <c r="L3747" t="s">
        <v>141</v>
      </c>
      <c r="M3747" t="s">
        <v>57</v>
      </c>
      <c r="N3747" t="str">
        <f>"093039"</f>
        <v>093039</v>
      </c>
      <c r="O3747" t="s">
        <v>11392</v>
      </c>
      <c r="P3747" t="s">
        <v>68</v>
      </c>
      <c r="Q3747" t="s">
        <v>68</v>
      </c>
      <c r="R3747" t="s">
        <v>68</v>
      </c>
      <c r="S3747" t="s">
        <v>69</v>
      </c>
    </row>
    <row r="3748" spans="1:19" x14ac:dyDescent="0.35">
      <c r="A3748">
        <v>93039</v>
      </c>
      <c r="B3748" t="str">
        <f>"093039"</f>
        <v>093039</v>
      </c>
      <c r="C3748" t="s">
        <v>11392</v>
      </c>
      <c r="D3748" t="s">
        <v>9541</v>
      </c>
      <c r="E3748" t="s">
        <v>9538</v>
      </c>
      <c r="F3748" t="s">
        <v>3396</v>
      </c>
      <c r="G3748" t="s">
        <v>63</v>
      </c>
      <c r="H3748" t="s">
        <v>11393</v>
      </c>
      <c r="I3748" t="s">
        <v>11394</v>
      </c>
      <c r="J3748" t="s">
        <v>140</v>
      </c>
      <c r="K3748" t="s">
        <v>55</v>
      </c>
      <c r="L3748" t="s">
        <v>141</v>
      </c>
      <c r="M3748" t="s">
        <v>57</v>
      </c>
      <c r="N3748" t="str">
        <f>"093039"</f>
        <v>093039</v>
      </c>
      <c r="O3748" t="s">
        <v>11392</v>
      </c>
      <c r="P3748" t="s">
        <v>68</v>
      </c>
      <c r="Q3748" t="s">
        <v>68</v>
      </c>
      <c r="R3748" t="s">
        <v>68</v>
      </c>
      <c r="S3748" t="s">
        <v>69</v>
      </c>
    </row>
    <row r="3749" spans="1:19" x14ac:dyDescent="0.35">
      <c r="A3749">
        <v>93195</v>
      </c>
      <c r="B3749" t="str">
        <f>"093195"</f>
        <v>093195</v>
      </c>
      <c r="C3749" t="s">
        <v>11395</v>
      </c>
      <c r="D3749" t="s">
        <v>3506</v>
      </c>
      <c r="E3749" t="s">
        <v>3395</v>
      </c>
      <c r="F3749" t="s">
        <v>3396</v>
      </c>
      <c r="G3749" t="s">
        <v>543</v>
      </c>
      <c r="H3749" t="s">
        <v>7481</v>
      </c>
      <c r="I3749" t="s">
        <v>7482</v>
      </c>
      <c r="J3749" t="s">
        <v>687</v>
      </c>
      <c r="K3749" t="s">
        <v>55</v>
      </c>
      <c r="L3749" t="s">
        <v>2846</v>
      </c>
      <c r="M3749" t="s">
        <v>57</v>
      </c>
      <c r="N3749" t="str">
        <f>"044586"</f>
        <v>044586</v>
      </c>
      <c r="O3749" t="s">
        <v>1367</v>
      </c>
      <c r="P3749" t="s">
        <v>68</v>
      </c>
      <c r="Q3749">
        <v>0</v>
      </c>
      <c r="R3749">
        <v>21.599999999999994</v>
      </c>
      <c r="S3749" t="s">
        <v>180</v>
      </c>
    </row>
    <row r="3750" spans="1:19" x14ac:dyDescent="0.35">
      <c r="A3750">
        <v>93757</v>
      </c>
      <c r="B3750" t="str">
        <f>"093757"</f>
        <v>093757</v>
      </c>
      <c r="C3750" t="s">
        <v>11396</v>
      </c>
      <c r="D3750" t="s">
        <v>3398</v>
      </c>
      <c r="E3750" t="s">
        <v>9538</v>
      </c>
      <c r="F3750" t="s">
        <v>3396</v>
      </c>
      <c r="G3750" t="s">
        <v>63</v>
      </c>
      <c r="H3750" t="s">
        <v>11397</v>
      </c>
      <c r="I3750" t="s">
        <v>11398</v>
      </c>
      <c r="J3750" t="s">
        <v>3031</v>
      </c>
      <c r="K3750" t="s">
        <v>55</v>
      </c>
      <c r="L3750" t="s">
        <v>3032</v>
      </c>
      <c r="M3750" t="s">
        <v>57</v>
      </c>
      <c r="N3750" t="str">
        <f>"135335"</f>
        <v>135335</v>
      </c>
      <c r="O3750" t="s">
        <v>1841</v>
      </c>
      <c r="P3750" t="s">
        <v>68</v>
      </c>
      <c r="Q3750" t="s">
        <v>68</v>
      </c>
      <c r="R3750" t="s">
        <v>68</v>
      </c>
      <c r="S3750" t="s">
        <v>69</v>
      </c>
    </row>
    <row r="3751" spans="1:19" x14ac:dyDescent="0.35">
      <c r="A3751">
        <v>93864</v>
      </c>
      <c r="B3751" t="str">
        <f>"093864"</f>
        <v>093864</v>
      </c>
      <c r="C3751" t="s">
        <v>11399</v>
      </c>
      <c r="D3751" t="s">
        <v>3394</v>
      </c>
      <c r="E3751" t="s">
        <v>9538</v>
      </c>
      <c r="F3751" t="s">
        <v>3396</v>
      </c>
      <c r="G3751" t="s">
        <v>901</v>
      </c>
      <c r="H3751" t="s">
        <v>11400</v>
      </c>
      <c r="I3751" t="s">
        <v>11401</v>
      </c>
      <c r="J3751" t="s">
        <v>904</v>
      </c>
      <c r="K3751" t="s">
        <v>55</v>
      </c>
      <c r="L3751" t="s">
        <v>905</v>
      </c>
      <c r="M3751" t="s">
        <v>57</v>
      </c>
      <c r="N3751" t="str">
        <f>"093864"</f>
        <v>093864</v>
      </c>
      <c r="O3751" t="s">
        <v>11399</v>
      </c>
      <c r="P3751" t="s">
        <v>68</v>
      </c>
      <c r="Q3751" t="s">
        <v>68</v>
      </c>
      <c r="R3751" t="s">
        <v>68</v>
      </c>
      <c r="S3751" t="s">
        <v>60</v>
      </c>
    </row>
    <row r="3752" spans="1:19" x14ac:dyDescent="0.35">
      <c r="A3752">
        <v>94250</v>
      </c>
      <c r="B3752" t="str">
        <f>"094250"</f>
        <v>094250</v>
      </c>
      <c r="C3752" t="s">
        <v>11402</v>
      </c>
      <c r="D3752" t="s">
        <v>3394</v>
      </c>
      <c r="E3752" t="s">
        <v>9538</v>
      </c>
      <c r="F3752" t="s">
        <v>3396</v>
      </c>
      <c r="G3752" t="s">
        <v>481</v>
      </c>
      <c r="H3752" t="s">
        <v>11403</v>
      </c>
      <c r="I3752" t="s">
        <v>11404</v>
      </c>
      <c r="J3752" t="s">
        <v>876</v>
      </c>
      <c r="K3752" t="s">
        <v>55</v>
      </c>
      <c r="L3752" t="s">
        <v>819</v>
      </c>
      <c r="M3752" t="s">
        <v>57</v>
      </c>
      <c r="N3752" t="str">
        <f>"094250"</f>
        <v>094250</v>
      </c>
      <c r="O3752" t="s">
        <v>11402</v>
      </c>
      <c r="P3752" t="s">
        <v>68</v>
      </c>
      <c r="Q3752" t="s">
        <v>68</v>
      </c>
      <c r="R3752" t="s">
        <v>68</v>
      </c>
      <c r="S3752" t="s">
        <v>69</v>
      </c>
    </row>
    <row r="3753" spans="1:19" x14ac:dyDescent="0.35">
      <c r="A3753">
        <v>94250</v>
      </c>
      <c r="B3753" t="str">
        <f>"094250"</f>
        <v>094250</v>
      </c>
      <c r="C3753" t="s">
        <v>11402</v>
      </c>
      <c r="D3753" t="s">
        <v>9541</v>
      </c>
      <c r="E3753" t="s">
        <v>9538</v>
      </c>
      <c r="F3753" t="s">
        <v>3396</v>
      </c>
      <c r="G3753" t="s">
        <v>481</v>
      </c>
      <c r="H3753" t="s">
        <v>11403</v>
      </c>
      <c r="I3753" t="s">
        <v>11404</v>
      </c>
      <c r="J3753" t="s">
        <v>876</v>
      </c>
      <c r="K3753" t="s">
        <v>55</v>
      </c>
      <c r="L3753" t="s">
        <v>819</v>
      </c>
      <c r="M3753" t="s">
        <v>57</v>
      </c>
      <c r="N3753" t="str">
        <f>"094250"</f>
        <v>094250</v>
      </c>
      <c r="O3753" t="s">
        <v>11402</v>
      </c>
      <c r="P3753" t="s">
        <v>68</v>
      </c>
      <c r="Q3753" t="s">
        <v>68</v>
      </c>
      <c r="R3753" t="s">
        <v>68</v>
      </c>
      <c r="S3753" t="s">
        <v>69</v>
      </c>
    </row>
    <row r="3754" spans="1:19" x14ac:dyDescent="0.35">
      <c r="A3754">
        <v>94268</v>
      </c>
      <c r="B3754" t="str">
        <f>"094268"</f>
        <v>094268</v>
      </c>
      <c r="C3754" t="s">
        <v>11405</v>
      </c>
      <c r="D3754" t="s">
        <v>3394</v>
      </c>
      <c r="E3754" t="s">
        <v>9538</v>
      </c>
      <c r="F3754" t="s">
        <v>3396</v>
      </c>
      <c r="G3754" t="s">
        <v>63</v>
      </c>
      <c r="H3754" t="s">
        <v>11406</v>
      </c>
      <c r="I3754" t="s">
        <v>11407</v>
      </c>
      <c r="J3754" t="s">
        <v>66</v>
      </c>
      <c r="K3754" t="s">
        <v>55</v>
      </c>
      <c r="L3754" t="s">
        <v>2232</v>
      </c>
      <c r="M3754" t="s">
        <v>57</v>
      </c>
      <c r="N3754" t="str">
        <f>"094268"</f>
        <v>094268</v>
      </c>
      <c r="O3754" t="s">
        <v>11405</v>
      </c>
      <c r="P3754" t="s">
        <v>68</v>
      </c>
      <c r="Q3754" t="s">
        <v>68</v>
      </c>
      <c r="R3754" t="s">
        <v>68</v>
      </c>
      <c r="S3754" t="s">
        <v>69</v>
      </c>
    </row>
    <row r="3755" spans="1:19" x14ac:dyDescent="0.35">
      <c r="A3755">
        <v>94490</v>
      </c>
      <c r="B3755" t="str">
        <f>"094490"</f>
        <v>094490</v>
      </c>
      <c r="C3755" t="s">
        <v>11408</v>
      </c>
      <c r="D3755" t="s">
        <v>3394</v>
      </c>
      <c r="E3755" t="s">
        <v>9538</v>
      </c>
      <c r="F3755" t="s">
        <v>3396</v>
      </c>
      <c r="G3755" t="s">
        <v>212</v>
      </c>
      <c r="H3755" t="s">
        <v>11409</v>
      </c>
      <c r="I3755" t="s">
        <v>11410</v>
      </c>
      <c r="J3755" t="s">
        <v>215</v>
      </c>
      <c r="K3755" t="s">
        <v>55</v>
      </c>
      <c r="L3755" t="s">
        <v>914</v>
      </c>
      <c r="M3755" t="s">
        <v>57</v>
      </c>
      <c r="N3755" t="str">
        <f>"094490"</f>
        <v>094490</v>
      </c>
      <c r="O3755" t="s">
        <v>11408</v>
      </c>
      <c r="P3755" t="s">
        <v>68</v>
      </c>
      <c r="Q3755" t="s">
        <v>68</v>
      </c>
      <c r="R3755" t="s">
        <v>68</v>
      </c>
      <c r="S3755" t="s">
        <v>217</v>
      </c>
    </row>
    <row r="3756" spans="1:19" x14ac:dyDescent="0.35">
      <c r="A3756">
        <v>94565</v>
      </c>
      <c r="B3756" t="str">
        <f>"094565"</f>
        <v>094565</v>
      </c>
      <c r="C3756" t="s">
        <v>11411</v>
      </c>
      <c r="D3756" t="s">
        <v>3394</v>
      </c>
      <c r="E3756" t="s">
        <v>9538</v>
      </c>
      <c r="F3756" t="s">
        <v>3396</v>
      </c>
      <c r="G3756" t="s">
        <v>600</v>
      </c>
      <c r="H3756" t="s">
        <v>11412</v>
      </c>
      <c r="I3756" t="s">
        <v>11413</v>
      </c>
      <c r="J3756" t="s">
        <v>1348</v>
      </c>
      <c r="K3756" t="s">
        <v>55</v>
      </c>
      <c r="L3756" t="s">
        <v>2733</v>
      </c>
      <c r="M3756" t="s">
        <v>57</v>
      </c>
      <c r="N3756" t="str">
        <f>"094565"</f>
        <v>094565</v>
      </c>
      <c r="O3756" t="s">
        <v>11411</v>
      </c>
      <c r="P3756" t="s">
        <v>68</v>
      </c>
      <c r="Q3756" t="s">
        <v>68</v>
      </c>
      <c r="R3756" t="s">
        <v>68</v>
      </c>
      <c r="S3756" t="s">
        <v>60</v>
      </c>
    </row>
    <row r="3757" spans="1:19" x14ac:dyDescent="0.35">
      <c r="A3757">
        <v>94623</v>
      </c>
      <c r="B3757" t="str">
        <f>"094623"</f>
        <v>094623</v>
      </c>
      <c r="C3757" t="s">
        <v>11414</v>
      </c>
      <c r="D3757" t="s">
        <v>3394</v>
      </c>
      <c r="E3757" t="s">
        <v>3395</v>
      </c>
      <c r="F3757" t="s">
        <v>3396</v>
      </c>
      <c r="G3757" t="s">
        <v>212</v>
      </c>
      <c r="H3757" t="s">
        <v>11415</v>
      </c>
      <c r="I3757" t="s">
        <v>11416</v>
      </c>
      <c r="J3757" t="s">
        <v>215</v>
      </c>
      <c r="K3757" t="s">
        <v>55</v>
      </c>
      <c r="L3757" t="s">
        <v>5876</v>
      </c>
      <c r="M3757" t="s">
        <v>57</v>
      </c>
      <c r="N3757" t="str">
        <f>"043752"</f>
        <v>043752</v>
      </c>
      <c r="O3757" t="s">
        <v>440</v>
      </c>
      <c r="P3757" t="s">
        <v>68</v>
      </c>
      <c r="Q3757">
        <v>99.8</v>
      </c>
      <c r="R3757">
        <v>96.5</v>
      </c>
      <c r="S3757" t="s">
        <v>217</v>
      </c>
    </row>
    <row r="3758" spans="1:19" x14ac:dyDescent="0.35">
      <c r="A3758">
        <v>94946</v>
      </c>
      <c r="B3758" t="str">
        <f>"094946"</f>
        <v>094946</v>
      </c>
      <c r="C3758" t="s">
        <v>11417</v>
      </c>
      <c r="D3758" t="s">
        <v>3394</v>
      </c>
      <c r="E3758" t="s">
        <v>9538</v>
      </c>
      <c r="F3758" t="s">
        <v>3396</v>
      </c>
      <c r="G3758" t="s">
        <v>759</v>
      </c>
      <c r="H3758" t="s">
        <v>11418</v>
      </c>
      <c r="I3758" t="s">
        <v>11419</v>
      </c>
      <c r="J3758" t="s">
        <v>79</v>
      </c>
      <c r="K3758" t="s">
        <v>55</v>
      </c>
      <c r="L3758" t="s">
        <v>2191</v>
      </c>
      <c r="M3758" t="s">
        <v>57</v>
      </c>
      <c r="N3758" t="str">
        <f>"094946"</f>
        <v>094946</v>
      </c>
      <c r="O3758" t="s">
        <v>11417</v>
      </c>
      <c r="P3758" t="s">
        <v>68</v>
      </c>
      <c r="Q3758" t="s">
        <v>68</v>
      </c>
      <c r="R3758" t="s">
        <v>68</v>
      </c>
      <c r="S3758" t="s">
        <v>69</v>
      </c>
    </row>
    <row r="3759" spans="1:19" x14ac:dyDescent="0.35">
      <c r="A3759">
        <v>94946</v>
      </c>
      <c r="B3759" t="str">
        <f>"094946"</f>
        <v>094946</v>
      </c>
      <c r="C3759" t="s">
        <v>11417</v>
      </c>
      <c r="D3759" t="s">
        <v>9541</v>
      </c>
      <c r="E3759" t="s">
        <v>9538</v>
      </c>
      <c r="F3759" t="s">
        <v>3396</v>
      </c>
      <c r="G3759" t="s">
        <v>759</v>
      </c>
      <c r="H3759" t="s">
        <v>11418</v>
      </c>
      <c r="I3759" t="s">
        <v>11419</v>
      </c>
      <c r="J3759" t="s">
        <v>79</v>
      </c>
      <c r="K3759" t="s">
        <v>55</v>
      </c>
      <c r="L3759" t="s">
        <v>2191</v>
      </c>
      <c r="M3759" t="s">
        <v>57</v>
      </c>
      <c r="N3759" t="str">
        <f>"094946"</f>
        <v>094946</v>
      </c>
      <c r="O3759" t="s">
        <v>11417</v>
      </c>
      <c r="P3759" t="s">
        <v>68</v>
      </c>
      <c r="Q3759" t="s">
        <v>68</v>
      </c>
      <c r="R3759" t="s">
        <v>68</v>
      </c>
      <c r="S3759" t="s">
        <v>69</v>
      </c>
    </row>
    <row r="3760" spans="1:19" x14ac:dyDescent="0.35">
      <c r="A3760">
        <v>95158</v>
      </c>
      <c r="B3760" t="str">
        <f>"095158"</f>
        <v>095158</v>
      </c>
      <c r="C3760" t="s">
        <v>11420</v>
      </c>
      <c r="D3760" t="s">
        <v>3394</v>
      </c>
      <c r="E3760" t="s">
        <v>9538</v>
      </c>
      <c r="F3760" t="s">
        <v>3396</v>
      </c>
      <c r="G3760" t="s">
        <v>1041</v>
      </c>
      <c r="H3760" t="s">
        <v>11421</v>
      </c>
      <c r="I3760" t="s">
        <v>11422</v>
      </c>
      <c r="J3760" t="s">
        <v>3371</v>
      </c>
      <c r="K3760" t="s">
        <v>55</v>
      </c>
      <c r="L3760" t="s">
        <v>3372</v>
      </c>
      <c r="M3760" t="s">
        <v>57</v>
      </c>
      <c r="N3760" t="str">
        <f>"095158"</f>
        <v>095158</v>
      </c>
      <c r="O3760" t="s">
        <v>11420</v>
      </c>
      <c r="P3760" t="s">
        <v>68</v>
      </c>
      <c r="Q3760" t="s">
        <v>68</v>
      </c>
      <c r="R3760" t="s">
        <v>68</v>
      </c>
      <c r="S3760" t="s">
        <v>217</v>
      </c>
    </row>
    <row r="3761" spans="1:19" x14ac:dyDescent="0.35">
      <c r="A3761">
        <v>95158</v>
      </c>
      <c r="B3761" t="str">
        <f>"095158"</f>
        <v>095158</v>
      </c>
      <c r="C3761" t="s">
        <v>11420</v>
      </c>
      <c r="D3761" t="s">
        <v>9541</v>
      </c>
      <c r="E3761" t="s">
        <v>9538</v>
      </c>
      <c r="F3761" t="s">
        <v>3396</v>
      </c>
      <c r="G3761" t="s">
        <v>1041</v>
      </c>
      <c r="H3761" t="s">
        <v>11421</v>
      </c>
      <c r="I3761" t="s">
        <v>11422</v>
      </c>
      <c r="J3761" t="s">
        <v>3371</v>
      </c>
      <c r="K3761" t="s">
        <v>55</v>
      </c>
      <c r="L3761" t="s">
        <v>3372</v>
      </c>
      <c r="M3761" t="s">
        <v>57</v>
      </c>
      <c r="N3761" t="str">
        <f>"095158"</f>
        <v>095158</v>
      </c>
      <c r="O3761" t="s">
        <v>11420</v>
      </c>
      <c r="P3761" t="s">
        <v>68</v>
      </c>
      <c r="Q3761" t="s">
        <v>68</v>
      </c>
      <c r="R3761" t="s">
        <v>68</v>
      </c>
      <c r="S3761" t="s">
        <v>217</v>
      </c>
    </row>
    <row r="3762" spans="1:19" x14ac:dyDescent="0.35">
      <c r="A3762">
        <v>95364</v>
      </c>
      <c r="B3762" t="str">
        <f>"095364"</f>
        <v>095364</v>
      </c>
      <c r="C3762" t="s">
        <v>11423</v>
      </c>
      <c r="D3762" t="s">
        <v>3394</v>
      </c>
      <c r="E3762" t="s">
        <v>9538</v>
      </c>
      <c r="F3762" t="s">
        <v>3396</v>
      </c>
      <c r="G3762" t="s">
        <v>212</v>
      </c>
      <c r="H3762" t="s">
        <v>11424</v>
      </c>
      <c r="I3762" t="s">
        <v>11425</v>
      </c>
      <c r="J3762" t="s">
        <v>215</v>
      </c>
      <c r="K3762" t="s">
        <v>55</v>
      </c>
      <c r="L3762" t="s">
        <v>5876</v>
      </c>
      <c r="M3762" t="s">
        <v>57</v>
      </c>
      <c r="N3762" t="str">
        <f>"095364"</f>
        <v>095364</v>
      </c>
      <c r="O3762" t="s">
        <v>11423</v>
      </c>
      <c r="P3762" t="s">
        <v>68</v>
      </c>
      <c r="Q3762" t="s">
        <v>68</v>
      </c>
      <c r="R3762" t="s">
        <v>68</v>
      </c>
      <c r="S3762" t="s">
        <v>217</v>
      </c>
    </row>
    <row r="3763" spans="1:19" x14ac:dyDescent="0.35">
      <c r="A3763">
        <v>95364</v>
      </c>
      <c r="B3763" t="str">
        <f>"095364"</f>
        <v>095364</v>
      </c>
      <c r="C3763" t="s">
        <v>11423</v>
      </c>
      <c r="D3763" t="s">
        <v>9541</v>
      </c>
      <c r="E3763" t="s">
        <v>9538</v>
      </c>
      <c r="F3763" t="s">
        <v>3396</v>
      </c>
      <c r="G3763" t="s">
        <v>212</v>
      </c>
      <c r="H3763" t="s">
        <v>11424</v>
      </c>
      <c r="I3763" t="s">
        <v>11425</v>
      </c>
      <c r="J3763" t="s">
        <v>215</v>
      </c>
      <c r="K3763" t="s">
        <v>55</v>
      </c>
      <c r="L3763" t="s">
        <v>5876</v>
      </c>
      <c r="M3763" t="s">
        <v>57</v>
      </c>
      <c r="N3763" t="str">
        <f>"095364"</f>
        <v>095364</v>
      </c>
      <c r="O3763" t="s">
        <v>11423</v>
      </c>
      <c r="P3763" t="s">
        <v>68</v>
      </c>
      <c r="Q3763" t="s">
        <v>68</v>
      </c>
      <c r="R3763" t="s">
        <v>68</v>
      </c>
      <c r="S3763" t="s">
        <v>217</v>
      </c>
    </row>
    <row r="3764" spans="1:19" x14ac:dyDescent="0.35">
      <c r="A3764">
        <v>95661</v>
      </c>
      <c r="B3764" t="str">
        <f>"095661"</f>
        <v>095661</v>
      </c>
      <c r="C3764" t="s">
        <v>11426</v>
      </c>
      <c r="D3764" t="s">
        <v>3394</v>
      </c>
      <c r="E3764" t="s">
        <v>3395</v>
      </c>
      <c r="F3764" t="s">
        <v>3396</v>
      </c>
      <c r="G3764" t="s">
        <v>719</v>
      </c>
      <c r="H3764" t="s">
        <v>9010</v>
      </c>
      <c r="I3764" t="s">
        <v>9011</v>
      </c>
      <c r="J3764" t="s">
        <v>1652</v>
      </c>
      <c r="K3764" t="s">
        <v>55</v>
      </c>
      <c r="L3764" t="s">
        <v>1653</v>
      </c>
      <c r="M3764" t="s">
        <v>57</v>
      </c>
      <c r="N3764" t="str">
        <f>"044123"</f>
        <v>044123</v>
      </c>
      <c r="O3764" t="s">
        <v>1649</v>
      </c>
      <c r="P3764" t="s">
        <v>68</v>
      </c>
      <c r="Q3764">
        <v>55.3</v>
      </c>
      <c r="R3764">
        <v>10.200000000000003</v>
      </c>
      <c r="S3764" t="s">
        <v>130</v>
      </c>
    </row>
    <row r="3765" spans="1:19" x14ac:dyDescent="0.35">
      <c r="A3765">
        <v>95679</v>
      </c>
      <c r="B3765" t="str">
        <f>"095679"</f>
        <v>095679</v>
      </c>
      <c r="C3765" t="s">
        <v>11427</v>
      </c>
      <c r="D3765" t="s">
        <v>3394</v>
      </c>
      <c r="E3765" t="s">
        <v>3395</v>
      </c>
      <c r="F3765" t="s">
        <v>3396</v>
      </c>
      <c r="G3765" t="s">
        <v>172</v>
      </c>
      <c r="H3765" t="s">
        <v>11428</v>
      </c>
      <c r="I3765" t="s">
        <v>11429</v>
      </c>
      <c r="J3765" t="s">
        <v>629</v>
      </c>
      <c r="K3765" t="s">
        <v>55</v>
      </c>
      <c r="L3765" t="s">
        <v>630</v>
      </c>
      <c r="M3765" t="s">
        <v>57</v>
      </c>
      <c r="N3765" t="str">
        <f>"044214"</f>
        <v>044214</v>
      </c>
      <c r="O3765" t="s">
        <v>626</v>
      </c>
      <c r="P3765" t="s">
        <v>68</v>
      </c>
      <c r="Q3765">
        <v>28.4</v>
      </c>
      <c r="R3765">
        <v>14.900000000000006</v>
      </c>
      <c r="S3765" t="s">
        <v>217</v>
      </c>
    </row>
    <row r="3766" spans="1:19" x14ac:dyDescent="0.35">
      <c r="A3766">
        <v>95711</v>
      </c>
      <c r="B3766" t="str">
        <f>"095711"</f>
        <v>095711</v>
      </c>
      <c r="C3766" t="s">
        <v>11430</v>
      </c>
      <c r="D3766" t="s">
        <v>3394</v>
      </c>
      <c r="E3766" t="s">
        <v>9538</v>
      </c>
      <c r="F3766" t="s">
        <v>3396</v>
      </c>
      <c r="G3766" t="s">
        <v>383</v>
      </c>
      <c r="H3766" t="s">
        <v>11431</v>
      </c>
      <c r="I3766" t="s">
        <v>11432</v>
      </c>
      <c r="J3766" t="s">
        <v>1215</v>
      </c>
      <c r="K3766" t="s">
        <v>55</v>
      </c>
      <c r="L3766" t="s">
        <v>5712</v>
      </c>
      <c r="M3766" t="s">
        <v>57</v>
      </c>
      <c r="N3766" t="str">
        <f>"095711"</f>
        <v>095711</v>
      </c>
      <c r="O3766" t="s">
        <v>11430</v>
      </c>
      <c r="P3766" t="s">
        <v>68</v>
      </c>
      <c r="Q3766" t="s">
        <v>68</v>
      </c>
      <c r="R3766" t="s">
        <v>68</v>
      </c>
      <c r="S3766" t="s">
        <v>77</v>
      </c>
    </row>
    <row r="3767" spans="1:19" x14ac:dyDescent="0.35">
      <c r="A3767">
        <v>95786</v>
      </c>
      <c r="B3767" t="str">
        <f>"095786"</f>
        <v>095786</v>
      </c>
      <c r="C3767" t="s">
        <v>11433</v>
      </c>
      <c r="D3767" t="s">
        <v>3394</v>
      </c>
      <c r="E3767" t="s">
        <v>3395</v>
      </c>
      <c r="F3767" t="s">
        <v>3396</v>
      </c>
      <c r="G3767" t="s">
        <v>600</v>
      </c>
      <c r="H3767" t="s">
        <v>11434</v>
      </c>
      <c r="I3767" t="s">
        <v>11435</v>
      </c>
      <c r="J3767" t="s">
        <v>11302</v>
      </c>
      <c r="K3767" t="s">
        <v>55</v>
      </c>
      <c r="L3767" t="s">
        <v>11303</v>
      </c>
      <c r="M3767" t="s">
        <v>57</v>
      </c>
      <c r="N3767" t="str">
        <f>"045138"</f>
        <v>045138</v>
      </c>
      <c r="O3767" t="s">
        <v>1497</v>
      </c>
      <c r="P3767" t="s">
        <v>68</v>
      </c>
      <c r="Q3767" t="s">
        <v>68</v>
      </c>
      <c r="R3767" t="s">
        <v>68</v>
      </c>
      <c r="S3767" t="s">
        <v>60</v>
      </c>
    </row>
    <row r="3768" spans="1:19" x14ac:dyDescent="0.35">
      <c r="A3768">
        <v>95794</v>
      </c>
      <c r="B3768" t="str">
        <f>"095794"</f>
        <v>095794</v>
      </c>
      <c r="C3768" t="s">
        <v>11436</v>
      </c>
      <c r="D3768" t="s">
        <v>3400</v>
      </c>
      <c r="E3768" t="s">
        <v>3395</v>
      </c>
      <c r="F3768" t="s">
        <v>3396</v>
      </c>
      <c r="G3768" t="s">
        <v>600</v>
      </c>
      <c r="H3768" t="s">
        <v>11437</v>
      </c>
      <c r="I3768" t="s">
        <v>11438</v>
      </c>
      <c r="J3768" t="s">
        <v>1348</v>
      </c>
      <c r="K3768" t="s">
        <v>55</v>
      </c>
      <c r="L3768" t="s">
        <v>4008</v>
      </c>
      <c r="M3768" t="s">
        <v>57</v>
      </c>
      <c r="N3768" t="str">
        <f>"045138"</f>
        <v>045138</v>
      </c>
      <c r="O3768" t="s">
        <v>1497</v>
      </c>
      <c r="P3768" t="s">
        <v>68</v>
      </c>
      <c r="Q3768">
        <v>22.1</v>
      </c>
      <c r="R3768">
        <v>24.400000000000006</v>
      </c>
      <c r="S3768" t="s">
        <v>60</v>
      </c>
    </row>
    <row r="3769" spans="1:19" x14ac:dyDescent="0.35">
      <c r="A3769">
        <v>95828</v>
      </c>
      <c r="B3769" t="str">
        <f>"095828"</f>
        <v>095828</v>
      </c>
      <c r="C3769" t="s">
        <v>11439</v>
      </c>
      <c r="D3769" t="s">
        <v>3506</v>
      </c>
      <c r="E3769" t="s">
        <v>3395</v>
      </c>
      <c r="F3769" t="s">
        <v>3396</v>
      </c>
      <c r="G3769" t="s">
        <v>226</v>
      </c>
      <c r="H3769" t="s">
        <v>697</v>
      </c>
      <c r="I3769" t="s">
        <v>698</v>
      </c>
      <c r="J3769" t="s">
        <v>699</v>
      </c>
      <c r="K3769" t="s">
        <v>55</v>
      </c>
      <c r="L3769" t="s">
        <v>700</v>
      </c>
      <c r="M3769" t="s">
        <v>57</v>
      </c>
      <c r="N3769" t="str">
        <f>"045609"</f>
        <v>045609</v>
      </c>
      <c r="O3769" t="s">
        <v>696</v>
      </c>
      <c r="P3769" t="s">
        <v>68</v>
      </c>
      <c r="Q3769">
        <v>44.2</v>
      </c>
      <c r="R3769">
        <v>29.900000000000006</v>
      </c>
      <c r="S3769" t="s">
        <v>156</v>
      </c>
    </row>
    <row r="3770" spans="1:19" x14ac:dyDescent="0.35">
      <c r="A3770">
        <v>96164</v>
      </c>
      <c r="B3770" t="str">
        <f>"096164"</f>
        <v>096164</v>
      </c>
      <c r="C3770" t="s">
        <v>11440</v>
      </c>
      <c r="D3770" t="s">
        <v>3394</v>
      </c>
      <c r="E3770" t="s">
        <v>9538</v>
      </c>
      <c r="F3770" t="s">
        <v>3396</v>
      </c>
      <c r="G3770" t="s">
        <v>244</v>
      </c>
      <c r="H3770" t="s">
        <v>11441</v>
      </c>
      <c r="I3770" t="s">
        <v>11442</v>
      </c>
      <c r="J3770" t="s">
        <v>92</v>
      </c>
      <c r="K3770" t="s">
        <v>55</v>
      </c>
      <c r="L3770" t="s">
        <v>2423</v>
      </c>
      <c r="M3770" t="s">
        <v>57</v>
      </c>
      <c r="N3770" t="str">
        <f>"096164"</f>
        <v>096164</v>
      </c>
      <c r="O3770" t="s">
        <v>11440</v>
      </c>
      <c r="P3770" t="s">
        <v>68</v>
      </c>
      <c r="Q3770" t="s">
        <v>68</v>
      </c>
      <c r="R3770" t="s">
        <v>68</v>
      </c>
      <c r="S3770" t="s">
        <v>217</v>
      </c>
    </row>
    <row r="3771" spans="1:19" x14ac:dyDescent="0.35">
      <c r="A3771">
        <v>96172</v>
      </c>
      <c r="B3771" t="str">
        <f>"096172"</f>
        <v>096172</v>
      </c>
      <c r="C3771" t="s">
        <v>11443</v>
      </c>
      <c r="D3771" t="s">
        <v>3394</v>
      </c>
      <c r="E3771" t="s">
        <v>9538</v>
      </c>
      <c r="F3771" t="s">
        <v>3396</v>
      </c>
      <c r="G3771" t="s">
        <v>212</v>
      </c>
      <c r="H3771" t="s">
        <v>11444</v>
      </c>
      <c r="I3771" t="s">
        <v>11445</v>
      </c>
      <c r="J3771" t="s">
        <v>215</v>
      </c>
      <c r="K3771" t="s">
        <v>55</v>
      </c>
      <c r="L3771" t="s">
        <v>2419</v>
      </c>
      <c r="M3771" t="s">
        <v>57</v>
      </c>
      <c r="N3771" t="str">
        <f>"096172"</f>
        <v>096172</v>
      </c>
      <c r="O3771" t="s">
        <v>11443</v>
      </c>
      <c r="P3771" t="s">
        <v>68</v>
      </c>
      <c r="Q3771" t="s">
        <v>68</v>
      </c>
      <c r="R3771" t="s">
        <v>68</v>
      </c>
      <c r="S3771" t="s">
        <v>217</v>
      </c>
    </row>
    <row r="3772" spans="1:19" x14ac:dyDescent="0.35">
      <c r="A3772">
        <v>96263</v>
      </c>
      <c r="B3772" t="str">
        <f>"096263"</f>
        <v>096263</v>
      </c>
      <c r="C3772" t="s">
        <v>11446</v>
      </c>
      <c r="D3772" t="s">
        <v>3394</v>
      </c>
      <c r="E3772" t="s">
        <v>9538</v>
      </c>
      <c r="F3772" t="s">
        <v>3396</v>
      </c>
      <c r="G3772" t="s">
        <v>543</v>
      </c>
      <c r="H3772" t="s">
        <v>11447</v>
      </c>
      <c r="I3772" t="s">
        <v>11448</v>
      </c>
      <c r="J3772" t="s">
        <v>1858</v>
      </c>
      <c r="K3772" t="s">
        <v>55</v>
      </c>
      <c r="L3772" t="s">
        <v>4246</v>
      </c>
      <c r="M3772" t="s">
        <v>57</v>
      </c>
      <c r="N3772" t="str">
        <f>"096263"</f>
        <v>096263</v>
      </c>
      <c r="O3772" t="s">
        <v>11446</v>
      </c>
      <c r="P3772" t="s">
        <v>68</v>
      </c>
      <c r="Q3772" t="s">
        <v>68</v>
      </c>
      <c r="R3772" t="s">
        <v>68</v>
      </c>
      <c r="S3772" t="s">
        <v>180</v>
      </c>
    </row>
    <row r="3773" spans="1:19" x14ac:dyDescent="0.35">
      <c r="A3773">
        <v>96263</v>
      </c>
      <c r="B3773" t="str">
        <f>"096263"</f>
        <v>096263</v>
      </c>
      <c r="C3773" t="s">
        <v>11446</v>
      </c>
      <c r="D3773" t="s">
        <v>9541</v>
      </c>
      <c r="E3773" t="s">
        <v>9538</v>
      </c>
      <c r="F3773" t="s">
        <v>3396</v>
      </c>
      <c r="G3773" t="s">
        <v>543</v>
      </c>
      <c r="H3773" t="s">
        <v>11447</v>
      </c>
      <c r="I3773" t="s">
        <v>11448</v>
      </c>
      <c r="J3773" t="s">
        <v>1858</v>
      </c>
      <c r="K3773" t="s">
        <v>55</v>
      </c>
      <c r="L3773" t="s">
        <v>4246</v>
      </c>
      <c r="M3773" t="s">
        <v>57</v>
      </c>
      <c r="N3773" t="str">
        <f>"096263"</f>
        <v>096263</v>
      </c>
      <c r="O3773" t="s">
        <v>11446</v>
      </c>
      <c r="P3773" t="s">
        <v>68</v>
      </c>
      <c r="Q3773" t="s">
        <v>68</v>
      </c>
      <c r="R3773" t="s">
        <v>68</v>
      </c>
      <c r="S3773" t="s">
        <v>180</v>
      </c>
    </row>
    <row r="3774" spans="1:19" x14ac:dyDescent="0.35">
      <c r="A3774">
        <v>96289</v>
      </c>
      <c r="B3774" t="str">
        <f>"096289"</f>
        <v>096289</v>
      </c>
      <c r="C3774" t="s">
        <v>11449</v>
      </c>
      <c r="D3774" t="s">
        <v>3394</v>
      </c>
      <c r="E3774" t="s">
        <v>9538</v>
      </c>
      <c r="F3774" t="s">
        <v>3396</v>
      </c>
      <c r="G3774" t="s">
        <v>543</v>
      </c>
      <c r="H3774" t="s">
        <v>11450</v>
      </c>
      <c r="I3774" t="s">
        <v>11451</v>
      </c>
      <c r="J3774" t="s">
        <v>1252</v>
      </c>
      <c r="K3774" t="s">
        <v>55</v>
      </c>
      <c r="L3774" t="s">
        <v>1253</v>
      </c>
      <c r="M3774" t="s">
        <v>57</v>
      </c>
      <c r="N3774" t="str">
        <f>"096289"</f>
        <v>096289</v>
      </c>
      <c r="O3774" t="s">
        <v>11449</v>
      </c>
      <c r="P3774" t="s">
        <v>68</v>
      </c>
      <c r="Q3774" t="s">
        <v>68</v>
      </c>
      <c r="R3774" t="s">
        <v>68</v>
      </c>
      <c r="S3774" t="s">
        <v>180</v>
      </c>
    </row>
    <row r="3775" spans="1:19" x14ac:dyDescent="0.35">
      <c r="A3775">
        <v>96297</v>
      </c>
      <c r="B3775" t="str">
        <f>"096297"</f>
        <v>096297</v>
      </c>
      <c r="C3775" t="s">
        <v>11452</v>
      </c>
      <c r="D3775" t="s">
        <v>3394</v>
      </c>
      <c r="E3775" t="s">
        <v>9538</v>
      </c>
      <c r="F3775" t="s">
        <v>3396</v>
      </c>
      <c r="G3775" t="s">
        <v>172</v>
      </c>
      <c r="H3775" t="s">
        <v>11453</v>
      </c>
      <c r="I3775" t="s">
        <v>11454</v>
      </c>
      <c r="J3775" t="s">
        <v>3371</v>
      </c>
      <c r="K3775" t="s">
        <v>55</v>
      </c>
      <c r="L3775" t="s">
        <v>3372</v>
      </c>
      <c r="M3775" t="s">
        <v>57</v>
      </c>
      <c r="N3775" t="str">
        <f>"052514"</f>
        <v>052514</v>
      </c>
      <c r="O3775" t="s">
        <v>2465</v>
      </c>
      <c r="P3775" t="s">
        <v>68</v>
      </c>
      <c r="Q3775" t="s">
        <v>68</v>
      </c>
      <c r="R3775" t="s">
        <v>68</v>
      </c>
      <c r="S3775" t="s">
        <v>217</v>
      </c>
    </row>
    <row r="3776" spans="1:19" x14ac:dyDescent="0.35">
      <c r="A3776">
        <v>96347</v>
      </c>
      <c r="B3776" t="str">
        <f>"096347"</f>
        <v>096347</v>
      </c>
      <c r="C3776" t="s">
        <v>11455</v>
      </c>
      <c r="D3776" t="s">
        <v>3394</v>
      </c>
      <c r="E3776" t="s">
        <v>9538</v>
      </c>
      <c r="F3776" t="s">
        <v>3396</v>
      </c>
      <c r="G3776" t="s">
        <v>212</v>
      </c>
      <c r="H3776" t="s">
        <v>11456</v>
      </c>
      <c r="I3776" t="s">
        <v>11457</v>
      </c>
      <c r="J3776" t="s">
        <v>215</v>
      </c>
      <c r="K3776" t="s">
        <v>55</v>
      </c>
      <c r="L3776" t="s">
        <v>1405</v>
      </c>
      <c r="M3776" t="s">
        <v>57</v>
      </c>
      <c r="N3776" t="str">
        <f>"096347"</f>
        <v>096347</v>
      </c>
      <c r="O3776" t="s">
        <v>11455</v>
      </c>
      <c r="P3776" t="s">
        <v>68</v>
      </c>
      <c r="Q3776" t="s">
        <v>68</v>
      </c>
      <c r="R3776" t="s">
        <v>68</v>
      </c>
      <c r="S3776" t="s">
        <v>217</v>
      </c>
    </row>
    <row r="3777" spans="1:19" x14ac:dyDescent="0.35">
      <c r="A3777">
        <v>96347</v>
      </c>
      <c r="B3777" t="str">
        <f>"096347"</f>
        <v>096347</v>
      </c>
      <c r="C3777" t="s">
        <v>11455</v>
      </c>
      <c r="D3777" t="s">
        <v>9541</v>
      </c>
      <c r="E3777" t="s">
        <v>9538</v>
      </c>
      <c r="F3777" t="s">
        <v>3396</v>
      </c>
      <c r="G3777" t="s">
        <v>212</v>
      </c>
      <c r="H3777" t="s">
        <v>11456</v>
      </c>
      <c r="I3777" t="s">
        <v>11457</v>
      </c>
      <c r="J3777" t="s">
        <v>215</v>
      </c>
      <c r="K3777" t="s">
        <v>55</v>
      </c>
      <c r="L3777" t="s">
        <v>1405</v>
      </c>
      <c r="M3777" t="s">
        <v>57</v>
      </c>
      <c r="N3777" t="str">
        <f>"096347"</f>
        <v>096347</v>
      </c>
      <c r="O3777" t="s">
        <v>11455</v>
      </c>
      <c r="P3777" t="s">
        <v>68</v>
      </c>
      <c r="Q3777" t="s">
        <v>68</v>
      </c>
      <c r="R3777" t="s">
        <v>68</v>
      </c>
      <c r="S3777" t="s">
        <v>217</v>
      </c>
    </row>
    <row r="3778" spans="1:19" x14ac:dyDescent="0.35">
      <c r="A3778">
        <v>96396</v>
      </c>
      <c r="B3778" t="str">
        <f>"096396"</f>
        <v>096396</v>
      </c>
      <c r="C3778" t="s">
        <v>11458</v>
      </c>
      <c r="D3778" t="s">
        <v>3394</v>
      </c>
      <c r="E3778" t="s">
        <v>3395</v>
      </c>
      <c r="F3778" t="s">
        <v>3396</v>
      </c>
      <c r="G3778" t="s">
        <v>1679</v>
      </c>
      <c r="H3778" t="s">
        <v>11459</v>
      </c>
      <c r="I3778" t="s">
        <v>11460</v>
      </c>
      <c r="J3778" t="s">
        <v>11461</v>
      </c>
      <c r="K3778" t="s">
        <v>55</v>
      </c>
      <c r="L3778" t="s">
        <v>11462</v>
      </c>
      <c r="M3778" t="s">
        <v>57</v>
      </c>
      <c r="N3778" t="str">
        <f>"047308"</f>
        <v>047308</v>
      </c>
      <c r="O3778" t="s">
        <v>1678</v>
      </c>
      <c r="P3778" t="s">
        <v>68</v>
      </c>
      <c r="Q3778">
        <v>100</v>
      </c>
      <c r="R3778">
        <v>3.2999999999999972</v>
      </c>
      <c r="S3778" t="s">
        <v>130</v>
      </c>
    </row>
    <row r="3779" spans="1:19" x14ac:dyDescent="0.35">
      <c r="A3779">
        <v>96693</v>
      </c>
      <c r="B3779" t="str">
        <f>"096693"</f>
        <v>096693</v>
      </c>
      <c r="C3779" t="s">
        <v>11463</v>
      </c>
      <c r="D3779" t="s">
        <v>3394</v>
      </c>
      <c r="E3779" t="s">
        <v>9538</v>
      </c>
      <c r="F3779" t="s">
        <v>3396</v>
      </c>
      <c r="G3779" t="s">
        <v>264</v>
      </c>
      <c r="H3779" t="s">
        <v>11464</v>
      </c>
      <c r="I3779" t="s">
        <v>11465</v>
      </c>
      <c r="J3779" t="s">
        <v>1576</v>
      </c>
      <c r="K3779" t="s">
        <v>55</v>
      </c>
      <c r="L3779" t="s">
        <v>1577</v>
      </c>
      <c r="M3779" t="s">
        <v>57</v>
      </c>
      <c r="N3779" t="str">
        <f>"096693"</f>
        <v>096693</v>
      </c>
      <c r="O3779" t="s">
        <v>11463</v>
      </c>
      <c r="P3779" t="s">
        <v>68</v>
      </c>
      <c r="Q3779" t="s">
        <v>68</v>
      </c>
      <c r="R3779" t="s">
        <v>68</v>
      </c>
      <c r="S3779" t="s">
        <v>77</v>
      </c>
    </row>
    <row r="3780" spans="1:19" x14ac:dyDescent="0.35">
      <c r="A3780">
        <v>96719</v>
      </c>
      <c r="B3780" t="str">
        <f>"096719"</f>
        <v>096719</v>
      </c>
      <c r="C3780" t="s">
        <v>11466</v>
      </c>
      <c r="D3780" t="s">
        <v>3398</v>
      </c>
      <c r="E3780" t="s">
        <v>9538</v>
      </c>
      <c r="F3780" t="s">
        <v>3396</v>
      </c>
      <c r="G3780" t="s">
        <v>600</v>
      </c>
      <c r="H3780" t="s">
        <v>11467</v>
      </c>
      <c r="I3780" t="s">
        <v>11468</v>
      </c>
      <c r="J3780" t="s">
        <v>2643</v>
      </c>
      <c r="K3780" t="s">
        <v>55</v>
      </c>
      <c r="L3780" t="s">
        <v>2644</v>
      </c>
      <c r="M3780" t="s">
        <v>57</v>
      </c>
      <c r="N3780" t="str">
        <f>"096719"</f>
        <v>096719</v>
      </c>
      <c r="O3780" t="s">
        <v>11466</v>
      </c>
      <c r="P3780" t="s">
        <v>68</v>
      </c>
      <c r="Q3780" t="s">
        <v>68</v>
      </c>
      <c r="R3780" t="s">
        <v>68</v>
      </c>
      <c r="S3780" t="s">
        <v>60</v>
      </c>
    </row>
    <row r="3781" spans="1:19" x14ac:dyDescent="0.35">
      <c r="A3781">
        <v>96909</v>
      </c>
      <c r="B3781" t="str">
        <f>"096909"</f>
        <v>096909</v>
      </c>
      <c r="C3781" t="s">
        <v>11469</v>
      </c>
      <c r="D3781" t="s">
        <v>3394</v>
      </c>
      <c r="E3781" t="s">
        <v>9538</v>
      </c>
      <c r="F3781" t="s">
        <v>3396</v>
      </c>
      <c r="G3781" t="s">
        <v>383</v>
      </c>
      <c r="H3781" t="s">
        <v>11470</v>
      </c>
      <c r="I3781" t="s">
        <v>11471</v>
      </c>
      <c r="J3781" t="s">
        <v>1215</v>
      </c>
      <c r="K3781" t="s">
        <v>55</v>
      </c>
      <c r="L3781" t="s">
        <v>1065</v>
      </c>
      <c r="M3781" t="s">
        <v>57</v>
      </c>
      <c r="N3781" t="str">
        <f>"096909"</f>
        <v>096909</v>
      </c>
      <c r="O3781" t="s">
        <v>11469</v>
      </c>
      <c r="P3781" t="s">
        <v>68</v>
      </c>
      <c r="Q3781" t="s">
        <v>68</v>
      </c>
      <c r="R3781" t="s">
        <v>68</v>
      </c>
      <c r="S3781" t="s">
        <v>77</v>
      </c>
    </row>
    <row r="3782" spans="1:19" x14ac:dyDescent="0.35">
      <c r="A3782">
        <v>96909</v>
      </c>
      <c r="B3782" t="str">
        <f>"096909"</f>
        <v>096909</v>
      </c>
      <c r="C3782" t="s">
        <v>11469</v>
      </c>
      <c r="D3782" t="s">
        <v>9541</v>
      </c>
      <c r="E3782" t="s">
        <v>9538</v>
      </c>
      <c r="F3782" t="s">
        <v>3396</v>
      </c>
      <c r="G3782" t="s">
        <v>383</v>
      </c>
      <c r="H3782" t="s">
        <v>11470</v>
      </c>
      <c r="I3782" t="s">
        <v>11471</v>
      </c>
      <c r="J3782" t="s">
        <v>1215</v>
      </c>
      <c r="K3782" t="s">
        <v>55</v>
      </c>
      <c r="L3782" t="s">
        <v>1065</v>
      </c>
      <c r="M3782" t="s">
        <v>57</v>
      </c>
      <c r="N3782" t="str">
        <f>"096909"</f>
        <v>096909</v>
      </c>
      <c r="O3782" t="s">
        <v>11469</v>
      </c>
      <c r="P3782" t="s">
        <v>68</v>
      </c>
      <c r="Q3782" t="s">
        <v>68</v>
      </c>
      <c r="R3782" t="s">
        <v>68</v>
      </c>
      <c r="S3782" t="s">
        <v>77</v>
      </c>
    </row>
    <row r="3783" spans="1:19" x14ac:dyDescent="0.35">
      <c r="A3783">
        <v>96966</v>
      </c>
      <c r="B3783" t="str">
        <f>"096966"</f>
        <v>096966</v>
      </c>
      <c r="C3783" t="s">
        <v>11472</v>
      </c>
      <c r="D3783" t="s">
        <v>3394</v>
      </c>
      <c r="E3783" t="s">
        <v>9538</v>
      </c>
      <c r="F3783" t="s">
        <v>3396</v>
      </c>
      <c r="G3783" t="s">
        <v>264</v>
      </c>
      <c r="H3783" t="s">
        <v>11473</v>
      </c>
      <c r="I3783" t="s">
        <v>11474</v>
      </c>
      <c r="J3783" t="s">
        <v>2497</v>
      </c>
      <c r="K3783" t="s">
        <v>55</v>
      </c>
      <c r="L3783" t="s">
        <v>3908</v>
      </c>
      <c r="M3783" t="s">
        <v>57</v>
      </c>
      <c r="N3783" t="str">
        <f>"096966"</f>
        <v>096966</v>
      </c>
      <c r="O3783" t="s">
        <v>11472</v>
      </c>
      <c r="P3783" t="s">
        <v>68</v>
      </c>
      <c r="Q3783" t="s">
        <v>68</v>
      </c>
      <c r="R3783" t="s">
        <v>68</v>
      </c>
      <c r="S3783" t="s">
        <v>77</v>
      </c>
    </row>
    <row r="3784" spans="1:19" x14ac:dyDescent="0.35">
      <c r="A3784">
        <v>96974</v>
      </c>
      <c r="B3784" t="str">
        <f>"096974"</f>
        <v>096974</v>
      </c>
      <c r="C3784" t="s">
        <v>11475</v>
      </c>
      <c r="D3784" t="s">
        <v>3394</v>
      </c>
      <c r="E3784" t="s">
        <v>9538</v>
      </c>
      <c r="F3784" t="s">
        <v>3396</v>
      </c>
      <c r="G3784" t="s">
        <v>117</v>
      </c>
      <c r="H3784" t="s">
        <v>11476</v>
      </c>
      <c r="I3784" t="s">
        <v>11477</v>
      </c>
      <c r="J3784" t="s">
        <v>1409</v>
      </c>
      <c r="K3784" t="s">
        <v>55</v>
      </c>
      <c r="L3784" t="s">
        <v>9359</v>
      </c>
      <c r="M3784" t="s">
        <v>57</v>
      </c>
      <c r="N3784" t="str">
        <f>"096974"</f>
        <v>096974</v>
      </c>
      <c r="O3784" t="s">
        <v>11475</v>
      </c>
      <c r="P3784" t="s">
        <v>68</v>
      </c>
      <c r="Q3784" t="s">
        <v>68</v>
      </c>
      <c r="R3784" t="s">
        <v>68</v>
      </c>
      <c r="S3784" t="s">
        <v>77</v>
      </c>
    </row>
    <row r="3785" spans="1:19" x14ac:dyDescent="0.35">
      <c r="A3785">
        <v>96974</v>
      </c>
      <c r="B3785" t="str">
        <f>"096974"</f>
        <v>096974</v>
      </c>
      <c r="C3785" t="s">
        <v>11475</v>
      </c>
      <c r="D3785" t="s">
        <v>9541</v>
      </c>
      <c r="E3785" t="s">
        <v>9538</v>
      </c>
      <c r="F3785" t="s">
        <v>3396</v>
      </c>
      <c r="G3785" t="s">
        <v>117</v>
      </c>
      <c r="H3785" t="s">
        <v>11476</v>
      </c>
      <c r="I3785" t="s">
        <v>11477</v>
      </c>
      <c r="J3785" t="s">
        <v>1409</v>
      </c>
      <c r="K3785" t="s">
        <v>55</v>
      </c>
      <c r="L3785" t="s">
        <v>9359</v>
      </c>
      <c r="M3785" t="s">
        <v>57</v>
      </c>
      <c r="N3785" t="str">
        <f>"096974"</f>
        <v>096974</v>
      </c>
      <c r="O3785" t="s">
        <v>11475</v>
      </c>
      <c r="P3785" t="s">
        <v>68</v>
      </c>
      <c r="Q3785" t="s">
        <v>68</v>
      </c>
      <c r="R3785" t="s">
        <v>68</v>
      </c>
      <c r="S3785" t="s">
        <v>77</v>
      </c>
    </row>
    <row r="3786" spans="1:19" x14ac:dyDescent="0.35">
      <c r="A3786">
        <v>97071</v>
      </c>
      <c r="B3786" t="str">
        <f>"097071"</f>
        <v>097071</v>
      </c>
      <c r="C3786" t="s">
        <v>11478</v>
      </c>
      <c r="D3786" t="s">
        <v>3394</v>
      </c>
      <c r="E3786" t="s">
        <v>3395</v>
      </c>
      <c r="F3786" t="s">
        <v>3396</v>
      </c>
      <c r="G3786" t="s">
        <v>600</v>
      </c>
      <c r="H3786" t="s">
        <v>11479</v>
      </c>
      <c r="I3786" t="s">
        <v>11480</v>
      </c>
      <c r="J3786" t="s">
        <v>1956</v>
      </c>
      <c r="K3786" t="s">
        <v>55</v>
      </c>
      <c r="L3786" t="s">
        <v>1957</v>
      </c>
      <c r="M3786" t="s">
        <v>57</v>
      </c>
      <c r="N3786" t="str">
        <f>"047027"</f>
        <v>047027</v>
      </c>
      <c r="O3786" t="s">
        <v>1953</v>
      </c>
      <c r="P3786" t="s">
        <v>68</v>
      </c>
      <c r="Q3786">
        <v>6.6</v>
      </c>
      <c r="R3786">
        <v>31.400000000000006</v>
      </c>
      <c r="S3786" t="s">
        <v>60</v>
      </c>
    </row>
    <row r="3787" spans="1:19" x14ac:dyDescent="0.35">
      <c r="A3787">
        <v>97279</v>
      </c>
      <c r="B3787" t="str">
        <f>"097279"</f>
        <v>097279</v>
      </c>
      <c r="C3787" t="s">
        <v>11481</v>
      </c>
      <c r="D3787" t="s">
        <v>3394</v>
      </c>
      <c r="E3787" t="s">
        <v>9538</v>
      </c>
      <c r="F3787" t="s">
        <v>3396</v>
      </c>
      <c r="G3787" t="s">
        <v>600</v>
      </c>
      <c r="H3787" t="s">
        <v>11482</v>
      </c>
      <c r="I3787" t="s">
        <v>11483</v>
      </c>
      <c r="J3787" t="s">
        <v>1348</v>
      </c>
      <c r="K3787" t="s">
        <v>55</v>
      </c>
      <c r="L3787" t="s">
        <v>6119</v>
      </c>
      <c r="M3787" t="s">
        <v>57</v>
      </c>
      <c r="N3787" t="str">
        <f>"097279"</f>
        <v>097279</v>
      </c>
      <c r="O3787" t="s">
        <v>11481</v>
      </c>
      <c r="P3787" t="s">
        <v>68</v>
      </c>
      <c r="Q3787" t="s">
        <v>68</v>
      </c>
      <c r="R3787" t="s">
        <v>68</v>
      </c>
      <c r="S3787" t="s">
        <v>60</v>
      </c>
    </row>
    <row r="3788" spans="1:19" x14ac:dyDescent="0.35">
      <c r="A3788">
        <v>97279</v>
      </c>
      <c r="B3788" t="str">
        <f>"097279"</f>
        <v>097279</v>
      </c>
      <c r="C3788" t="s">
        <v>11481</v>
      </c>
      <c r="D3788" t="s">
        <v>9541</v>
      </c>
      <c r="E3788" t="s">
        <v>9538</v>
      </c>
      <c r="F3788" t="s">
        <v>3396</v>
      </c>
      <c r="G3788" t="s">
        <v>600</v>
      </c>
      <c r="H3788" t="s">
        <v>11482</v>
      </c>
      <c r="I3788" t="s">
        <v>11483</v>
      </c>
      <c r="J3788" t="s">
        <v>1348</v>
      </c>
      <c r="K3788" t="s">
        <v>55</v>
      </c>
      <c r="L3788" t="s">
        <v>6119</v>
      </c>
      <c r="M3788" t="s">
        <v>57</v>
      </c>
      <c r="N3788" t="str">
        <f>"097279"</f>
        <v>097279</v>
      </c>
      <c r="O3788" t="s">
        <v>11481</v>
      </c>
      <c r="P3788" t="s">
        <v>68</v>
      </c>
      <c r="Q3788" t="s">
        <v>68</v>
      </c>
      <c r="R3788" t="s">
        <v>68</v>
      </c>
      <c r="S3788" t="s">
        <v>60</v>
      </c>
    </row>
    <row r="3789" spans="1:19" x14ac:dyDescent="0.35">
      <c r="A3789">
        <v>97527</v>
      </c>
      <c r="B3789" t="str">
        <f>"097527"</f>
        <v>097527</v>
      </c>
      <c r="C3789" t="s">
        <v>11484</v>
      </c>
      <c r="D3789" t="s">
        <v>3394</v>
      </c>
      <c r="E3789" t="s">
        <v>9538</v>
      </c>
      <c r="F3789" t="s">
        <v>3396</v>
      </c>
      <c r="G3789" t="s">
        <v>406</v>
      </c>
      <c r="H3789" t="s">
        <v>11485</v>
      </c>
      <c r="I3789" t="s">
        <v>11486</v>
      </c>
      <c r="J3789" t="s">
        <v>406</v>
      </c>
      <c r="K3789" t="s">
        <v>55</v>
      </c>
      <c r="L3789" t="s">
        <v>409</v>
      </c>
      <c r="M3789" t="s">
        <v>57</v>
      </c>
      <c r="N3789" t="str">
        <f>"097527"</f>
        <v>097527</v>
      </c>
      <c r="O3789" t="s">
        <v>11484</v>
      </c>
      <c r="P3789" t="s">
        <v>68</v>
      </c>
      <c r="Q3789" t="s">
        <v>68</v>
      </c>
      <c r="R3789" t="s">
        <v>68</v>
      </c>
      <c r="S3789" t="s">
        <v>77</v>
      </c>
    </row>
    <row r="3790" spans="1:19" x14ac:dyDescent="0.35">
      <c r="A3790">
        <v>97683</v>
      </c>
      <c r="B3790" t="str">
        <f>"097683"</f>
        <v>097683</v>
      </c>
      <c r="C3790" t="s">
        <v>11487</v>
      </c>
      <c r="D3790" t="s">
        <v>3394</v>
      </c>
      <c r="E3790" t="s">
        <v>9538</v>
      </c>
      <c r="F3790" t="s">
        <v>3396</v>
      </c>
      <c r="G3790" t="s">
        <v>63</v>
      </c>
      <c r="H3790" t="s">
        <v>11488</v>
      </c>
      <c r="I3790" t="s">
        <v>11489</v>
      </c>
      <c r="J3790" t="s">
        <v>285</v>
      </c>
      <c r="K3790" t="s">
        <v>55</v>
      </c>
      <c r="L3790" t="s">
        <v>3561</v>
      </c>
      <c r="M3790" t="s">
        <v>57</v>
      </c>
      <c r="N3790" t="str">
        <f>"000136"</f>
        <v>000136</v>
      </c>
      <c r="O3790" t="s">
        <v>2853</v>
      </c>
      <c r="P3790" t="s">
        <v>68</v>
      </c>
      <c r="Q3790" t="s">
        <v>68</v>
      </c>
      <c r="R3790" t="s">
        <v>68</v>
      </c>
      <c r="S3790" t="s">
        <v>69</v>
      </c>
    </row>
    <row r="3791" spans="1:19" x14ac:dyDescent="0.35">
      <c r="A3791">
        <v>97683</v>
      </c>
      <c r="B3791" t="str">
        <f>"097683"</f>
        <v>097683</v>
      </c>
      <c r="C3791" t="s">
        <v>11487</v>
      </c>
      <c r="D3791" t="s">
        <v>9541</v>
      </c>
      <c r="E3791" t="s">
        <v>9538</v>
      </c>
      <c r="F3791" t="s">
        <v>3396</v>
      </c>
      <c r="G3791" t="s">
        <v>63</v>
      </c>
      <c r="H3791" t="s">
        <v>11488</v>
      </c>
      <c r="I3791" t="s">
        <v>11489</v>
      </c>
      <c r="J3791" t="s">
        <v>285</v>
      </c>
      <c r="K3791" t="s">
        <v>55</v>
      </c>
      <c r="L3791" t="s">
        <v>3561</v>
      </c>
      <c r="M3791" t="s">
        <v>57</v>
      </c>
      <c r="N3791" t="str">
        <f>"000136"</f>
        <v>000136</v>
      </c>
      <c r="O3791" t="s">
        <v>2853</v>
      </c>
      <c r="P3791" t="s">
        <v>68</v>
      </c>
      <c r="Q3791" t="s">
        <v>68</v>
      </c>
      <c r="R3791" t="s">
        <v>68</v>
      </c>
      <c r="S3791" t="s">
        <v>69</v>
      </c>
    </row>
    <row r="3792" spans="1:19" x14ac:dyDescent="0.35">
      <c r="A3792">
        <v>97923</v>
      </c>
      <c r="B3792" t="str">
        <f>"097923"</f>
        <v>097923</v>
      </c>
      <c r="C3792" t="s">
        <v>11490</v>
      </c>
      <c r="D3792" t="s">
        <v>3398</v>
      </c>
      <c r="E3792" t="s">
        <v>9538</v>
      </c>
      <c r="F3792" t="s">
        <v>3396</v>
      </c>
      <c r="G3792" t="s">
        <v>543</v>
      </c>
      <c r="H3792" t="s">
        <v>11491</v>
      </c>
      <c r="I3792" t="s">
        <v>11492</v>
      </c>
      <c r="J3792" t="s">
        <v>687</v>
      </c>
      <c r="K3792" t="s">
        <v>55</v>
      </c>
      <c r="L3792" t="s">
        <v>688</v>
      </c>
      <c r="M3792" t="s">
        <v>57</v>
      </c>
      <c r="N3792" t="str">
        <f>"097923"</f>
        <v>097923</v>
      </c>
      <c r="O3792" t="s">
        <v>11490</v>
      </c>
      <c r="P3792" t="s">
        <v>68</v>
      </c>
      <c r="Q3792" t="s">
        <v>68</v>
      </c>
      <c r="R3792" t="s">
        <v>68</v>
      </c>
      <c r="S3792" t="s">
        <v>180</v>
      </c>
    </row>
    <row r="3793" spans="1:19" x14ac:dyDescent="0.35">
      <c r="A3793">
        <v>97931</v>
      </c>
      <c r="B3793" t="str">
        <f>"097931"</f>
        <v>097931</v>
      </c>
      <c r="C3793" t="s">
        <v>11493</v>
      </c>
      <c r="D3793" t="s">
        <v>3394</v>
      </c>
      <c r="E3793" t="s">
        <v>9538</v>
      </c>
      <c r="F3793" t="s">
        <v>3396</v>
      </c>
      <c r="G3793" t="s">
        <v>543</v>
      </c>
      <c r="H3793" t="s">
        <v>11494</v>
      </c>
      <c r="I3793" t="s">
        <v>11495</v>
      </c>
      <c r="J3793" t="s">
        <v>7385</v>
      </c>
      <c r="K3793" t="s">
        <v>55</v>
      </c>
      <c r="L3793" t="s">
        <v>1448</v>
      </c>
      <c r="M3793" t="s">
        <v>57</v>
      </c>
      <c r="N3793" t="str">
        <f>"097931"</f>
        <v>097931</v>
      </c>
      <c r="O3793" t="s">
        <v>11493</v>
      </c>
      <c r="P3793" t="s">
        <v>68</v>
      </c>
      <c r="Q3793" t="s">
        <v>68</v>
      </c>
      <c r="R3793" t="s">
        <v>68</v>
      </c>
      <c r="S3793" t="s">
        <v>180</v>
      </c>
    </row>
    <row r="3794" spans="1:19" x14ac:dyDescent="0.35">
      <c r="A3794">
        <v>98079</v>
      </c>
      <c r="B3794" t="str">
        <f>"098079"</f>
        <v>098079</v>
      </c>
      <c r="C3794" t="s">
        <v>11496</v>
      </c>
      <c r="D3794" t="s">
        <v>3394</v>
      </c>
      <c r="E3794" t="s">
        <v>3395</v>
      </c>
      <c r="F3794" t="s">
        <v>3396</v>
      </c>
      <c r="G3794" t="s">
        <v>600</v>
      </c>
      <c r="H3794" t="s">
        <v>11497</v>
      </c>
      <c r="I3794" t="s">
        <v>11498</v>
      </c>
      <c r="J3794" t="s">
        <v>1348</v>
      </c>
      <c r="K3794" t="s">
        <v>55</v>
      </c>
      <c r="L3794" t="s">
        <v>4008</v>
      </c>
      <c r="M3794" t="s">
        <v>57</v>
      </c>
      <c r="N3794" t="str">
        <f>"045138"</f>
        <v>045138</v>
      </c>
      <c r="O3794" t="s">
        <v>1497</v>
      </c>
      <c r="P3794" t="s">
        <v>68</v>
      </c>
      <c r="Q3794">
        <v>29.8</v>
      </c>
      <c r="R3794">
        <v>31.5</v>
      </c>
      <c r="S3794" t="s">
        <v>60</v>
      </c>
    </row>
    <row r="3795" spans="1:19" x14ac:dyDescent="0.35">
      <c r="A3795">
        <v>98087</v>
      </c>
      <c r="B3795" t="str">
        <f>"098087"</f>
        <v>098087</v>
      </c>
      <c r="C3795" t="s">
        <v>11499</v>
      </c>
      <c r="D3795" t="s">
        <v>3394</v>
      </c>
      <c r="E3795" t="s">
        <v>3395</v>
      </c>
      <c r="F3795" t="s">
        <v>3396</v>
      </c>
      <c r="G3795" t="s">
        <v>600</v>
      </c>
      <c r="H3795" t="s">
        <v>11500</v>
      </c>
      <c r="I3795" t="s">
        <v>11501</v>
      </c>
      <c r="J3795" t="s">
        <v>2690</v>
      </c>
      <c r="K3795" t="s">
        <v>55</v>
      </c>
      <c r="L3795" t="s">
        <v>2691</v>
      </c>
      <c r="M3795" t="s">
        <v>57</v>
      </c>
      <c r="N3795" t="str">
        <f>"045138"</f>
        <v>045138</v>
      </c>
      <c r="O3795" t="s">
        <v>1497</v>
      </c>
      <c r="P3795" t="s">
        <v>68</v>
      </c>
      <c r="Q3795">
        <v>29.8</v>
      </c>
      <c r="R3795">
        <v>50.8</v>
      </c>
      <c r="S3795" t="s">
        <v>60</v>
      </c>
    </row>
    <row r="3796" spans="1:19" x14ac:dyDescent="0.35">
      <c r="A3796">
        <v>98392</v>
      </c>
      <c r="B3796" t="str">
        <f>"098392"</f>
        <v>098392</v>
      </c>
      <c r="C3796" t="s">
        <v>11502</v>
      </c>
      <c r="D3796" t="s">
        <v>3394</v>
      </c>
      <c r="E3796" t="s">
        <v>3395</v>
      </c>
      <c r="F3796" t="s">
        <v>3396</v>
      </c>
      <c r="G3796" t="s">
        <v>600</v>
      </c>
      <c r="H3796" t="s">
        <v>11503</v>
      </c>
      <c r="I3796" t="s">
        <v>11504</v>
      </c>
      <c r="J3796" t="s">
        <v>2536</v>
      </c>
      <c r="K3796" t="s">
        <v>55</v>
      </c>
      <c r="L3796" t="s">
        <v>2537</v>
      </c>
      <c r="M3796" t="s">
        <v>57</v>
      </c>
      <c r="N3796" t="str">
        <f>"046961"</f>
        <v>046961</v>
      </c>
      <c r="O3796" t="s">
        <v>2533</v>
      </c>
      <c r="P3796" t="s">
        <v>68</v>
      </c>
      <c r="Q3796">
        <v>12.8</v>
      </c>
      <c r="R3796">
        <v>27</v>
      </c>
      <c r="S3796" t="s">
        <v>60</v>
      </c>
    </row>
    <row r="3797" spans="1:19" x14ac:dyDescent="0.35">
      <c r="A3797">
        <v>98418</v>
      </c>
      <c r="B3797" t="str">
        <f>"098418"</f>
        <v>098418</v>
      </c>
      <c r="C3797" t="s">
        <v>3711</v>
      </c>
      <c r="D3797" t="s">
        <v>3394</v>
      </c>
      <c r="E3797" t="s">
        <v>3395</v>
      </c>
      <c r="F3797" t="s">
        <v>3396</v>
      </c>
      <c r="G3797" t="s">
        <v>264</v>
      </c>
      <c r="H3797" t="s">
        <v>11505</v>
      </c>
      <c r="I3797" t="s">
        <v>11506</v>
      </c>
      <c r="J3797" t="s">
        <v>1210</v>
      </c>
      <c r="K3797" t="s">
        <v>55</v>
      </c>
      <c r="L3797" t="s">
        <v>1211</v>
      </c>
      <c r="M3797" t="s">
        <v>57</v>
      </c>
      <c r="N3797" t="str">
        <f>"044834"</f>
        <v>044834</v>
      </c>
      <c r="O3797" t="s">
        <v>1207</v>
      </c>
      <c r="P3797" t="s">
        <v>68</v>
      </c>
      <c r="Q3797">
        <v>32</v>
      </c>
      <c r="R3797">
        <v>18.299999999999997</v>
      </c>
      <c r="S3797" t="s">
        <v>77</v>
      </c>
    </row>
    <row r="3798" spans="1:19" x14ac:dyDescent="0.35">
      <c r="A3798">
        <v>98426</v>
      </c>
      <c r="B3798" t="str">
        <f>"098426"</f>
        <v>098426</v>
      </c>
      <c r="C3798" t="s">
        <v>11507</v>
      </c>
      <c r="D3798" t="s">
        <v>3400</v>
      </c>
      <c r="E3798" t="s">
        <v>3395</v>
      </c>
      <c r="F3798" t="s">
        <v>3396</v>
      </c>
      <c r="G3798" t="s">
        <v>406</v>
      </c>
      <c r="H3798" t="s">
        <v>11508</v>
      </c>
      <c r="I3798" t="s">
        <v>11509</v>
      </c>
      <c r="J3798" t="s">
        <v>909</v>
      </c>
      <c r="K3798" t="s">
        <v>55</v>
      </c>
      <c r="L3798" t="s">
        <v>910</v>
      </c>
      <c r="M3798" t="s">
        <v>57</v>
      </c>
      <c r="N3798" t="str">
        <f>"043661"</f>
        <v>043661</v>
      </c>
      <c r="O3798" t="s">
        <v>906</v>
      </c>
      <c r="P3798" t="s">
        <v>68</v>
      </c>
      <c r="Q3798">
        <v>21.7</v>
      </c>
      <c r="R3798">
        <v>11.700000000000003</v>
      </c>
      <c r="S3798" t="s">
        <v>77</v>
      </c>
    </row>
    <row r="3799" spans="1:19" x14ac:dyDescent="0.35">
      <c r="A3799">
        <v>98467</v>
      </c>
      <c r="B3799" t="str">
        <f>"098467"</f>
        <v>098467</v>
      </c>
      <c r="C3799" t="s">
        <v>11510</v>
      </c>
      <c r="D3799" t="s">
        <v>3394</v>
      </c>
      <c r="E3799" t="s">
        <v>3395</v>
      </c>
      <c r="F3799" t="s">
        <v>3396</v>
      </c>
      <c r="G3799" t="s">
        <v>244</v>
      </c>
      <c r="H3799" t="s">
        <v>11511</v>
      </c>
      <c r="I3799" t="s">
        <v>11512</v>
      </c>
      <c r="J3799" t="s">
        <v>5918</v>
      </c>
      <c r="K3799" t="s">
        <v>55</v>
      </c>
      <c r="L3799" t="s">
        <v>5919</v>
      </c>
      <c r="M3799" t="s">
        <v>57</v>
      </c>
      <c r="N3799" t="str">
        <f>"046110"</f>
        <v>046110</v>
      </c>
      <c r="O3799" t="s">
        <v>2005</v>
      </c>
      <c r="P3799" t="s">
        <v>68</v>
      </c>
      <c r="Q3799">
        <v>31.8</v>
      </c>
      <c r="R3799">
        <v>47.9</v>
      </c>
      <c r="S3799" t="s">
        <v>217</v>
      </c>
    </row>
    <row r="3800" spans="1:19" x14ac:dyDescent="0.35">
      <c r="A3800">
        <v>98475</v>
      </c>
      <c r="B3800" t="str">
        <f>"098475"</f>
        <v>098475</v>
      </c>
      <c r="C3800" t="s">
        <v>11513</v>
      </c>
      <c r="D3800" t="s">
        <v>3400</v>
      </c>
      <c r="E3800" t="s">
        <v>3395</v>
      </c>
      <c r="F3800" t="s">
        <v>3396</v>
      </c>
      <c r="G3800" t="s">
        <v>600</v>
      </c>
      <c r="H3800" t="s">
        <v>11514</v>
      </c>
      <c r="I3800" t="s">
        <v>11515</v>
      </c>
      <c r="J3800" t="s">
        <v>1956</v>
      </c>
      <c r="K3800" t="s">
        <v>55</v>
      </c>
      <c r="L3800" t="s">
        <v>7495</v>
      </c>
      <c r="M3800" t="s">
        <v>57</v>
      </c>
      <c r="N3800" t="str">
        <f>"047027"</f>
        <v>047027</v>
      </c>
      <c r="O3800" t="s">
        <v>1953</v>
      </c>
      <c r="P3800" t="s">
        <v>68</v>
      </c>
      <c r="Q3800">
        <v>35.700000000000003</v>
      </c>
      <c r="R3800">
        <v>46.4</v>
      </c>
      <c r="S3800" t="s">
        <v>60</v>
      </c>
    </row>
    <row r="3801" spans="1:19" x14ac:dyDescent="0.35">
      <c r="A3801">
        <v>98483</v>
      </c>
      <c r="B3801" t="str">
        <f>"098483"</f>
        <v>098483</v>
      </c>
      <c r="C3801" t="s">
        <v>11516</v>
      </c>
      <c r="D3801" t="s">
        <v>3394</v>
      </c>
      <c r="E3801" t="s">
        <v>3395</v>
      </c>
      <c r="F3801" t="s">
        <v>3396</v>
      </c>
      <c r="G3801" t="s">
        <v>600</v>
      </c>
      <c r="H3801" t="s">
        <v>11517</v>
      </c>
      <c r="I3801" t="s">
        <v>11518</v>
      </c>
      <c r="J3801" t="s">
        <v>1956</v>
      </c>
      <c r="K3801" t="s">
        <v>55</v>
      </c>
      <c r="L3801" t="s">
        <v>1957</v>
      </c>
      <c r="M3801" t="s">
        <v>57</v>
      </c>
      <c r="N3801" t="str">
        <f>"047027"</f>
        <v>047027</v>
      </c>
      <c r="O3801" t="s">
        <v>1953</v>
      </c>
      <c r="P3801" t="s">
        <v>68</v>
      </c>
      <c r="Q3801">
        <v>30.1</v>
      </c>
      <c r="R3801">
        <v>47.5</v>
      </c>
      <c r="S3801" t="s">
        <v>60</v>
      </c>
    </row>
    <row r="3802" spans="1:19" x14ac:dyDescent="0.35">
      <c r="A3802">
        <v>98491</v>
      </c>
      <c r="B3802" t="str">
        <f>"098491"</f>
        <v>098491</v>
      </c>
      <c r="C3802" t="s">
        <v>11519</v>
      </c>
      <c r="D3802" t="s">
        <v>3394</v>
      </c>
      <c r="E3802" t="s">
        <v>3395</v>
      </c>
      <c r="F3802" t="s">
        <v>3396</v>
      </c>
      <c r="G3802" t="s">
        <v>600</v>
      </c>
      <c r="H3802" t="s">
        <v>11520</v>
      </c>
      <c r="I3802" t="s">
        <v>11521</v>
      </c>
      <c r="J3802" t="s">
        <v>1956</v>
      </c>
      <c r="K3802" t="s">
        <v>55</v>
      </c>
      <c r="L3802" t="s">
        <v>1957</v>
      </c>
      <c r="M3802" t="s">
        <v>57</v>
      </c>
      <c r="N3802" t="str">
        <f>"047027"</f>
        <v>047027</v>
      </c>
      <c r="O3802" t="s">
        <v>1953</v>
      </c>
      <c r="P3802" t="s">
        <v>68</v>
      </c>
      <c r="Q3802">
        <v>0</v>
      </c>
      <c r="R3802">
        <v>44.1</v>
      </c>
      <c r="S3802" t="s">
        <v>60</v>
      </c>
    </row>
    <row r="3803" spans="1:19" x14ac:dyDescent="0.35">
      <c r="A3803">
        <v>98525</v>
      </c>
      <c r="B3803" t="str">
        <f>"098525"</f>
        <v>098525</v>
      </c>
      <c r="C3803" t="s">
        <v>11408</v>
      </c>
      <c r="D3803" t="s">
        <v>3394</v>
      </c>
      <c r="E3803" t="s">
        <v>9538</v>
      </c>
      <c r="F3803" t="s">
        <v>3396</v>
      </c>
      <c r="G3803" t="s">
        <v>600</v>
      </c>
      <c r="H3803" t="s">
        <v>11522</v>
      </c>
      <c r="I3803" t="s">
        <v>11523</v>
      </c>
      <c r="J3803" t="s">
        <v>1136</v>
      </c>
      <c r="K3803" t="s">
        <v>55</v>
      </c>
      <c r="L3803" t="s">
        <v>1137</v>
      </c>
      <c r="M3803" t="s">
        <v>57</v>
      </c>
      <c r="N3803" t="str">
        <f>"098525"</f>
        <v>098525</v>
      </c>
      <c r="O3803" t="s">
        <v>11408</v>
      </c>
      <c r="P3803" t="s">
        <v>68</v>
      </c>
      <c r="Q3803" t="s">
        <v>68</v>
      </c>
      <c r="R3803" t="s">
        <v>68</v>
      </c>
      <c r="S3803" t="s">
        <v>60</v>
      </c>
    </row>
    <row r="3804" spans="1:19" x14ac:dyDescent="0.35">
      <c r="A3804">
        <v>98533</v>
      </c>
      <c r="B3804" t="str">
        <f>"098533"</f>
        <v>098533</v>
      </c>
      <c r="C3804" t="s">
        <v>11524</v>
      </c>
      <c r="D3804" t="s">
        <v>3394</v>
      </c>
      <c r="E3804" t="s">
        <v>9538</v>
      </c>
      <c r="F3804" t="s">
        <v>3396</v>
      </c>
      <c r="G3804" t="s">
        <v>600</v>
      </c>
      <c r="H3804" t="s">
        <v>7229</v>
      </c>
      <c r="I3804" t="s">
        <v>7230</v>
      </c>
      <c r="J3804" t="s">
        <v>1348</v>
      </c>
      <c r="K3804" t="s">
        <v>55</v>
      </c>
      <c r="L3804" t="s">
        <v>4906</v>
      </c>
      <c r="M3804" t="s">
        <v>57</v>
      </c>
      <c r="N3804" t="str">
        <f>"098533"</f>
        <v>098533</v>
      </c>
      <c r="O3804" t="s">
        <v>11524</v>
      </c>
      <c r="P3804" t="s">
        <v>68</v>
      </c>
      <c r="Q3804" t="s">
        <v>68</v>
      </c>
      <c r="R3804" t="s">
        <v>68</v>
      </c>
      <c r="S3804" t="s">
        <v>60</v>
      </c>
    </row>
    <row r="3805" spans="1:19" x14ac:dyDescent="0.35">
      <c r="A3805">
        <v>98533</v>
      </c>
      <c r="B3805" t="str">
        <f>"098533"</f>
        <v>098533</v>
      </c>
      <c r="C3805" t="s">
        <v>11524</v>
      </c>
      <c r="D3805" t="s">
        <v>9541</v>
      </c>
      <c r="E3805" t="s">
        <v>9538</v>
      </c>
      <c r="F3805" t="s">
        <v>3396</v>
      </c>
      <c r="G3805" t="s">
        <v>600</v>
      </c>
      <c r="H3805" t="s">
        <v>7229</v>
      </c>
      <c r="I3805" t="s">
        <v>7230</v>
      </c>
      <c r="J3805" t="s">
        <v>1348</v>
      </c>
      <c r="K3805" t="s">
        <v>55</v>
      </c>
      <c r="L3805" t="s">
        <v>4906</v>
      </c>
      <c r="M3805" t="s">
        <v>57</v>
      </c>
      <c r="N3805" t="str">
        <f>"098533"</f>
        <v>098533</v>
      </c>
      <c r="O3805" t="s">
        <v>11524</v>
      </c>
      <c r="P3805" t="s">
        <v>68</v>
      </c>
      <c r="Q3805" t="s">
        <v>68</v>
      </c>
      <c r="R3805" t="s">
        <v>68</v>
      </c>
      <c r="S3805" t="s">
        <v>60</v>
      </c>
    </row>
    <row r="3806" spans="1:19" x14ac:dyDescent="0.35">
      <c r="A3806">
        <v>98566</v>
      </c>
      <c r="B3806" t="str">
        <f>"098566"</f>
        <v>098566</v>
      </c>
      <c r="C3806" t="s">
        <v>11525</v>
      </c>
      <c r="D3806" t="s">
        <v>3400</v>
      </c>
      <c r="E3806" t="s">
        <v>3395</v>
      </c>
      <c r="F3806" t="s">
        <v>3396</v>
      </c>
      <c r="G3806" t="s">
        <v>169</v>
      </c>
      <c r="H3806" t="s">
        <v>2957</v>
      </c>
      <c r="I3806" t="s">
        <v>2958</v>
      </c>
      <c r="J3806" t="s">
        <v>2959</v>
      </c>
      <c r="K3806" t="s">
        <v>55</v>
      </c>
      <c r="L3806" t="s">
        <v>2960</v>
      </c>
      <c r="M3806" t="s">
        <v>57</v>
      </c>
      <c r="N3806" t="str">
        <f>"050237"</f>
        <v>050237</v>
      </c>
      <c r="O3806" t="s">
        <v>2956</v>
      </c>
      <c r="P3806" t="s">
        <v>68</v>
      </c>
      <c r="Q3806">
        <v>39.4</v>
      </c>
      <c r="R3806">
        <v>12.099999999999994</v>
      </c>
      <c r="S3806" t="s">
        <v>77</v>
      </c>
    </row>
    <row r="3807" spans="1:19" x14ac:dyDescent="0.35">
      <c r="A3807">
        <v>98574</v>
      </c>
      <c r="B3807" t="str">
        <f>"098574"</f>
        <v>098574</v>
      </c>
      <c r="C3807" t="s">
        <v>11526</v>
      </c>
      <c r="D3807" t="s">
        <v>3400</v>
      </c>
      <c r="E3807" t="s">
        <v>3395</v>
      </c>
      <c r="F3807" t="s">
        <v>3396</v>
      </c>
      <c r="G3807" t="s">
        <v>719</v>
      </c>
      <c r="H3807" t="s">
        <v>2561</v>
      </c>
      <c r="I3807" t="s">
        <v>2562</v>
      </c>
      <c r="J3807" t="s">
        <v>2563</v>
      </c>
      <c r="K3807" t="s">
        <v>55</v>
      </c>
      <c r="L3807" t="s">
        <v>2564</v>
      </c>
      <c r="M3807" t="s">
        <v>57</v>
      </c>
      <c r="N3807" t="str">
        <f>"045401"</f>
        <v>045401</v>
      </c>
      <c r="O3807" t="s">
        <v>2560</v>
      </c>
      <c r="P3807" t="s">
        <v>68</v>
      </c>
      <c r="Q3807">
        <v>60.8</v>
      </c>
      <c r="R3807">
        <v>7</v>
      </c>
      <c r="S3807" t="s">
        <v>130</v>
      </c>
    </row>
    <row r="3808" spans="1:19" x14ac:dyDescent="0.35">
      <c r="A3808">
        <v>98590</v>
      </c>
      <c r="B3808" t="str">
        <f>"098590"</f>
        <v>098590</v>
      </c>
      <c r="C3808" t="s">
        <v>11527</v>
      </c>
      <c r="D3808" t="s">
        <v>3398</v>
      </c>
      <c r="E3808" t="s">
        <v>3395</v>
      </c>
      <c r="F3808" t="s">
        <v>3396</v>
      </c>
      <c r="G3808" t="s">
        <v>212</v>
      </c>
      <c r="H3808" t="s">
        <v>11528</v>
      </c>
      <c r="I3808" t="s">
        <v>11529</v>
      </c>
      <c r="J3808" t="s">
        <v>215</v>
      </c>
      <c r="K3808" t="s">
        <v>55</v>
      </c>
      <c r="L3808" t="s">
        <v>6210</v>
      </c>
      <c r="M3808" t="s">
        <v>57</v>
      </c>
      <c r="N3808" t="str">
        <f>"043752"</f>
        <v>043752</v>
      </c>
      <c r="O3808" t="s">
        <v>440</v>
      </c>
      <c r="P3808" t="s">
        <v>68</v>
      </c>
      <c r="Q3808">
        <v>37.299999999999997</v>
      </c>
      <c r="R3808">
        <v>64</v>
      </c>
      <c r="S3808" t="s">
        <v>217</v>
      </c>
    </row>
    <row r="3809" spans="1:19" x14ac:dyDescent="0.35">
      <c r="A3809">
        <v>98640</v>
      </c>
      <c r="B3809" t="str">
        <f>"098640"</f>
        <v>098640</v>
      </c>
      <c r="C3809" t="s">
        <v>11530</v>
      </c>
      <c r="D3809" t="s">
        <v>3398</v>
      </c>
      <c r="E3809" t="s">
        <v>3395</v>
      </c>
      <c r="F3809" t="s">
        <v>3396</v>
      </c>
      <c r="G3809" t="s">
        <v>172</v>
      </c>
      <c r="H3809" t="s">
        <v>11531</v>
      </c>
      <c r="I3809" t="s">
        <v>11532</v>
      </c>
      <c r="J3809" t="s">
        <v>580</v>
      </c>
      <c r="K3809" t="s">
        <v>55</v>
      </c>
      <c r="L3809" t="s">
        <v>581</v>
      </c>
      <c r="M3809" t="s">
        <v>57</v>
      </c>
      <c r="N3809" t="str">
        <f>"050435"</f>
        <v>050435</v>
      </c>
      <c r="O3809" t="s">
        <v>577</v>
      </c>
      <c r="P3809" t="s">
        <v>68</v>
      </c>
      <c r="Q3809">
        <v>16.5</v>
      </c>
      <c r="R3809">
        <v>20.200000000000003</v>
      </c>
      <c r="S3809" t="s">
        <v>217</v>
      </c>
    </row>
    <row r="3810" spans="1:19" x14ac:dyDescent="0.35">
      <c r="A3810">
        <v>98731</v>
      </c>
      <c r="B3810" t="str">
        <f>"098731"</f>
        <v>098731</v>
      </c>
      <c r="C3810" t="s">
        <v>11533</v>
      </c>
      <c r="D3810" t="s">
        <v>3394</v>
      </c>
      <c r="E3810" t="s">
        <v>3395</v>
      </c>
      <c r="F3810" t="s">
        <v>3396</v>
      </c>
      <c r="G3810" t="s">
        <v>663</v>
      </c>
      <c r="H3810" t="s">
        <v>11534</v>
      </c>
      <c r="I3810" t="s">
        <v>11535</v>
      </c>
      <c r="J3810" t="s">
        <v>830</v>
      </c>
      <c r="K3810" t="s">
        <v>55</v>
      </c>
      <c r="L3810" t="s">
        <v>831</v>
      </c>
      <c r="M3810" t="s">
        <v>57</v>
      </c>
      <c r="N3810" t="str">
        <f>"049460"</f>
        <v>049460</v>
      </c>
      <c r="O3810" t="s">
        <v>827</v>
      </c>
      <c r="P3810" t="s">
        <v>68</v>
      </c>
      <c r="Q3810">
        <v>54.2</v>
      </c>
      <c r="R3810">
        <v>10.599999999999994</v>
      </c>
      <c r="S3810" t="s">
        <v>77</v>
      </c>
    </row>
    <row r="3811" spans="1:19" x14ac:dyDescent="0.35">
      <c r="A3811">
        <v>99127</v>
      </c>
      <c r="B3811" t="str">
        <f>"099127"</f>
        <v>099127</v>
      </c>
      <c r="C3811" t="s">
        <v>11536</v>
      </c>
      <c r="D3811" t="s">
        <v>3394</v>
      </c>
      <c r="E3811" t="s">
        <v>9538</v>
      </c>
      <c r="F3811" t="s">
        <v>3396</v>
      </c>
      <c r="G3811" t="s">
        <v>600</v>
      </c>
      <c r="H3811" t="s">
        <v>11537</v>
      </c>
      <c r="I3811" t="s">
        <v>11538</v>
      </c>
      <c r="J3811" t="s">
        <v>1348</v>
      </c>
      <c r="K3811" t="s">
        <v>55</v>
      </c>
      <c r="L3811" t="s">
        <v>2733</v>
      </c>
      <c r="M3811" t="s">
        <v>57</v>
      </c>
      <c r="N3811" t="str">
        <f>"099127"</f>
        <v>099127</v>
      </c>
      <c r="O3811" t="s">
        <v>11536</v>
      </c>
      <c r="P3811" t="s">
        <v>68</v>
      </c>
      <c r="Q3811" t="s">
        <v>68</v>
      </c>
      <c r="R3811" t="s">
        <v>68</v>
      </c>
      <c r="S3811" t="s">
        <v>60</v>
      </c>
    </row>
    <row r="3812" spans="1:19" x14ac:dyDescent="0.35">
      <c r="A3812">
        <v>99416</v>
      </c>
      <c r="B3812" t="str">
        <f>"099416"</f>
        <v>099416</v>
      </c>
      <c r="C3812" t="s">
        <v>11539</v>
      </c>
      <c r="D3812" t="s">
        <v>3400</v>
      </c>
      <c r="E3812" t="s">
        <v>3395</v>
      </c>
      <c r="F3812" t="s">
        <v>3396</v>
      </c>
      <c r="G3812" t="s">
        <v>63</v>
      </c>
      <c r="H3812" t="s">
        <v>11540</v>
      </c>
      <c r="I3812" t="s">
        <v>11541</v>
      </c>
      <c r="J3812" t="s">
        <v>452</v>
      </c>
      <c r="K3812" t="s">
        <v>55</v>
      </c>
      <c r="L3812" t="s">
        <v>453</v>
      </c>
      <c r="M3812" t="s">
        <v>57</v>
      </c>
      <c r="N3812" t="str">
        <f>"044545"</f>
        <v>044545</v>
      </c>
      <c r="O3812" t="s">
        <v>449</v>
      </c>
      <c r="P3812" t="s">
        <v>68</v>
      </c>
      <c r="Q3812">
        <v>19.2</v>
      </c>
      <c r="R3812">
        <v>18.200000000000003</v>
      </c>
      <c r="S3812" t="s">
        <v>69</v>
      </c>
    </row>
    <row r="3813" spans="1:19" x14ac:dyDescent="0.35">
      <c r="A3813">
        <v>99580</v>
      </c>
      <c r="B3813" t="str">
        <f>"099580"</f>
        <v>099580</v>
      </c>
      <c r="C3813" t="s">
        <v>11542</v>
      </c>
      <c r="D3813" t="s">
        <v>3394</v>
      </c>
      <c r="E3813" t="s">
        <v>3395</v>
      </c>
      <c r="F3813" t="s">
        <v>3396</v>
      </c>
      <c r="G3813" t="s">
        <v>600</v>
      </c>
      <c r="H3813" t="s">
        <v>11543</v>
      </c>
      <c r="I3813" t="s">
        <v>11544</v>
      </c>
      <c r="J3813" t="s">
        <v>11302</v>
      </c>
      <c r="K3813" t="s">
        <v>55</v>
      </c>
      <c r="L3813" t="s">
        <v>11303</v>
      </c>
      <c r="M3813" t="s">
        <v>57</v>
      </c>
      <c r="N3813" t="str">
        <f>"047027"</f>
        <v>047027</v>
      </c>
      <c r="O3813" t="s">
        <v>1953</v>
      </c>
      <c r="P3813" t="s">
        <v>68</v>
      </c>
      <c r="Q3813">
        <v>14.1</v>
      </c>
      <c r="R3813">
        <v>40.700000000000003</v>
      </c>
      <c r="S3813" t="s">
        <v>60</v>
      </c>
    </row>
    <row r="3814" spans="1:19" x14ac:dyDescent="0.35">
      <c r="A3814">
        <v>99598</v>
      </c>
      <c r="B3814" t="str">
        <f>"099598"</f>
        <v>099598</v>
      </c>
      <c r="C3814" t="s">
        <v>11545</v>
      </c>
      <c r="D3814" t="s">
        <v>3394</v>
      </c>
      <c r="E3814" t="s">
        <v>3395</v>
      </c>
      <c r="F3814" t="s">
        <v>3396</v>
      </c>
      <c r="G3814" t="s">
        <v>600</v>
      </c>
      <c r="H3814" t="s">
        <v>11546</v>
      </c>
      <c r="I3814" t="s">
        <v>11547</v>
      </c>
      <c r="J3814" t="s">
        <v>1348</v>
      </c>
      <c r="K3814" t="s">
        <v>55</v>
      </c>
      <c r="L3814" t="s">
        <v>4008</v>
      </c>
      <c r="M3814" t="s">
        <v>57</v>
      </c>
      <c r="N3814" t="str">
        <f>"047027"</f>
        <v>047027</v>
      </c>
      <c r="O3814" t="s">
        <v>1953</v>
      </c>
      <c r="P3814" t="s">
        <v>68</v>
      </c>
      <c r="Q3814">
        <v>59.6</v>
      </c>
      <c r="R3814">
        <v>53.8</v>
      </c>
      <c r="S3814" t="s">
        <v>60</v>
      </c>
    </row>
    <row r="3815" spans="1:19" x14ac:dyDescent="0.35">
      <c r="A3815">
        <v>99606</v>
      </c>
      <c r="B3815" t="str">
        <f>"099606"</f>
        <v>099606</v>
      </c>
      <c r="C3815" t="s">
        <v>11548</v>
      </c>
      <c r="D3815" t="s">
        <v>3394</v>
      </c>
      <c r="E3815" t="s">
        <v>3395</v>
      </c>
      <c r="F3815" t="s">
        <v>3396</v>
      </c>
      <c r="G3815" t="s">
        <v>212</v>
      </c>
      <c r="H3815" t="s">
        <v>11549</v>
      </c>
      <c r="I3815" t="s">
        <v>11550</v>
      </c>
      <c r="J3815" t="s">
        <v>215</v>
      </c>
      <c r="K3815" t="s">
        <v>55</v>
      </c>
      <c r="L3815" t="s">
        <v>216</v>
      </c>
      <c r="M3815" t="s">
        <v>57</v>
      </c>
      <c r="N3815" t="str">
        <f>"045435"</f>
        <v>045435</v>
      </c>
      <c r="O3815" t="s">
        <v>211</v>
      </c>
      <c r="P3815" t="s">
        <v>68</v>
      </c>
      <c r="Q3815">
        <v>4.5</v>
      </c>
      <c r="R3815">
        <v>21.200000000000003</v>
      </c>
      <c r="S3815" t="s">
        <v>217</v>
      </c>
    </row>
    <row r="3816" spans="1:19" x14ac:dyDescent="0.35">
      <c r="A3816">
        <v>99648</v>
      </c>
      <c r="B3816" t="str">
        <f>"099648"</f>
        <v>099648</v>
      </c>
      <c r="C3816" t="s">
        <v>11551</v>
      </c>
      <c r="D3816" t="s">
        <v>3394</v>
      </c>
      <c r="E3816" t="s">
        <v>3395</v>
      </c>
      <c r="F3816" t="s">
        <v>3396</v>
      </c>
      <c r="G3816" t="s">
        <v>600</v>
      </c>
      <c r="H3816" t="s">
        <v>11552</v>
      </c>
      <c r="I3816" t="s">
        <v>11553</v>
      </c>
      <c r="J3816" t="s">
        <v>2690</v>
      </c>
      <c r="K3816" t="s">
        <v>55</v>
      </c>
      <c r="L3816" t="s">
        <v>2691</v>
      </c>
      <c r="M3816" t="s">
        <v>57</v>
      </c>
      <c r="N3816" t="str">
        <f>"045047"</f>
        <v>045047</v>
      </c>
      <c r="O3816" t="s">
        <v>2687</v>
      </c>
      <c r="P3816" t="s">
        <v>68</v>
      </c>
      <c r="Q3816">
        <v>31.8</v>
      </c>
      <c r="R3816">
        <v>45.5</v>
      </c>
      <c r="S3816" t="s">
        <v>60</v>
      </c>
    </row>
    <row r="3817" spans="1:19" x14ac:dyDescent="0.35">
      <c r="A3817">
        <v>99655</v>
      </c>
      <c r="B3817" t="str">
        <f>"099655"</f>
        <v>099655</v>
      </c>
      <c r="C3817" t="s">
        <v>11554</v>
      </c>
      <c r="D3817" t="s">
        <v>3394</v>
      </c>
      <c r="E3817" t="s">
        <v>3395</v>
      </c>
      <c r="F3817" t="s">
        <v>3396</v>
      </c>
      <c r="G3817" t="s">
        <v>600</v>
      </c>
      <c r="H3817" t="s">
        <v>11555</v>
      </c>
      <c r="I3817" t="s">
        <v>11556</v>
      </c>
      <c r="J3817" t="s">
        <v>2690</v>
      </c>
      <c r="K3817" t="s">
        <v>55</v>
      </c>
      <c r="L3817" t="s">
        <v>2691</v>
      </c>
      <c r="M3817" t="s">
        <v>57</v>
      </c>
      <c r="N3817" t="str">
        <f>"045047"</f>
        <v>045047</v>
      </c>
      <c r="O3817" t="s">
        <v>2687</v>
      </c>
      <c r="P3817" t="s">
        <v>68</v>
      </c>
      <c r="Q3817">
        <v>48.4</v>
      </c>
      <c r="R3817">
        <v>60.9</v>
      </c>
      <c r="S3817" t="s">
        <v>60</v>
      </c>
    </row>
    <row r="3818" spans="1:19" x14ac:dyDescent="0.35">
      <c r="A3818">
        <v>99663</v>
      </c>
      <c r="B3818" t="str">
        <f>"099663"</f>
        <v>099663</v>
      </c>
      <c r="C3818" t="s">
        <v>11557</v>
      </c>
      <c r="D3818" t="s">
        <v>3400</v>
      </c>
      <c r="E3818" t="s">
        <v>3395</v>
      </c>
      <c r="F3818" t="s">
        <v>3396</v>
      </c>
      <c r="G3818" t="s">
        <v>52</v>
      </c>
      <c r="H3818" t="s">
        <v>11558</v>
      </c>
      <c r="I3818" t="s">
        <v>11559</v>
      </c>
      <c r="J3818" t="s">
        <v>2690</v>
      </c>
      <c r="K3818" t="s">
        <v>55</v>
      </c>
      <c r="L3818" t="s">
        <v>10334</v>
      </c>
      <c r="M3818" t="s">
        <v>57</v>
      </c>
      <c r="N3818" t="str">
        <f>"045047"</f>
        <v>045047</v>
      </c>
      <c r="O3818" t="s">
        <v>2687</v>
      </c>
      <c r="P3818" t="s">
        <v>68</v>
      </c>
      <c r="Q3818">
        <v>50.5</v>
      </c>
      <c r="R3818">
        <v>58.6</v>
      </c>
      <c r="S3818" t="s">
        <v>60</v>
      </c>
    </row>
    <row r="3819" spans="1:19" x14ac:dyDescent="0.35">
      <c r="A3819">
        <v>99754</v>
      </c>
      <c r="B3819" t="str">
        <f>"099754"</f>
        <v>099754</v>
      </c>
      <c r="C3819" t="s">
        <v>11560</v>
      </c>
      <c r="D3819" t="s">
        <v>3400</v>
      </c>
      <c r="E3819" t="s">
        <v>3395</v>
      </c>
      <c r="F3819" t="s">
        <v>3396</v>
      </c>
      <c r="G3819" t="s">
        <v>244</v>
      </c>
      <c r="H3819" t="s">
        <v>11561</v>
      </c>
      <c r="I3819" t="s">
        <v>11562</v>
      </c>
      <c r="J3819" t="s">
        <v>1748</v>
      </c>
      <c r="K3819" t="s">
        <v>55</v>
      </c>
      <c r="L3819" t="s">
        <v>1749</v>
      </c>
      <c r="M3819" t="s">
        <v>57</v>
      </c>
      <c r="N3819" t="str">
        <f>"046151"</f>
        <v>046151</v>
      </c>
      <c r="O3819" t="s">
        <v>1745</v>
      </c>
      <c r="P3819" t="s">
        <v>68</v>
      </c>
      <c r="Q3819">
        <v>33.700000000000003</v>
      </c>
      <c r="R3819">
        <v>11</v>
      </c>
      <c r="S3819" t="s">
        <v>217</v>
      </c>
    </row>
    <row r="3820" spans="1:19" x14ac:dyDescent="0.35">
      <c r="A3820">
        <v>99804</v>
      </c>
      <c r="B3820" t="str">
        <f>"099804"</f>
        <v>099804</v>
      </c>
      <c r="C3820" t="s">
        <v>11563</v>
      </c>
      <c r="D3820" t="s">
        <v>3394</v>
      </c>
      <c r="E3820" t="s">
        <v>3395</v>
      </c>
      <c r="F3820" t="s">
        <v>3396</v>
      </c>
      <c r="G3820" t="s">
        <v>212</v>
      </c>
      <c r="H3820" t="s">
        <v>11564</v>
      </c>
      <c r="I3820" t="s">
        <v>11565</v>
      </c>
      <c r="J3820" t="s">
        <v>3371</v>
      </c>
      <c r="K3820" t="s">
        <v>55</v>
      </c>
      <c r="L3820" t="s">
        <v>3372</v>
      </c>
      <c r="M3820" t="s">
        <v>57</v>
      </c>
      <c r="N3820" t="str">
        <f>"044867"</f>
        <v>044867</v>
      </c>
      <c r="O3820" t="s">
        <v>2415</v>
      </c>
      <c r="P3820" t="s">
        <v>68</v>
      </c>
      <c r="Q3820">
        <v>15.3</v>
      </c>
      <c r="R3820">
        <v>51.8</v>
      </c>
      <c r="S3820" t="s">
        <v>217</v>
      </c>
    </row>
    <row r="3821" spans="1:19" x14ac:dyDescent="0.35">
      <c r="A3821">
        <v>99812</v>
      </c>
      <c r="B3821" t="str">
        <f>"099812"</f>
        <v>099812</v>
      </c>
      <c r="C3821" t="s">
        <v>11566</v>
      </c>
      <c r="D3821" t="s">
        <v>3394</v>
      </c>
      <c r="E3821" t="s">
        <v>3395</v>
      </c>
      <c r="F3821" t="s">
        <v>3396</v>
      </c>
      <c r="G3821" t="s">
        <v>63</v>
      </c>
      <c r="H3821" t="s">
        <v>2867</v>
      </c>
      <c r="I3821" t="s">
        <v>2868</v>
      </c>
      <c r="J3821" t="s">
        <v>2869</v>
      </c>
      <c r="K3821" t="s">
        <v>55</v>
      </c>
      <c r="L3821" t="s">
        <v>2870</v>
      </c>
      <c r="M3821" t="s">
        <v>57</v>
      </c>
      <c r="N3821" t="str">
        <f>"043976"</f>
        <v>043976</v>
      </c>
      <c r="O3821" t="s">
        <v>2866</v>
      </c>
      <c r="P3821" t="s">
        <v>68</v>
      </c>
      <c r="Q3821">
        <v>22.6</v>
      </c>
      <c r="R3821">
        <v>12.799999999999997</v>
      </c>
      <c r="S3821" t="s">
        <v>69</v>
      </c>
    </row>
    <row r="3822" spans="1:19" x14ac:dyDescent="0.35">
      <c r="A3822">
        <v>99853</v>
      </c>
      <c r="B3822" t="str">
        <f>"099853"</f>
        <v>099853</v>
      </c>
      <c r="C3822" t="s">
        <v>11567</v>
      </c>
      <c r="D3822" t="s">
        <v>3400</v>
      </c>
      <c r="E3822" t="s">
        <v>3395</v>
      </c>
      <c r="F3822" t="s">
        <v>3396</v>
      </c>
      <c r="G3822" t="s">
        <v>250</v>
      </c>
      <c r="H3822" t="s">
        <v>1583</v>
      </c>
      <c r="I3822" t="s">
        <v>1584</v>
      </c>
      <c r="J3822" t="s">
        <v>1585</v>
      </c>
      <c r="K3822" t="s">
        <v>55</v>
      </c>
      <c r="L3822" t="s">
        <v>1586</v>
      </c>
      <c r="M3822" t="s">
        <v>57</v>
      </c>
      <c r="N3822" t="str">
        <f>"046391"</f>
        <v>046391</v>
      </c>
      <c r="O3822" t="s">
        <v>1582</v>
      </c>
      <c r="P3822" t="s">
        <v>68</v>
      </c>
      <c r="Q3822">
        <v>19.5</v>
      </c>
      <c r="R3822">
        <v>3.0999999999999943</v>
      </c>
      <c r="S3822" t="s">
        <v>60</v>
      </c>
    </row>
    <row r="3823" spans="1:19" x14ac:dyDescent="0.35">
      <c r="A3823">
        <v>110007</v>
      </c>
      <c r="B3823" t="str">
        <f>"110007"</f>
        <v>110007</v>
      </c>
      <c r="C3823" t="s">
        <v>11568</v>
      </c>
      <c r="D3823" t="s">
        <v>3506</v>
      </c>
      <c r="E3823" t="s">
        <v>3395</v>
      </c>
      <c r="F3823" t="s">
        <v>3396</v>
      </c>
      <c r="G3823" t="s">
        <v>1359</v>
      </c>
      <c r="H3823" t="s">
        <v>4175</v>
      </c>
      <c r="I3823" t="s">
        <v>4176</v>
      </c>
      <c r="J3823" t="s">
        <v>1362</v>
      </c>
      <c r="K3823" t="s">
        <v>55</v>
      </c>
      <c r="L3823" t="s">
        <v>1363</v>
      </c>
      <c r="M3823" t="s">
        <v>57</v>
      </c>
      <c r="N3823" t="str">
        <f>"048793"</f>
        <v>048793</v>
      </c>
      <c r="O3823" t="s">
        <v>1358</v>
      </c>
      <c r="P3823" t="s">
        <v>68</v>
      </c>
      <c r="Q3823">
        <v>42.3</v>
      </c>
      <c r="R3823">
        <v>5.2000000000000028</v>
      </c>
      <c r="S3823" t="s">
        <v>60</v>
      </c>
    </row>
    <row r="3824" spans="1:19" x14ac:dyDescent="0.35">
      <c r="A3824">
        <v>110031</v>
      </c>
      <c r="B3824" t="str">
        <f>"110031"</f>
        <v>110031</v>
      </c>
      <c r="C3824" t="s">
        <v>11569</v>
      </c>
      <c r="D3824" t="s">
        <v>3398</v>
      </c>
      <c r="E3824" t="s">
        <v>9538</v>
      </c>
      <c r="F3824" t="s">
        <v>3396</v>
      </c>
      <c r="G3824" t="s">
        <v>187</v>
      </c>
      <c r="H3824" t="s">
        <v>11570</v>
      </c>
      <c r="I3824" t="s">
        <v>11571</v>
      </c>
      <c r="J3824" t="s">
        <v>309</v>
      </c>
      <c r="K3824" t="s">
        <v>55</v>
      </c>
      <c r="L3824" t="s">
        <v>310</v>
      </c>
      <c r="M3824" t="s">
        <v>57</v>
      </c>
      <c r="N3824" t="str">
        <f>"110031"</f>
        <v>110031</v>
      </c>
      <c r="O3824" t="s">
        <v>11569</v>
      </c>
      <c r="P3824" t="s">
        <v>68</v>
      </c>
      <c r="Q3824" t="s">
        <v>68</v>
      </c>
      <c r="R3824" t="s">
        <v>68</v>
      </c>
      <c r="S3824" t="s">
        <v>77</v>
      </c>
    </row>
    <row r="3825" spans="1:19" x14ac:dyDescent="0.35">
      <c r="A3825">
        <v>110403</v>
      </c>
      <c r="B3825" t="str">
        <f>"110403"</f>
        <v>110403</v>
      </c>
      <c r="C3825" t="s">
        <v>11572</v>
      </c>
      <c r="D3825" t="s">
        <v>3394</v>
      </c>
      <c r="E3825" t="s">
        <v>9538</v>
      </c>
      <c r="F3825" t="s">
        <v>3396</v>
      </c>
      <c r="G3825" t="s">
        <v>600</v>
      </c>
      <c r="H3825" t="s">
        <v>11573</v>
      </c>
      <c r="I3825" t="s">
        <v>11574</v>
      </c>
      <c r="J3825" t="s">
        <v>1348</v>
      </c>
      <c r="K3825" t="s">
        <v>55</v>
      </c>
      <c r="L3825" t="s">
        <v>3732</v>
      </c>
      <c r="M3825" t="s">
        <v>57</v>
      </c>
      <c r="N3825" t="str">
        <f>"000136"</f>
        <v>000136</v>
      </c>
      <c r="O3825" t="s">
        <v>2853</v>
      </c>
      <c r="P3825" t="s">
        <v>68</v>
      </c>
      <c r="Q3825" t="s">
        <v>68</v>
      </c>
      <c r="R3825" t="s">
        <v>68</v>
      </c>
      <c r="S3825" t="s">
        <v>60</v>
      </c>
    </row>
    <row r="3826" spans="1:19" x14ac:dyDescent="0.35">
      <c r="A3826">
        <v>110403</v>
      </c>
      <c r="B3826" t="str">
        <f>"110403"</f>
        <v>110403</v>
      </c>
      <c r="C3826" t="s">
        <v>11572</v>
      </c>
      <c r="D3826" t="s">
        <v>9541</v>
      </c>
      <c r="E3826" t="s">
        <v>9538</v>
      </c>
      <c r="F3826" t="s">
        <v>3396</v>
      </c>
      <c r="G3826" t="s">
        <v>600</v>
      </c>
      <c r="H3826" t="s">
        <v>11573</v>
      </c>
      <c r="I3826" t="s">
        <v>11574</v>
      </c>
      <c r="J3826" t="s">
        <v>1348</v>
      </c>
      <c r="K3826" t="s">
        <v>55</v>
      </c>
      <c r="L3826" t="s">
        <v>3732</v>
      </c>
      <c r="M3826" t="s">
        <v>57</v>
      </c>
      <c r="N3826" t="str">
        <f>"000136"</f>
        <v>000136</v>
      </c>
      <c r="O3826" t="s">
        <v>2853</v>
      </c>
      <c r="P3826" t="s">
        <v>68</v>
      </c>
      <c r="Q3826" t="s">
        <v>68</v>
      </c>
      <c r="R3826" t="s">
        <v>68</v>
      </c>
      <c r="S3826" t="s">
        <v>60</v>
      </c>
    </row>
    <row r="3827" spans="1:19" x14ac:dyDescent="0.35">
      <c r="A3827">
        <v>110411</v>
      </c>
      <c r="B3827" t="str">
        <f>"110411"</f>
        <v>110411</v>
      </c>
      <c r="C3827" t="s">
        <v>11575</v>
      </c>
      <c r="D3827" t="s">
        <v>3394</v>
      </c>
      <c r="E3827" t="s">
        <v>9538</v>
      </c>
      <c r="F3827" t="s">
        <v>3396</v>
      </c>
      <c r="G3827" t="s">
        <v>135</v>
      </c>
      <c r="H3827" t="s">
        <v>11576</v>
      </c>
      <c r="I3827" t="s">
        <v>11577</v>
      </c>
      <c r="J3827" t="s">
        <v>651</v>
      </c>
      <c r="K3827" t="s">
        <v>55</v>
      </c>
      <c r="L3827" t="s">
        <v>652</v>
      </c>
      <c r="M3827" t="s">
        <v>57</v>
      </c>
      <c r="N3827" t="str">
        <f>"110411"</f>
        <v>110411</v>
      </c>
      <c r="O3827" t="s">
        <v>11575</v>
      </c>
      <c r="P3827" t="s">
        <v>68</v>
      </c>
      <c r="Q3827" t="s">
        <v>68</v>
      </c>
      <c r="R3827" t="s">
        <v>68</v>
      </c>
      <c r="S3827" t="s">
        <v>130</v>
      </c>
    </row>
    <row r="3828" spans="1:19" x14ac:dyDescent="0.35">
      <c r="A3828">
        <v>110460</v>
      </c>
      <c r="B3828" t="str">
        <f>"110460"</f>
        <v>110460</v>
      </c>
      <c r="C3828" t="s">
        <v>11578</v>
      </c>
      <c r="D3828" t="s">
        <v>3394</v>
      </c>
      <c r="E3828" t="s">
        <v>3395</v>
      </c>
      <c r="F3828" t="s">
        <v>3396</v>
      </c>
      <c r="G3828" t="s">
        <v>600</v>
      </c>
      <c r="H3828" t="s">
        <v>11579</v>
      </c>
      <c r="I3828" t="s">
        <v>11580</v>
      </c>
      <c r="J3828" t="s">
        <v>1500</v>
      </c>
      <c r="K3828" t="s">
        <v>55</v>
      </c>
      <c r="L3828" t="s">
        <v>1501</v>
      </c>
      <c r="M3828" t="s">
        <v>57</v>
      </c>
      <c r="N3828" t="str">
        <f>"045138"</f>
        <v>045138</v>
      </c>
      <c r="O3828" t="s">
        <v>1497</v>
      </c>
      <c r="P3828" t="s">
        <v>68</v>
      </c>
      <c r="Q3828">
        <v>56.8</v>
      </c>
      <c r="R3828">
        <v>65.3</v>
      </c>
      <c r="S3828" t="s">
        <v>60</v>
      </c>
    </row>
    <row r="3829" spans="1:19" x14ac:dyDescent="0.35">
      <c r="A3829">
        <v>110619</v>
      </c>
      <c r="B3829" t="str">
        <f>"110619"</f>
        <v>110619</v>
      </c>
      <c r="C3829" t="s">
        <v>11581</v>
      </c>
      <c r="D3829" t="s">
        <v>3398</v>
      </c>
      <c r="E3829" t="s">
        <v>9538</v>
      </c>
      <c r="F3829" t="s">
        <v>3396</v>
      </c>
      <c r="G3829" t="s">
        <v>63</v>
      </c>
      <c r="H3829" t="s">
        <v>11582</v>
      </c>
      <c r="I3829" t="s">
        <v>11583</v>
      </c>
      <c r="J3829" t="s">
        <v>285</v>
      </c>
      <c r="K3829" t="s">
        <v>55</v>
      </c>
      <c r="L3829" t="s">
        <v>3458</v>
      </c>
      <c r="M3829" t="s">
        <v>57</v>
      </c>
      <c r="N3829" t="str">
        <f>"110619"</f>
        <v>110619</v>
      </c>
      <c r="O3829" t="s">
        <v>11581</v>
      </c>
      <c r="P3829" t="s">
        <v>68</v>
      </c>
      <c r="Q3829" t="s">
        <v>68</v>
      </c>
      <c r="R3829" t="s">
        <v>68</v>
      </c>
      <c r="S3829" t="s">
        <v>69</v>
      </c>
    </row>
    <row r="3830" spans="1:19" x14ac:dyDescent="0.35">
      <c r="A3830">
        <v>110619</v>
      </c>
      <c r="B3830" t="str">
        <f>"110619"</f>
        <v>110619</v>
      </c>
      <c r="C3830" t="s">
        <v>11581</v>
      </c>
      <c r="D3830" t="s">
        <v>9541</v>
      </c>
      <c r="E3830" t="s">
        <v>9538</v>
      </c>
      <c r="F3830" t="s">
        <v>3396</v>
      </c>
      <c r="G3830" t="s">
        <v>63</v>
      </c>
      <c r="H3830" t="s">
        <v>11582</v>
      </c>
      <c r="I3830" t="s">
        <v>11583</v>
      </c>
      <c r="J3830" t="s">
        <v>285</v>
      </c>
      <c r="K3830" t="s">
        <v>55</v>
      </c>
      <c r="L3830" t="s">
        <v>3458</v>
      </c>
      <c r="M3830" t="s">
        <v>57</v>
      </c>
      <c r="N3830" t="str">
        <f>"110619"</f>
        <v>110619</v>
      </c>
      <c r="O3830" t="s">
        <v>11581</v>
      </c>
      <c r="P3830" t="s">
        <v>68</v>
      </c>
      <c r="Q3830" t="s">
        <v>68</v>
      </c>
      <c r="R3830" t="s">
        <v>68</v>
      </c>
      <c r="S3830" t="s">
        <v>69</v>
      </c>
    </row>
    <row r="3831" spans="1:19" x14ac:dyDescent="0.35">
      <c r="A3831">
        <v>110684</v>
      </c>
      <c r="B3831" t="str">
        <f>"110684"</f>
        <v>110684</v>
      </c>
      <c r="C3831" t="s">
        <v>11584</v>
      </c>
      <c r="D3831" t="s">
        <v>3394</v>
      </c>
      <c r="E3831" t="s">
        <v>9538</v>
      </c>
      <c r="F3831" t="s">
        <v>3396</v>
      </c>
      <c r="G3831" t="s">
        <v>325</v>
      </c>
      <c r="H3831" t="s">
        <v>11585</v>
      </c>
      <c r="I3831" t="s">
        <v>11586</v>
      </c>
      <c r="J3831" t="s">
        <v>2819</v>
      </c>
      <c r="K3831" t="s">
        <v>55</v>
      </c>
      <c r="L3831" t="s">
        <v>2820</v>
      </c>
      <c r="M3831" t="s">
        <v>57</v>
      </c>
      <c r="N3831" t="str">
        <f>"110684"</f>
        <v>110684</v>
      </c>
      <c r="O3831" t="s">
        <v>11587</v>
      </c>
      <c r="P3831" t="s">
        <v>68</v>
      </c>
      <c r="Q3831" t="s">
        <v>68</v>
      </c>
      <c r="R3831" t="s">
        <v>68</v>
      </c>
      <c r="S3831" t="s">
        <v>180</v>
      </c>
    </row>
    <row r="3832" spans="1:19" x14ac:dyDescent="0.35">
      <c r="A3832">
        <v>110692</v>
      </c>
      <c r="B3832" t="str">
        <f>"110692"</f>
        <v>110692</v>
      </c>
      <c r="C3832" t="s">
        <v>11588</v>
      </c>
      <c r="D3832" t="s">
        <v>3394</v>
      </c>
      <c r="E3832" t="s">
        <v>9538</v>
      </c>
      <c r="F3832" t="s">
        <v>3396</v>
      </c>
      <c r="G3832" t="s">
        <v>233</v>
      </c>
      <c r="H3832" t="s">
        <v>11589</v>
      </c>
      <c r="I3832" t="s">
        <v>11590</v>
      </c>
      <c r="J3832" t="s">
        <v>3272</v>
      </c>
      <c r="K3832" t="s">
        <v>55</v>
      </c>
      <c r="L3832" t="s">
        <v>3273</v>
      </c>
      <c r="M3832" t="s">
        <v>57</v>
      </c>
      <c r="N3832" t="str">
        <f>"110692"</f>
        <v>110692</v>
      </c>
      <c r="O3832" t="s">
        <v>11588</v>
      </c>
      <c r="P3832" t="s">
        <v>68</v>
      </c>
      <c r="Q3832" t="s">
        <v>68</v>
      </c>
      <c r="R3832" t="s">
        <v>68</v>
      </c>
      <c r="S3832" t="s">
        <v>130</v>
      </c>
    </row>
    <row r="3833" spans="1:19" x14ac:dyDescent="0.35">
      <c r="A3833">
        <v>111054</v>
      </c>
      <c r="B3833" t="str">
        <f>"111054"</f>
        <v>111054</v>
      </c>
      <c r="C3833" t="s">
        <v>11591</v>
      </c>
      <c r="D3833" t="s">
        <v>3394</v>
      </c>
      <c r="E3833" t="s">
        <v>3395</v>
      </c>
      <c r="F3833" t="s">
        <v>3396</v>
      </c>
      <c r="G3833" t="s">
        <v>423</v>
      </c>
      <c r="H3833" t="s">
        <v>2117</v>
      </c>
      <c r="I3833" t="s">
        <v>2118</v>
      </c>
      <c r="J3833" t="s">
        <v>2119</v>
      </c>
      <c r="K3833" t="s">
        <v>55</v>
      </c>
      <c r="L3833" t="s">
        <v>2120</v>
      </c>
      <c r="M3833" t="s">
        <v>57</v>
      </c>
      <c r="N3833" t="str">
        <f>"045310"</f>
        <v>045310</v>
      </c>
      <c r="O3833" t="s">
        <v>2116</v>
      </c>
      <c r="P3833" t="s">
        <v>68</v>
      </c>
      <c r="Q3833">
        <v>13.6</v>
      </c>
      <c r="R3833">
        <v>3.2999999999999972</v>
      </c>
      <c r="S3833" t="s">
        <v>156</v>
      </c>
    </row>
    <row r="3834" spans="1:19" x14ac:dyDescent="0.35">
      <c r="A3834">
        <v>111062</v>
      </c>
      <c r="B3834" t="str">
        <f>"111062"</f>
        <v>111062</v>
      </c>
      <c r="C3834" t="s">
        <v>11592</v>
      </c>
      <c r="D3834" t="s">
        <v>3394</v>
      </c>
      <c r="E3834" t="s">
        <v>3395</v>
      </c>
      <c r="F3834" t="s">
        <v>3396</v>
      </c>
      <c r="G3834" t="s">
        <v>63</v>
      </c>
      <c r="H3834" t="s">
        <v>11593</v>
      </c>
      <c r="I3834" t="s">
        <v>11594</v>
      </c>
      <c r="J3834" t="s">
        <v>2775</v>
      </c>
      <c r="K3834" t="s">
        <v>55</v>
      </c>
      <c r="L3834" t="s">
        <v>2776</v>
      </c>
      <c r="M3834" t="s">
        <v>57</v>
      </c>
      <c r="N3834" t="str">
        <f>"044529"</f>
        <v>044529</v>
      </c>
      <c r="O3834" t="s">
        <v>2772</v>
      </c>
      <c r="P3834" t="s">
        <v>68</v>
      </c>
      <c r="Q3834">
        <v>33.299999999999997</v>
      </c>
      <c r="R3834">
        <v>25.400000000000006</v>
      </c>
      <c r="S3834" t="s">
        <v>69</v>
      </c>
    </row>
    <row r="3835" spans="1:19" x14ac:dyDescent="0.35">
      <c r="A3835">
        <v>111138</v>
      </c>
      <c r="B3835" t="str">
        <f>"111138"</f>
        <v>111138</v>
      </c>
      <c r="C3835" t="s">
        <v>11595</v>
      </c>
      <c r="D3835" t="s">
        <v>3398</v>
      </c>
      <c r="E3835" t="s">
        <v>3395</v>
      </c>
      <c r="F3835" t="s">
        <v>3396</v>
      </c>
      <c r="G3835" t="s">
        <v>135</v>
      </c>
      <c r="H3835" t="s">
        <v>11596</v>
      </c>
      <c r="I3835" t="s">
        <v>11597</v>
      </c>
      <c r="J3835" t="s">
        <v>8989</v>
      </c>
      <c r="K3835" t="s">
        <v>55</v>
      </c>
      <c r="L3835" t="s">
        <v>8990</v>
      </c>
      <c r="M3835" t="s">
        <v>57</v>
      </c>
      <c r="N3835" t="str">
        <f>"047787"</f>
        <v>047787</v>
      </c>
      <c r="O3835" t="s">
        <v>742</v>
      </c>
      <c r="P3835" t="s">
        <v>68</v>
      </c>
      <c r="Q3835">
        <v>51.3</v>
      </c>
      <c r="R3835">
        <v>3.5</v>
      </c>
      <c r="S3835" t="s">
        <v>130</v>
      </c>
    </row>
    <row r="3836" spans="1:19" x14ac:dyDescent="0.35">
      <c r="A3836">
        <v>111146</v>
      </c>
      <c r="B3836" t="str">
        <f>"111146"</f>
        <v>111146</v>
      </c>
      <c r="C3836" t="s">
        <v>11598</v>
      </c>
      <c r="D3836" t="s">
        <v>3394</v>
      </c>
      <c r="E3836" t="s">
        <v>3395</v>
      </c>
      <c r="F3836" t="s">
        <v>3396</v>
      </c>
      <c r="G3836" t="s">
        <v>226</v>
      </c>
      <c r="H3836" t="s">
        <v>11599</v>
      </c>
      <c r="I3836" t="s">
        <v>11600</v>
      </c>
      <c r="J3836" t="s">
        <v>944</v>
      </c>
      <c r="K3836" t="s">
        <v>55</v>
      </c>
      <c r="L3836" t="s">
        <v>945</v>
      </c>
      <c r="M3836" t="s">
        <v>57</v>
      </c>
      <c r="N3836" t="str">
        <f>"045583"</f>
        <v>045583</v>
      </c>
      <c r="O3836" t="s">
        <v>1899</v>
      </c>
      <c r="P3836" t="s">
        <v>68</v>
      </c>
      <c r="Q3836">
        <v>6.1</v>
      </c>
      <c r="R3836">
        <v>21</v>
      </c>
      <c r="S3836" t="s">
        <v>156</v>
      </c>
    </row>
    <row r="3837" spans="1:19" x14ac:dyDescent="0.35">
      <c r="A3837">
        <v>111179</v>
      </c>
      <c r="B3837" t="str">
        <f>"111179"</f>
        <v>111179</v>
      </c>
      <c r="C3837" t="s">
        <v>11601</v>
      </c>
      <c r="D3837" t="s">
        <v>3394</v>
      </c>
      <c r="E3837" t="s">
        <v>3395</v>
      </c>
      <c r="F3837" t="s">
        <v>3396</v>
      </c>
      <c r="G3837" t="s">
        <v>244</v>
      </c>
      <c r="H3837" t="s">
        <v>11602</v>
      </c>
      <c r="I3837" t="s">
        <v>11603</v>
      </c>
      <c r="J3837" t="s">
        <v>215</v>
      </c>
      <c r="K3837" t="s">
        <v>55</v>
      </c>
      <c r="L3837" t="s">
        <v>520</v>
      </c>
      <c r="M3837" t="s">
        <v>57</v>
      </c>
      <c r="N3837" t="str">
        <f>"046110"</f>
        <v>046110</v>
      </c>
      <c r="O3837" t="s">
        <v>2005</v>
      </c>
      <c r="P3837" t="s">
        <v>68</v>
      </c>
      <c r="Q3837">
        <v>37.799999999999997</v>
      </c>
      <c r="R3837">
        <v>49.1</v>
      </c>
      <c r="S3837" t="s">
        <v>217</v>
      </c>
    </row>
    <row r="3838" spans="1:19" x14ac:dyDescent="0.35">
      <c r="A3838">
        <v>111187</v>
      </c>
      <c r="B3838" t="str">
        <f>"111187"</f>
        <v>111187</v>
      </c>
      <c r="C3838" t="s">
        <v>9351</v>
      </c>
      <c r="D3838" t="s">
        <v>3394</v>
      </c>
      <c r="E3838" t="s">
        <v>3395</v>
      </c>
      <c r="F3838" t="s">
        <v>3396</v>
      </c>
      <c r="G3838" t="s">
        <v>244</v>
      </c>
      <c r="H3838" t="s">
        <v>11604</v>
      </c>
      <c r="I3838" t="s">
        <v>11605</v>
      </c>
      <c r="J3838" t="s">
        <v>2008</v>
      </c>
      <c r="K3838" t="s">
        <v>55</v>
      </c>
      <c r="L3838" t="s">
        <v>3475</v>
      </c>
      <c r="M3838" t="s">
        <v>57</v>
      </c>
      <c r="N3838" t="str">
        <f>"046110"</f>
        <v>046110</v>
      </c>
      <c r="O3838" t="s">
        <v>2005</v>
      </c>
      <c r="P3838" t="s">
        <v>68</v>
      </c>
      <c r="Q3838">
        <v>32.299999999999997</v>
      </c>
      <c r="R3838">
        <v>39</v>
      </c>
      <c r="S3838" t="s">
        <v>217</v>
      </c>
    </row>
    <row r="3839" spans="1:19" x14ac:dyDescent="0.35">
      <c r="A3839">
        <v>111484</v>
      </c>
      <c r="B3839" t="str">
        <f>"111484"</f>
        <v>111484</v>
      </c>
      <c r="C3839" t="s">
        <v>11606</v>
      </c>
      <c r="D3839" t="s">
        <v>3394</v>
      </c>
      <c r="E3839" t="s">
        <v>9538</v>
      </c>
      <c r="F3839" t="s">
        <v>3396</v>
      </c>
      <c r="G3839" t="s">
        <v>600</v>
      </c>
      <c r="H3839" t="s">
        <v>11607</v>
      </c>
      <c r="I3839" t="s">
        <v>11608</v>
      </c>
      <c r="J3839" t="s">
        <v>1348</v>
      </c>
      <c r="K3839" t="s">
        <v>55</v>
      </c>
      <c r="L3839" t="s">
        <v>4444</v>
      </c>
      <c r="M3839" t="s">
        <v>57</v>
      </c>
      <c r="N3839" t="str">
        <f>"111484"</f>
        <v>111484</v>
      </c>
      <c r="O3839" t="s">
        <v>11606</v>
      </c>
      <c r="P3839" t="s">
        <v>68</v>
      </c>
      <c r="Q3839" t="s">
        <v>68</v>
      </c>
      <c r="R3839" t="s">
        <v>68</v>
      </c>
      <c r="S3839" t="s">
        <v>60</v>
      </c>
    </row>
    <row r="3840" spans="1:19" x14ac:dyDescent="0.35">
      <c r="A3840">
        <v>111484</v>
      </c>
      <c r="B3840" t="str">
        <f>"111484"</f>
        <v>111484</v>
      </c>
      <c r="C3840" t="s">
        <v>11606</v>
      </c>
      <c r="D3840" t="s">
        <v>9541</v>
      </c>
      <c r="E3840" t="s">
        <v>9538</v>
      </c>
      <c r="F3840" t="s">
        <v>3396</v>
      </c>
      <c r="G3840" t="s">
        <v>600</v>
      </c>
      <c r="H3840" t="s">
        <v>11607</v>
      </c>
      <c r="I3840" t="s">
        <v>11608</v>
      </c>
      <c r="J3840" t="s">
        <v>1348</v>
      </c>
      <c r="K3840" t="s">
        <v>55</v>
      </c>
      <c r="L3840" t="s">
        <v>4444</v>
      </c>
      <c r="M3840" t="s">
        <v>57</v>
      </c>
      <c r="N3840" t="str">
        <f>"111484"</f>
        <v>111484</v>
      </c>
      <c r="O3840" t="s">
        <v>11606</v>
      </c>
      <c r="P3840" t="s">
        <v>68</v>
      </c>
      <c r="Q3840" t="s">
        <v>68</v>
      </c>
      <c r="R3840" t="s">
        <v>68</v>
      </c>
      <c r="S3840" t="s">
        <v>60</v>
      </c>
    </row>
    <row r="3841" spans="1:19" x14ac:dyDescent="0.35">
      <c r="A3841">
        <v>111526</v>
      </c>
      <c r="B3841" t="str">
        <f>"111526"</f>
        <v>111526</v>
      </c>
      <c r="C3841" t="s">
        <v>11609</v>
      </c>
      <c r="D3841" t="s">
        <v>3400</v>
      </c>
      <c r="E3841" t="s">
        <v>3395</v>
      </c>
      <c r="F3841" t="s">
        <v>3396</v>
      </c>
      <c r="G3841" t="s">
        <v>2992</v>
      </c>
      <c r="H3841" t="s">
        <v>11610</v>
      </c>
      <c r="I3841" t="s">
        <v>11611</v>
      </c>
      <c r="J3841" t="s">
        <v>2995</v>
      </c>
      <c r="K3841" t="s">
        <v>55</v>
      </c>
      <c r="L3841" t="s">
        <v>2996</v>
      </c>
      <c r="M3841" t="s">
        <v>57</v>
      </c>
      <c r="N3841" t="str">
        <f>"050393"</f>
        <v>050393</v>
      </c>
      <c r="O3841" t="s">
        <v>2991</v>
      </c>
      <c r="P3841" t="s">
        <v>68</v>
      </c>
      <c r="Q3841">
        <v>100</v>
      </c>
      <c r="R3841">
        <v>2.5999999999999943</v>
      </c>
      <c r="S3841" t="s">
        <v>130</v>
      </c>
    </row>
    <row r="3842" spans="1:19" x14ac:dyDescent="0.35">
      <c r="A3842">
        <v>111898</v>
      </c>
      <c r="B3842" t="str">
        <f>"111898"</f>
        <v>111898</v>
      </c>
      <c r="C3842" t="s">
        <v>11612</v>
      </c>
      <c r="D3842" t="s">
        <v>3400</v>
      </c>
      <c r="E3842" t="s">
        <v>9538</v>
      </c>
      <c r="F3842" t="s">
        <v>3396</v>
      </c>
      <c r="G3842" t="s">
        <v>212</v>
      </c>
      <c r="H3842" t="s">
        <v>11613</v>
      </c>
      <c r="I3842" t="s">
        <v>11614</v>
      </c>
      <c r="J3842" t="s">
        <v>215</v>
      </c>
      <c r="K3842" t="s">
        <v>55</v>
      </c>
      <c r="L3842" t="s">
        <v>8502</v>
      </c>
      <c r="M3842" t="s">
        <v>57</v>
      </c>
      <c r="N3842" t="str">
        <f>"000136"</f>
        <v>000136</v>
      </c>
      <c r="O3842" t="s">
        <v>2853</v>
      </c>
      <c r="P3842" t="s">
        <v>68</v>
      </c>
      <c r="Q3842" t="s">
        <v>68</v>
      </c>
      <c r="R3842" t="s">
        <v>68</v>
      </c>
      <c r="S3842" t="s">
        <v>217</v>
      </c>
    </row>
    <row r="3843" spans="1:19" x14ac:dyDescent="0.35">
      <c r="A3843">
        <v>112094</v>
      </c>
      <c r="B3843" t="str">
        <f>"112094"</f>
        <v>112094</v>
      </c>
      <c r="C3843" t="s">
        <v>11615</v>
      </c>
      <c r="D3843" t="s">
        <v>3398</v>
      </c>
      <c r="E3843" t="s">
        <v>3395</v>
      </c>
      <c r="F3843" t="s">
        <v>3396</v>
      </c>
      <c r="G3843" t="s">
        <v>600</v>
      </c>
      <c r="H3843" t="s">
        <v>11616</v>
      </c>
      <c r="I3843" t="s">
        <v>11617</v>
      </c>
      <c r="J3843" t="s">
        <v>1348</v>
      </c>
      <c r="K3843" t="s">
        <v>55</v>
      </c>
      <c r="L3843" t="s">
        <v>4008</v>
      </c>
      <c r="M3843" t="s">
        <v>57</v>
      </c>
      <c r="N3843" t="str">
        <f>"045138"</f>
        <v>045138</v>
      </c>
      <c r="O3843" t="s">
        <v>1497</v>
      </c>
      <c r="P3843" t="s">
        <v>68</v>
      </c>
      <c r="Q3843">
        <v>25.7</v>
      </c>
      <c r="R3843">
        <v>32.299999999999997</v>
      </c>
      <c r="S3843" t="s">
        <v>60</v>
      </c>
    </row>
    <row r="3844" spans="1:19" x14ac:dyDescent="0.35">
      <c r="A3844">
        <v>112110</v>
      </c>
      <c r="B3844" t="str">
        <f>"112110"</f>
        <v>112110</v>
      </c>
      <c r="C3844" t="s">
        <v>11618</v>
      </c>
      <c r="D3844" t="s">
        <v>3394</v>
      </c>
      <c r="E3844" t="s">
        <v>9538</v>
      </c>
      <c r="F3844" t="s">
        <v>3396</v>
      </c>
      <c r="G3844" t="s">
        <v>233</v>
      </c>
      <c r="H3844" t="s">
        <v>11619</v>
      </c>
      <c r="I3844" t="s">
        <v>11620</v>
      </c>
      <c r="J3844" t="s">
        <v>236</v>
      </c>
      <c r="K3844" t="s">
        <v>55</v>
      </c>
      <c r="L3844" t="s">
        <v>237</v>
      </c>
      <c r="M3844" t="s">
        <v>57</v>
      </c>
      <c r="N3844" t="str">
        <f>"112110"</f>
        <v>112110</v>
      </c>
      <c r="O3844" t="s">
        <v>11618</v>
      </c>
      <c r="P3844" t="s">
        <v>68</v>
      </c>
      <c r="Q3844" t="s">
        <v>68</v>
      </c>
      <c r="R3844" t="s">
        <v>68</v>
      </c>
      <c r="S3844" t="s">
        <v>130</v>
      </c>
    </row>
    <row r="3845" spans="1:19" x14ac:dyDescent="0.35">
      <c r="A3845">
        <v>112128</v>
      </c>
      <c r="B3845" t="str">
        <f>"112128"</f>
        <v>112128</v>
      </c>
      <c r="C3845" t="s">
        <v>11621</v>
      </c>
      <c r="D3845" t="s">
        <v>3394</v>
      </c>
      <c r="E3845" t="s">
        <v>3395</v>
      </c>
      <c r="F3845" t="s">
        <v>3396</v>
      </c>
      <c r="G3845" t="s">
        <v>600</v>
      </c>
      <c r="H3845" t="s">
        <v>11622</v>
      </c>
      <c r="I3845" t="s">
        <v>11623</v>
      </c>
      <c r="J3845" t="s">
        <v>1348</v>
      </c>
      <c r="K3845" t="s">
        <v>55</v>
      </c>
      <c r="L3845" t="s">
        <v>4008</v>
      </c>
      <c r="M3845" t="s">
        <v>57</v>
      </c>
      <c r="N3845" t="str">
        <f>"045138"</f>
        <v>045138</v>
      </c>
      <c r="O3845" t="s">
        <v>1497</v>
      </c>
      <c r="P3845" t="s">
        <v>68</v>
      </c>
      <c r="Q3845">
        <v>13.6</v>
      </c>
      <c r="R3845">
        <v>23.700000000000003</v>
      </c>
      <c r="S3845" t="s">
        <v>60</v>
      </c>
    </row>
    <row r="3846" spans="1:19" x14ac:dyDescent="0.35">
      <c r="A3846">
        <v>112227</v>
      </c>
      <c r="B3846" t="str">
        <f>"112227"</f>
        <v>112227</v>
      </c>
      <c r="C3846" t="s">
        <v>11624</v>
      </c>
      <c r="D3846" t="s">
        <v>3398</v>
      </c>
      <c r="E3846" t="s">
        <v>9538</v>
      </c>
      <c r="F3846" t="s">
        <v>3396</v>
      </c>
      <c r="G3846" t="s">
        <v>600</v>
      </c>
      <c r="H3846" t="s">
        <v>11625</v>
      </c>
      <c r="I3846" t="s">
        <v>11626</v>
      </c>
      <c r="J3846" t="s">
        <v>1136</v>
      </c>
      <c r="K3846" t="s">
        <v>55</v>
      </c>
      <c r="L3846" t="s">
        <v>1137</v>
      </c>
      <c r="M3846" t="s">
        <v>57</v>
      </c>
      <c r="N3846" t="str">
        <f>"112227"</f>
        <v>112227</v>
      </c>
      <c r="O3846" t="s">
        <v>11624</v>
      </c>
      <c r="P3846" t="s">
        <v>68</v>
      </c>
      <c r="Q3846" t="s">
        <v>68</v>
      </c>
      <c r="R3846" t="s">
        <v>68</v>
      </c>
      <c r="S3846" t="s">
        <v>60</v>
      </c>
    </row>
    <row r="3847" spans="1:19" x14ac:dyDescent="0.35">
      <c r="A3847">
        <v>112490</v>
      </c>
      <c r="B3847" t="str">
        <f>"112490"</f>
        <v>112490</v>
      </c>
      <c r="C3847" t="s">
        <v>11627</v>
      </c>
      <c r="D3847" t="s">
        <v>3394</v>
      </c>
      <c r="E3847" t="s">
        <v>9538</v>
      </c>
      <c r="F3847" t="s">
        <v>3396</v>
      </c>
      <c r="G3847" t="s">
        <v>777</v>
      </c>
      <c r="H3847" t="s">
        <v>11628</v>
      </c>
      <c r="I3847" t="s">
        <v>11629</v>
      </c>
      <c r="J3847" t="s">
        <v>780</v>
      </c>
      <c r="K3847" t="s">
        <v>55</v>
      </c>
      <c r="L3847" t="s">
        <v>6175</v>
      </c>
      <c r="M3847" t="s">
        <v>57</v>
      </c>
      <c r="N3847" t="str">
        <f>"112490"</f>
        <v>112490</v>
      </c>
      <c r="O3847" t="s">
        <v>11627</v>
      </c>
      <c r="P3847" t="s">
        <v>68</v>
      </c>
      <c r="Q3847" t="s">
        <v>68</v>
      </c>
      <c r="R3847" t="s">
        <v>68</v>
      </c>
      <c r="S3847" t="s">
        <v>180</v>
      </c>
    </row>
    <row r="3848" spans="1:19" x14ac:dyDescent="0.35">
      <c r="A3848">
        <v>112490</v>
      </c>
      <c r="B3848" t="str">
        <f>"112490"</f>
        <v>112490</v>
      </c>
      <c r="C3848" t="s">
        <v>11627</v>
      </c>
      <c r="D3848" t="s">
        <v>9541</v>
      </c>
      <c r="E3848" t="s">
        <v>9538</v>
      </c>
      <c r="F3848" t="s">
        <v>3396</v>
      </c>
      <c r="G3848" t="s">
        <v>777</v>
      </c>
      <c r="H3848" t="s">
        <v>11628</v>
      </c>
      <c r="I3848" t="s">
        <v>11629</v>
      </c>
      <c r="J3848" t="s">
        <v>780</v>
      </c>
      <c r="K3848" t="s">
        <v>55</v>
      </c>
      <c r="L3848" t="s">
        <v>6175</v>
      </c>
      <c r="M3848" t="s">
        <v>57</v>
      </c>
      <c r="N3848" t="str">
        <f>"112490"</f>
        <v>112490</v>
      </c>
      <c r="O3848" t="s">
        <v>11627</v>
      </c>
      <c r="P3848" t="s">
        <v>68</v>
      </c>
      <c r="Q3848" t="s">
        <v>68</v>
      </c>
      <c r="R3848" t="s">
        <v>68</v>
      </c>
      <c r="S3848" t="s">
        <v>180</v>
      </c>
    </row>
    <row r="3849" spans="1:19" x14ac:dyDescent="0.35">
      <c r="A3849">
        <v>112508</v>
      </c>
      <c r="B3849" t="str">
        <f>"112508"</f>
        <v>112508</v>
      </c>
      <c r="C3849" t="s">
        <v>11630</v>
      </c>
      <c r="D3849" t="s">
        <v>3394</v>
      </c>
      <c r="E3849" t="s">
        <v>9538</v>
      </c>
      <c r="F3849" t="s">
        <v>3396</v>
      </c>
      <c r="G3849" t="s">
        <v>226</v>
      </c>
      <c r="H3849" t="s">
        <v>11631</v>
      </c>
      <c r="I3849" t="s">
        <v>11632</v>
      </c>
      <c r="J3849" t="s">
        <v>810</v>
      </c>
      <c r="K3849" t="s">
        <v>55</v>
      </c>
      <c r="L3849" t="s">
        <v>811</v>
      </c>
      <c r="M3849" t="s">
        <v>57</v>
      </c>
      <c r="N3849" t="str">
        <f>"112508"</f>
        <v>112508</v>
      </c>
      <c r="O3849" t="s">
        <v>11630</v>
      </c>
      <c r="P3849" t="s">
        <v>68</v>
      </c>
      <c r="Q3849" t="s">
        <v>68</v>
      </c>
      <c r="R3849" t="s">
        <v>68</v>
      </c>
      <c r="S3849" t="s">
        <v>156</v>
      </c>
    </row>
    <row r="3850" spans="1:19" x14ac:dyDescent="0.35">
      <c r="A3850">
        <v>112508</v>
      </c>
      <c r="B3850" t="str">
        <f>"112508"</f>
        <v>112508</v>
      </c>
      <c r="C3850" t="s">
        <v>11630</v>
      </c>
      <c r="D3850" t="s">
        <v>9541</v>
      </c>
      <c r="E3850" t="s">
        <v>9538</v>
      </c>
      <c r="F3850" t="s">
        <v>3396</v>
      </c>
      <c r="G3850" t="s">
        <v>226</v>
      </c>
      <c r="H3850" t="s">
        <v>11631</v>
      </c>
      <c r="I3850" t="s">
        <v>11632</v>
      </c>
      <c r="J3850" t="s">
        <v>810</v>
      </c>
      <c r="K3850" t="s">
        <v>55</v>
      </c>
      <c r="L3850" t="s">
        <v>811</v>
      </c>
      <c r="M3850" t="s">
        <v>57</v>
      </c>
      <c r="N3850" t="str">
        <f>"112508"</f>
        <v>112508</v>
      </c>
      <c r="O3850" t="s">
        <v>11630</v>
      </c>
      <c r="P3850" t="s">
        <v>68</v>
      </c>
      <c r="Q3850" t="s">
        <v>68</v>
      </c>
      <c r="R3850" t="s">
        <v>68</v>
      </c>
      <c r="S3850" t="s">
        <v>156</v>
      </c>
    </row>
    <row r="3851" spans="1:19" x14ac:dyDescent="0.35">
      <c r="A3851">
        <v>112573</v>
      </c>
      <c r="B3851" t="str">
        <f>"112573"</f>
        <v>112573</v>
      </c>
      <c r="C3851" t="s">
        <v>11633</v>
      </c>
      <c r="D3851" t="s">
        <v>3400</v>
      </c>
      <c r="E3851" t="s">
        <v>3395</v>
      </c>
      <c r="F3851" t="s">
        <v>3396</v>
      </c>
      <c r="G3851" t="s">
        <v>1543</v>
      </c>
      <c r="H3851" t="s">
        <v>11634</v>
      </c>
      <c r="I3851" t="s">
        <v>11635</v>
      </c>
      <c r="J3851" t="s">
        <v>288</v>
      </c>
      <c r="K3851" t="s">
        <v>55</v>
      </c>
      <c r="L3851" t="s">
        <v>1546</v>
      </c>
      <c r="M3851" t="s">
        <v>57</v>
      </c>
      <c r="N3851" t="str">
        <f>"044248"</f>
        <v>044248</v>
      </c>
      <c r="O3851" t="s">
        <v>1542</v>
      </c>
      <c r="P3851" t="s">
        <v>68</v>
      </c>
      <c r="Q3851">
        <v>100</v>
      </c>
      <c r="R3851">
        <v>4.5999999999999943</v>
      </c>
      <c r="S3851" t="s">
        <v>130</v>
      </c>
    </row>
    <row r="3852" spans="1:19" x14ac:dyDescent="0.35">
      <c r="A3852">
        <v>112581</v>
      </c>
      <c r="B3852" t="str">
        <f>"112581"</f>
        <v>112581</v>
      </c>
      <c r="C3852" t="s">
        <v>11636</v>
      </c>
      <c r="D3852" t="s">
        <v>3506</v>
      </c>
      <c r="E3852" t="s">
        <v>3395</v>
      </c>
      <c r="F3852" t="s">
        <v>3396</v>
      </c>
      <c r="G3852" t="s">
        <v>92</v>
      </c>
      <c r="H3852" t="s">
        <v>11637</v>
      </c>
      <c r="I3852" t="s">
        <v>11638</v>
      </c>
      <c r="J3852" t="s">
        <v>2295</v>
      </c>
      <c r="K3852" t="s">
        <v>55</v>
      </c>
      <c r="L3852" t="s">
        <v>2296</v>
      </c>
      <c r="M3852" t="s">
        <v>57</v>
      </c>
      <c r="N3852" t="str">
        <f>"046896"</f>
        <v>046896</v>
      </c>
      <c r="O3852" t="s">
        <v>2292</v>
      </c>
      <c r="P3852" t="s">
        <v>68</v>
      </c>
      <c r="Q3852">
        <v>35.1</v>
      </c>
      <c r="R3852">
        <v>59.7</v>
      </c>
      <c r="S3852" t="s">
        <v>60</v>
      </c>
    </row>
    <row r="3853" spans="1:19" x14ac:dyDescent="0.35">
      <c r="A3853">
        <v>112581</v>
      </c>
      <c r="B3853" t="str">
        <f>"112581"</f>
        <v>112581</v>
      </c>
      <c r="C3853" t="s">
        <v>11636</v>
      </c>
      <c r="D3853" t="s">
        <v>3929</v>
      </c>
      <c r="E3853" t="s">
        <v>3395</v>
      </c>
      <c r="F3853" t="s">
        <v>3396</v>
      </c>
      <c r="G3853" t="s">
        <v>92</v>
      </c>
      <c r="H3853" t="s">
        <v>11637</v>
      </c>
      <c r="I3853" t="s">
        <v>11638</v>
      </c>
      <c r="J3853" t="s">
        <v>2295</v>
      </c>
      <c r="K3853" t="s">
        <v>55</v>
      </c>
      <c r="L3853" t="s">
        <v>2296</v>
      </c>
      <c r="M3853" t="s">
        <v>57</v>
      </c>
      <c r="N3853" t="str">
        <f>"046896"</f>
        <v>046896</v>
      </c>
      <c r="O3853" t="s">
        <v>2292</v>
      </c>
      <c r="P3853" t="s">
        <v>68</v>
      </c>
      <c r="Q3853">
        <v>35.1</v>
      </c>
      <c r="R3853">
        <v>59.7</v>
      </c>
      <c r="S3853" t="s">
        <v>60</v>
      </c>
    </row>
    <row r="3854" spans="1:19" x14ac:dyDescent="0.35">
      <c r="A3854">
        <v>112680</v>
      </c>
      <c r="B3854" t="str">
        <f>"112680"</f>
        <v>112680</v>
      </c>
      <c r="C3854" t="s">
        <v>11639</v>
      </c>
      <c r="D3854" t="s">
        <v>3394</v>
      </c>
      <c r="E3854" t="s">
        <v>9538</v>
      </c>
      <c r="F3854" t="s">
        <v>3396</v>
      </c>
      <c r="G3854" t="s">
        <v>481</v>
      </c>
      <c r="H3854" t="s">
        <v>11640</v>
      </c>
      <c r="I3854" t="s">
        <v>11641</v>
      </c>
      <c r="J3854" t="s">
        <v>4970</v>
      </c>
      <c r="K3854" t="s">
        <v>55</v>
      </c>
      <c r="L3854" t="s">
        <v>1822</v>
      </c>
      <c r="M3854" t="s">
        <v>57</v>
      </c>
      <c r="N3854" t="str">
        <f>"112680"</f>
        <v>112680</v>
      </c>
      <c r="O3854" t="s">
        <v>11639</v>
      </c>
      <c r="P3854" t="s">
        <v>68</v>
      </c>
      <c r="Q3854" t="s">
        <v>68</v>
      </c>
      <c r="R3854" t="s">
        <v>68</v>
      </c>
      <c r="S3854" t="s">
        <v>69</v>
      </c>
    </row>
    <row r="3855" spans="1:19" x14ac:dyDescent="0.35">
      <c r="A3855">
        <v>112680</v>
      </c>
      <c r="B3855" t="str">
        <f>"112680"</f>
        <v>112680</v>
      </c>
      <c r="C3855" t="s">
        <v>11639</v>
      </c>
      <c r="D3855" t="s">
        <v>9541</v>
      </c>
      <c r="E3855" t="s">
        <v>9538</v>
      </c>
      <c r="F3855" t="s">
        <v>3396</v>
      </c>
      <c r="G3855" t="s">
        <v>481</v>
      </c>
      <c r="H3855" t="s">
        <v>11640</v>
      </c>
      <c r="I3855" t="s">
        <v>11641</v>
      </c>
      <c r="J3855" t="s">
        <v>4970</v>
      </c>
      <c r="K3855" t="s">
        <v>55</v>
      </c>
      <c r="L3855" t="s">
        <v>1822</v>
      </c>
      <c r="M3855" t="s">
        <v>57</v>
      </c>
      <c r="N3855" t="str">
        <f>"112680"</f>
        <v>112680</v>
      </c>
      <c r="O3855" t="s">
        <v>11639</v>
      </c>
      <c r="P3855" t="s">
        <v>68</v>
      </c>
      <c r="Q3855" t="s">
        <v>68</v>
      </c>
      <c r="R3855" t="s">
        <v>68</v>
      </c>
      <c r="S3855" t="s">
        <v>69</v>
      </c>
    </row>
    <row r="3856" spans="1:19" x14ac:dyDescent="0.35">
      <c r="A3856">
        <v>112698</v>
      </c>
      <c r="B3856" t="str">
        <f>"112698"</f>
        <v>112698</v>
      </c>
      <c r="C3856" t="s">
        <v>11642</v>
      </c>
      <c r="D3856" t="s">
        <v>3400</v>
      </c>
      <c r="E3856" t="s">
        <v>3395</v>
      </c>
      <c r="F3856" t="s">
        <v>3396</v>
      </c>
      <c r="G3856" t="s">
        <v>600</v>
      </c>
      <c r="H3856" t="s">
        <v>11643</v>
      </c>
      <c r="I3856" t="s">
        <v>11644</v>
      </c>
      <c r="J3856" t="s">
        <v>3622</v>
      </c>
      <c r="K3856" t="s">
        <v>55</v>
      </c>
      <c r="L3856" t="s">
        <v>3623</v>
      </c>
      <c r="M3856" t="s">
        <v>57</v>
      </c>
      <c r="N3856" t="str">
        <f>"047019"</f>
        <v>047019</v>
      </c>
      <c r="O3856" t="s">
        <v>1345</v>
      </c>
      <c r="P3856" t="s">
        <v>68</v>
      </c>
      <c r="Q3856">
        <v>29.9</v>
      </c>
      <c r="R3856">
        <v>32.799999999999997</v>
      </c>
      <c r="S3856" t="s">
        <v>60</v>
      </c>
    </row>
    <row r="3857" spans="1:19" x14ac:dyDescent="0.35">
      <c r="A3857">
        <v>113050</v>
      </c>
      <c r="B3857" t="str">
        <f>"113050"</f>
        <v>113050</v>
      </c>
      <c r="C3857" t="s">
        <v>11645</v>
      </c>
      <c r="D3857" t="s">
        <v>3394</v>
      </c>
      <c r="E3857" t="s">
        <v>9538</v>
      </c>
      <c r="F3857" t="s">
        <v>3396</v>
      </c>
      <c r="G3857" t="s">
        <v>264</v>
      </c>
      <c r="H3857" t="s">
        <v>11646</v>
      </c>
      <c r="I3857" t="s">
        <v>11647</v>
      </c>
      <c r="J3857" t="s">
        <v>267</v>
      </c>
      <c r="K3857" t="s">
        <v>55</v>
      </c>
      <c r="L3857" t="s">
        <v>5503</v>
      </c>
      <c r="M3857" t="s">
        <v>57</v>
      </c>
      <c r="N3857" t="str">
        <f>"113050"</f>
        <v>113050</v>
      </c>
      <c r="O3857" t="s">
        <v>11645</v>
      </c>
      <c r="P3857" t="s">
        <v>68</v>
      </c>
      <c r="Q3857" t="s">
        <v>68</v>
      </c>
      <c r="R3857" t="s">
        <v>68</v>
      </c>
      <c r="S3857" t="s">
        <v>77</v>
      </c>
    </row>
    <row r="3858" spans="1:19" x14ac:dyDescent="0.35">
      <c r="A3858">
        <v>113175</v>
      </c>
      <c r="B3858" t="str">
        <f>"113175"</f>
        <v>113175</v>
      </c>
      <c r="C3858" t="s">
        <v>11648</v>
      </c>
      <c r="D3858" t="s">
        <v>3400</v>
      </c>
      <c r="E3858" t="s">
        <v>3395</v>
      </c>
      <c r="F3858" t="s">
        <v>3396</v>
      </c>
      <c r="G3858" t="s">
        <v>110</v>
      </c>
      <c r="H3858" t="s">
        <v>7394</v>
      </c>
      <c r="I3858" t="s">
        <v>7395</v>
      </c>
      <c r="J3858" t="s">
        <v>113</v>
      </c>
      <c r="K3858" t="s">
        <v>55</v>
      </c>
      <c r="L3858" t="s">
        <v>114</v>
      </c>
      <c r="M3858" t="s">
        <v>57</v>
      </c>
      <c r="N3858" t="str">
        <f>"048033"</f>
        <v>048033</v>
      </c>
      <c r="O3858" t="s">
        <v>109</v>
      </c>
      <c r="P3858" t="s">
        <v>68</v>
      </c>
      <c r="Q3858">
        <v>33.9</v>
      </c>
      <c r="R3858">
        <v>8.5</v>
      </c>
      <c r="S3858" t="s">
        <v>60</v>
      </c>
    </row>
    <row r="3859" spans="1:19" x14ac:dyDescent="0.35">
      <c r="A3859">
        <v>113522</v>
      </c>
      <c r="B3859" t="str">
        <f>"113522"</f>
        <v>113522</v>
      </c>
      <c r="C3859" t="s">
        <v>11649</v>
      </c>
      <c r="D3859" t="s">
        <v>3398</v>
      </c>
      <c r="E3859" t="s">
        <v>9538</v>
      </c>
      <c r="F3859" t="s">
        <v>3396</v>
      </c>
      <c r="G3859" t="s">
        <v>572</v>
      </c>
      <c r="H3859" t="s">
        <v>11650</v>
      </c>
      <c r="I3859" t="s">
        <v>11651</v>
      </c>
      <c r="J3859" t="s">
        <v>2954</v>
      </c>
      <c r="K3859" t="s">
        <v>55</v>
      </c>
      <c r="L3859" t="s">
        <v>2955</v>
      </c>
      <c r="M3859" t="s">
        <v>57</v>
      </c>
      <c r="N3859" t="str">
        <f>"000129"</f>
        <v>000129</v>
      </c>
      <c r="O3859" t="s">
        <v>1284</v>
      </c>
      <c r="P3859" t="s">
        <v>68</v>
      </c>
      <c r="Q3859" t="s">
        <v>68</v>
      </c>
      <c r="R3859" t="s">
        <v>68</v>
      </c>
      <c r="S3859" t="s">
        <v>180</v>
      </c>
    </row>
    <row r="3860" spans="1:19" x14ac:dyDescent="0.35">
      <c r="A3860">
        <v>113860</v>
      </c>
      <c r="B3860" t="str">
        <f>"113860"</f>
        <v>113860</v>
      </c>
      <c r="C3860" t="s">
        <v>11652</v>
      </c>
      <c r="D3860" t="s">
        <v>3400</v>
      </c>
      <c r="E3860" t="s">
        <v>3395</v>
      </c>
      <c r="F3860" t="s">
        <v>3396</v>
      </c>
      <c r="G3860" t="s">
        <v>63</v>
      </c>
      <c r="H3860" t="s">
        <v>11653</v>
      </c>
      <c r="I3860" t="s">
        <v>11654</v>
      </c>
      <c r="J3860" t="s">
        <v>1863</v>
      </c>
      <c r="K3860" t="s">
        <v>55</v>
      </c>
      <c r="L3860" t="s">
        <v>1864</v>
      </c>
      <c r="M3860" t="s">
        <v>57</v>
      </c>
      <c r="N3860" t="str">
        <f>"046607"</f>
        <v>046607</v>
      </c>
      <c r="O3860" t="s">
        <v>1860</v>
      </c>
      <c r="P3860" t="s">
        <v>68</v>
      </c>
      <c r="Q3860">
        <v>13.7</v>
      </c>
      <c r="R3860">
        <v>51.6</v>
      </c>
      <c r="S3860" t="s">
        <v>69</v>
      </c>
    </row>
    <row r="3861" spans="1:19" x14ac:dyDescent="0.35">
      <c r="A3861">
        <v>113878</v>
      </c>
      <c r="B3861" t="str">
        <f>"113878"</f>
        <v>113878</v>
      </c>
      <c r="C3861" t="s">
        <v>6368</v>
      </c>
      <c r="D3861" t="s">
        <v>3394</v>
      </c>
      <c r="E3861" t="s">
        <v>3395</v>
      </c>
      <c r="F3861" t="s">
        <v>3396</v>
      </c>
      <c r="G3861" t="s">
        <v>63</v>
      </c>
      <c r="H3861" t="s">
        <v>11655</v>
      </c>
      <c r="I3861" t="s">
        <v>11656</v>
      </c>
      <c r="J3861" t="s">
        <v>1863</v>
      </c>
      <c r="K3861" t="s">
        <v>55</v>
      </c>
      <c r="L3861" t="s">
        <v>1864</v>
      </c>
      <c r="M3861" t="s">
        <v>57</v>
      </c>
      <c r="N3861" t="str">
        <f>"046607"</f>
        <v>046607</v>
      </c>
      <c r="O3861" t="s">
        <v>1860</v>
      </c>
      <c r="P3861" t="s">
        <v>68</v>
      </c>
      <c r="Q3861">
        <v>9.1</v>
      </c>
      <c r="R3861">
        <v>54</v>
      </c>
      <c r="S3861" t="s">
        <v>69</v>
      </c>
    </row>
    <row r="3862" spans="1:19" x14ac:dyDescent="0.35">
      <c r="A3862">
        <v>113910</v>
      </c>
      <c r="B3862" t="str">
        <f>"113910"</f>
        <v>113910</v>
      </c>
      <c r="C3862" t="s">
        <v>11657</v>
      </c>
      <c r="D3862" t="s">
        <v>3394</v>
      </c>
      <c r="E3862" t="s">
        <v>3395</v>
      </c>
      <c r="F3862" t="s">
        <v>3396</v>
      </c>
      <c r="G3862" t="s">
        <v>244</v>
      </c>
      <c r="H3862" t="s">
        <v>11658</v>
      </c>
      <c r="I3862" t="s">
        <v>11659</v>
      </c>
      <c r="J3862" t="s">
        <v>6385</v>
      </c>
      <c r="K3862" t="s">
        <v>55</v>
      </c>
      <c r="L3862" t="s">
        <v>374</v>
      </c>
      <c r="M3862" t="s">
        <v>57</v>
      </c>
      <c r="N3862" t="str">
        <f>"046110"</f>
        <v>046110</v>
      </c>
      <c r="O3862" t="s">
        <v>2005</v>
      </c>
      <c r="P3862" t="s">
        <v>68</v>
      </c>
      <c r="Q3862">
        <v>24.3</v>
      </c>
      <c r="R3862">
        <v>39.4</v>
      </c>
      <c r="S3862" t="s">
        <v>217</v>
      </c>
    </row>
    <row r="3863" spans="1:19" x14ac:dyDescent="0.35">
      <c r="A3863">
        <v>114090</v>
      </c>
      <c r="B3863" t="str">
        <f>"114090"</f>
        <v>114090</v>
      </c>
      <c r="C3863" t="s">
        <v>11660</v>
      </c>
      <c r="D3863" t="s">
        <v>3394</v>
      </c>
      <c r="E3863" t="s">
        <v>3395</v>
      </c>
      <c r="F3863" t="s">
        <v>3396</v>
      </c>
      <c r="G3863" t="s">
        <v>264</v>
      </c>
      <c r="H3863" t="s">
        <v>11661</v>
      </c>
      <c r="I3863" t="s">
        <v>11662</v>
      </c>
      <c r="J3863" t="s">
        <v>800</v>
      </c>
      <c r="K3863" t="s">
        <v>55</v>
      </c>
      <c r="L3863" t="s">
        <v>801</v>
      </c>
      <c r="M3863" t="s">
        <v>57</v>
      </c>
      <c r="N3863" t="str">
        <f>"050021"</f>
        <v>050021</v>
      </c>
      <c r="O3863" t="s">
        <v>1411</v>
      </c>
      <c r="P3863" t="s">
        <v>68</v>
      </c>
      <c r="Q3863">
        <v>5.7</v>
      </c>
      <c r="R3863">
        <v>15.900000000000006</v>
      </c>
      <c r="S3863" t="s">
        <v>77</v>
      </c>
    </row>
    <row r="3864" spans="1:19" x14ac:dyDescent="0.35">
      <c r="A3864">
        <v>114652</v>
      </c>
      <c r="B3864" t="str">
        <f>"114652"</f>
        <v>114652</v>
      </c>
      <c r="C3864" t="s">
        <v>11663</v>
      </c>
      <c r="D3864" t="s">
        <v>3394</v>
      </c>
      <c r="E3864" t="s">
        <v>3395</v>
      </c>
      <c r="F3864" t="s">
        <v>3396</v>
      </c>
      <c r="G3864" t="s">
        <v>423</v>
      </c>
      <c r="H3864" t="s">
        <v>1326</v>
      </c>
      <c r="I3864" t="s">
        <v>1327</v>
      </c>
      <c r="J3864" t="s">
        <v>1328</v>
      </c>
      <c r="K3864" t="s">
        <v>55</v>
      </c>
      <c r="L3864" t="s">
        <v>1329</v>
      </c>
      <c r="M3864" t="s">
        <v>57</v>
      </c>
      <c r="N3864" t="str">
        <f>"048579"</f>
        <v>048579</v>
      </c>
      <c r="O3864" t="s">
        <v>1325</v>
      </c>
      <c r="P3864" t="s">
        <v>68</v>
      </c>
      <c r="Q3864">
        <v>30.7</v>
      </c>
      <c r="R3864">
        <v>7.7999999999999972</v>
      </c>
      <c r="S3864" t="s">
        <v>156</v>
      </c>
    </row>
    <row r="3865" spans="1:19" x14ac:dyDescent="0.35">
      <c r="A3865">
        <v>114751</v>
      </c>
      <c r="B3865" t="str">
        <f>"114751"</f>
        <v>114751</v>
      </c>
      <c r="C3865" t="s">
        <v>11664</v>
      </c>
      <c r="D3865" t="s">
        <v>3394</v>
      </c>
      <c r="E3865" t="s">
        <v>9538</v>
      </c>
      <c r="F3865" t="s">
        <v>3396</v>
      </c>
      <c r="G3865" t="s">
        <v>663</v>
      </c>
      <c r="H3865" t="s">
        <v>11665</v>
      </c>
      <c r="I3865" t="s">
        <v>11666</v>
      </c>
      <c r="J3865" t="s">
        <v>666</v>
      </c>
      <c r="K3865" t="s">
        <v>55</v>
      </c>
      <c r="L3865" t="s">
        <v>1605</v>
      </c>
      <c r="M3865" t="s">
        <v>57</v>
      </c>
      <c r="N3865" t="str">
        <f>"052571"</f>
        <v>052571</v>
      </c>
      <c r="O3865" t="s">
        <v>2843</v>
      </c>
      <c r="P3865" t="s">
        <v>68</v>
      </c>
      <c r="Q3865" t="s">
        <v>68</v>
      </c>
      <c r="R3865" t="s">
        <v>68</v>
      </c>
      <c r="S3865" t="s">
        <v>77</v>
      </c>
    </row>
    <row r="3866" spans="1:19" x14ac:dyDescent="0.35">
      <c r="A3866">
        <v>114819</v>
      </c>
      <c r="B3866" t="str">
        <f>"114819"</f>
        <v>114819</v>
      </c>
      <c r="C3866" t="s">
        <v>11667</v>
      </c>
      <c r="D3866" t="s">
        <v>3400</v>
      </c>
      <c r="E3866" t="s">
        <v>3395</v>
      </c>
      <c r="F3866" t="s">
        <v>3396</v>
      </c>
      <c r="G3866" t="s">
        <v>600</v>
      </c>
      <c r="H3866" t="s">
        <v>11668</v>
      </c>
      <c r="I3866" t="s">
        <v>11669</v>
      </c>
      <c r="J3866" t="s">
        <v>2536</v>
      </c>
      <c r="K3866" t="s">
        <v>55</v>
      </c>
      <c r="L3866" t="s">
        <v>2537</v>
      </c>
      <c r="M3866" t="s">
        <v>57</v>
      </c>
      <c r="N3866" t="str">
        <f>"046961"</f>
        <v>046961</v>
      </c>
      <c r="O3866" t="s">
        <v>2533</v>
      </c>
      <c r="P3866" t="s">
        <v>68</v>
      </c>
      <c r="Q3866">
        <v>30.6</v>
      </c>
      <c r="R3866">
        <v>53.8</v>
      </c>
      <c r="S3866" t="s">
        <v>60</v>
      </c>
    </row>
    <row r="3867" spans="1:19" x14ac:dyDescent="0.35">
      <c r="A3867">
        <v>115535</v>
      </c>
      <c r="B3867" t="str">
        <f>"115535"</f>
        <v>115535</v>
      </c>
      <c r="C3867" t="s">
        <v>11670</v>
      </c>
      <c r="D3867" t="s">
        <v>3398</v>
      </c>
      <c r="E3867" t="s">
        <v>9538</v>
      </c>
      <c r="F3867" t="s">
        <v>3396</v>
      </c>
      <c r="G3867" t="s">
        <v>187</v>
      </c>
      <c r="H3867" t="s">
        <v>11671</v>
      </c>
      <c r="I3867" t="s">
        <v>11672</v>
      </c>
      <c r="J3867" t="s">
        <v>2039</v>
      </c>
      <c r="K3867" t="s">
        <v>55</v>
      </c>
      <c r="L3867" t="s">
        <v>2040</v>
      </c>
      <c r="M3867" t="s">
        <v>57</v>
      </c>
      <c r="N3867" t="str">
        <f>"115535"</f>
        <v>115535</v>
      </c>
      <c r="O3867" t="s">
        <v>11670</v>
      </c>
      <c r="P3867" t="s">
        <v>68</v>
      </c>
      <c r="Q3867" t="s">
        <v>68</v>
      </c>
      <c r="R3867" t="s">
        <v>68</v>
      </c>
      <c r="S3867" t="s">
        <v>77</v>
      </c>
    </row>
    <row r="3868" spans="1:19" x14ac:dyDescent="0.35">
      <c r="A3868">
        <v>115592</v>
      </c>
      <c r="B3868" t="str">
        <f>"115592"</f>
        <v>115592</v>
      </c>
      <c r="C3868" t="s">
        <v>11673</v>
      </c>
      <c r="D3868" t="s">
        <v>3394</v>
      </c>
      <c r="E3868" t="s">
        <v>9538</v>
      </c>
      <c r="F3868" t="s">
        <v>3396</v>
      </c>
      <c r="G3868" t="s">
        <v>172</v>
      </c>
      <c r="H3868" t="s">
        <v>11674</v>
      </c>
      <c r="I3868" t="s">
        <v>11675</v>
      </c>
      <c r="J3868" t="s">
        <v>629</v>
      </c>
      <c r="K3868" t="s">
        <v>55</v>
      </c>
      <c r="L3868" t="s">
        <v>630</v>
      </c>
      <c r="M3868" t="s">
        <v>57</v>
      </c>
      <c r="N3868" t="str">
        <f>"115592"</f>
        <v>115592</v>
      </c>
      <c r="O3868" t="s">
        <v>11673</v>
      </c>
      <c r="P3868" t="s">
        <v>68</v>
      </c>
      <c r="Q3868" t="s">
        <v>68</v>
      </c>
      <c r="R3868" t="s">
        <v>68</v>
      </c>
      <c r="S3868" t="s">
        <v>217</v>
      </c>
    </row>
    <row r="3869" spans="1:19" x14ac:dyDescent="0.35">
      <c r="A3869">
        <v>115873</v>
      </c>
      <c r="B3869" t="str">
        <f>"115873"</f>
        <v>115873</v>
      </c>
      <c r="C3869" t="s">
        <v>11676</v>
      </c>
      <c r="D3869" t="s">
        <v>3400</v>
      </c>
      <c r="E3869" t="s">
        <v>3395</v>
      </c>
      <c r="F3869" t="s">
        <v>3396</v>
      </c>
      <c r="G3869" t="s">
        <v>406</v>
      </c>
      <c r="H3869" t="s">
        <v>11677</v>
      </c>
      <c r="I3869" t="s">
        <v>11678</v>
      </c>
      <c r="J3869" t="s">
        <v>406</v>
      </c>
      <c r="K3869" t="s">
        <v>55</v>
      </c>
      <c r="L3869" t="s">
        <v>409</v>
      </c>
      <c r="M3869" t="s">
        <v>57</v>
      </c>
      <c r="N3869" t="str">
        <f>"044388"</f>
        <v>044388</v>
      </c>
      <c r="O3869" t="s">
        <v>3325</v>
      </c>
      <c r="P3869" t="s">
        <v>68</v>
      </c>
      <c r="Q3869">
        <v>12.9</v>
      </c>
      <c r="R3869">
        <v>10</v>
      </c>
      <c r="S3869" t="s">
        <v>77</v>
      </c>
    </row>
    <row r="3870" spans="1:19" x14ac:dyDescent="0.35">
      <c r="A3870">
        <v>115881</v>
      </c>
      <c r="B3870" t="str">
        <f>"115881"</f>
        <v>115881</v>
      </c>
      <c r="C3870" t="s">
        <v>11679</v>
      </c>
      <c r="D3870" t="s">
        <v>3394</v>
      </c>
      <c r="E3870" t="s">
        <v>3395</v>
      </c>
      <c r="F3870" t="s">
        <v>3396</v>
      </c>
      <c r="G3870" t="s">
        <v>110</v>
      </c>
      <c r="H3870" t="s">
        <v>11680</v>
      </c>
      <c r="I3870" t="s">
        <v>11681</v>
      </c>
      <c r="J3870" t="s">
        <v>603</v>
      </c>
      <c r="K3870" t="s">
        <v>55</v>
      </c>
      <c r="L3870" t="s">
        <v>604</v>
      </c>
      <c r="M3870" t="s">
        <v>57</v>
      </c>
      <c r="N3870" t="str">
        <f>"047001"</f>
        <v>047001</v>
      </c>
      <c r="O3870" t="s">
        <v>599</v>
      </c>
      <c r="P3870" t="s">
        <v>68</v>
      </c>
      <c r="Q3870">
        <v>62.1</v>
      </c>
      <c r="R3870">
        <v>81.599999999999994</v>
      </c>
      <c r="S3870" t="s">
        <v>60</v>
      </c>
    </row>
    <row r="3871" spans="1:19" x14ac:dyDescent="0.35">
      <c r="A3871">
        <v>117382</v>
      </c>
      <c r="B3871" t="str">
        <f>"117382"</f>
        <v>117382</v>
      </c>
      <c r="C3871" t="s">
        <v>4957</v>
      </c>
      <c r="D3871" t="s">
        <v>3400</v>
      </c>
      <c r="E3871" t="s">
        <v>3395</v>
      </c>
      <c r="F3871" t="s">
        <v>3396</v>
      </c>
      <c r="G3871" t="s">
        <v>244</v>
      </c>
      <c r="H3871" t="s">
        <v>11682</v>
      </c>
      <c r="I3871" t="s">
        <v>11683</v>
      </c>
      <c r="J3871" t="s">
        <v>247</v>
      </c>
      <c r="K3871" t="s">
        <v>55</v>
      </c>
      <c r="L3871" t="s">
        <v>248</v>
      </c>
      <c r="M3871" t="s">
        <v>57</v>
      </c>
      <c r="N3871" t="str">
        <f>"046094"</f>
        <v>046094</v>
      </c>
      <c r="O3871" t="s">
        <v>243</v>
      </c>
      <c r="P3871" t="s">
        <v>68</v>
      </c>
      <c r="Q3871">
        <v>41.1</v>
      </c>
      <c r="R3871">
        <v>13</v>
      </c>
      <c r="S3871" t="s">
        <v>217</v>
      </c>
    </row>
    <row r="3872" spans="1:19" x14ac:dyDescent="0.35">
      <c r="A3872">
        <v>117770</v>
      </c>
      <c r="B3872" t="str">
        <f>"117770"</f>
        <v>117770</v>
      </c>
      <c r="C3872" t="s">
        <v>11684</v>
      </c>
      <c r="D3872" t="s">
        <v>3394</v>
      </c>
      <c r="E3872" t="s">
        <v>3395</v>
      </c>
      <c r="F3872" t="s">
        <v>3396</v>
      </c>
      <c r="G3872" t="s">
        <v>52</v>
      </c>
      <c r="H3872" t="s">
        <v>11685</v>
      </c>
      <c r="I3872" t="s">
        <v>11686</v>
      </c>
      <c r="J3872" t="s">
        <v>11302</v>
      </c>
      <c r="K3872" t="s">
        <v>55</v>
      </c>
      <c r="L3872" t="s">
        <v>11303</v>
      </c>
      <c r="M3872" t="s">
        <v>57</v>
      </c>
      <c r="N3872" t="str">
        <f>"046763"</f>
        <v>046763</v>
      </c>
      <c r="O3872" t="s">
        <v>2667</v>
      </c>
      <c r="P3872" t="s">
        <v>68</v>
      </c>
      <c r="Q3872">
        <v>2.7</v>
      </c>
      <c r="R3872">
        <v>18.5</v>
      </c>
      <c r="S3872" t="s">
        <v>60</v>
      </c>
    </row>
    <row r="3873" spans="1:19" x14ac:dyDescent="0.35">
      <c r="A3873">
        <v>117879</v>
      </c>
      <c r="B3873" t="str">
        <f>"117879"</f>
        <v>117879</v>
      </c>
      <c r="C3873" t="s">
        <v>11687</v>
      </c>
      <c r="D3873" t="s">
        <v>3400</v>
      </c>
      <c r="E3873" t="s">
        <v>3395</v>
      </c>
      <c r="F3873" t="s">
        <v>3396</v>
      </c>
      <c r="G3873" t="s">
        <v>117</v>
      </c>
      <c r="H3873" t="s">
        <v>1476</v>
      </c>
      <c r="I3873" t="s">
        <v>1477</v>
      </c>
      <c r="J3873" t="s">
        <v>1478</v>
      </c>
      <c r="K3873" t="s">
        <v>55</v>
      </c>
      <c r="L3873" t="s">
        <v>1479</v>
      </c>
      <c r="M3873" t="s">
        <v>57</v>
      </c>
      <c r="N3873" t="str">
        <f>"049916"</f>
        <v>049916</v>
      </c>
      <c r="O3873" t="s">
        <v>1475</v>
      </c>
      <c r="P3873" t="s">
        <v>68</v>
      </c>
      <c r="Q3873">
        <v>46</v>
      </c>
      <c r="R3873">
        <v>5.7999999999999972</v>
      </c>
      <c r="S3873" t="s">
        <v>77</v>
      </c>
    </row>
    <row r="3874" spans="1:19" x14ac:dyDescent="0.35">
      <c r="A3874">
        <v>118042</v>
      </c>
      <c r="B3874" t="str">
        <f>"118042"</f>
        <v>118042</v>
      </c>
      <c r="C3874" t="s">
        <v>11688</v>
      </c>
      <c r="D3874" t="s">
        <v>3394</v>
      </c>
      <c r="E3874" t="s">
        <v>3395</v>
      </c>
      <c r="F3874" t="s">
        <v>3396</v>
      </c>
      <c r="G3874" t="s">
        <v>600</v>
      </c>
      <c r="H3874" t="s">
        <v>11689</v>
      </c>
      <c r="I3874" t="s">
        <v>11690</v>
      </c>
      <c r="J3874" t="s">
        <v>3622</v>
      </c>
      <c r="K3874" t="s">
        <v>55</v>
      </c>
      <c r="L3874" t="s">
        <v>3623</v>
      </c>
      <c r="M3874" t="s">
        <v>57</v>
      </c>
      <c r="N3874" t="str">
        <f>"047019"</f>
        <v>047019</v>
      </c>
      <c r="O3874" t="s">
        <v>1345</v>
      </c>
      <c r="P3874" t="s">
        <v>68</v>
      </c>
      <c r="Q3874">
        <v>30.2</v>
      </c>
      <c r="R3874">
        <v>38.6</v>
      </c>
      <c r="S3874" t="s">
        <v>60</v>
      </c>
    </row>
    <row r="3875" spans="1:19" x14ac:dyDescent="0.35">
      <c r="A3875">
        <v>118059</v>
      </c>
      <c r="B3875" t="str">
        <f>"118059"</f>
        <v>118059</v>
      </c>
      <c r="C3875" t="s">
        <v>11691</v>
      </c>
      <c r="D3875" t="s">
        <v>3394</v>
      </c>
      <c r="E3875" t="s">
        <v>3395</v>
      </c>
      <c r="F3875" t="s">
        <v>3396</v>
      </c>
      <c r="G3875" t="s">
        <v>600</v>
      </c>
      <c r="H3875" t="s">
        <v>11692</v>
      </c>
      <c r="I3875" t="s">
        <v>11693</v>
      </c>
      <c r="J3875" t="s">
        <v>3622</v>
      </c>
      <c r="K3875" t="s">
        <v>55</v>
      </c>
      <c r="L3875" t="s">
        <v>3623</v>
      </c>
      <c r="M3875" t="s">
        <v>57</v>
      </c>
      <c r="N3875" t="str">
        <f>"047019"</f>
        <v>047019</v>
      </c>
      <c r="O3875" t="s">
        <v>1345</v>
      </c>
      <c r="P3875" t="s">
        <v>68</v>
      </c>
      <c r="Q3875">
        <v>40.9</v>
      </c>
      <c r="R3875">
        <v>38.6</v>
      </c>
      <c r="S3875" t="s">
        <v>60</v>
      </c>
    </row>
    <row r="3876" spans="1:19" x14ac:dyDescent="0.35">
      <c r="A3876">
        <v>118141</v>
      </c>
      <c r="B3876" t="str">
        <f>"118141"</f>
        <v>118141</v>
      </c>
      <c r="C3876" t="s">
        <v>11694</v>
      </c>
      <c r="D3876" t="s">
        <v>3394</v>
      </c>
      <c r="E3876" t="s">
        <v>3395</v>
      </c>
      <c r="F3876" t="s">
        <v>3396</v>
      </c>
      <c r="G3876" t="s">
        <v>1551</v>
      </c>
      <c r="H3876" t="s">
        <v>6981</v>
      </c>
      <c r="I3876" t="s">
        <v>6982</v>
      </c>
      <c r="J3876" t="s">
        <v>2241</v>
      </c>
      <c r="K3876" t="s">
        <v>55</v>
      </c>
      <c r="L3876" t="s">
        <v>2242</v>
      </c>
      <c r="M3876" t="s">
        <v>57</v>
      </c>
      <c r="N3876" t="str">
        <f>"049064"</f>
        <v>049064</v>
      </c>
      <c r="O3876" t="s">
        <v>2238</v>
      </c>
      <c r="P3876" t="s">
        <v>68</v>
      </c>
      <c r="Q3876">
        <v>100</v>
      </c>
      <c r="R3876">
        <v>4.4000000000000057</v>
      </c>
      <c r="S3876" t="s">
        <v>130</v>
      </c>
    </row>
    <row r="3877" spans="1:19" x14ac:dyDescent="0.35">
      <c r="A3877">
        <v>118158</v>
      </c>
      <c r="B3877" t="str">
        <f>"118158"</f>
        <v>118158</v>
      </c>
      <c r="C3877" t="s">
        <v>11695</v>
      </c>
      <c r="D3877" t="s">
        <v>3400</v>
      </c>
      <c r="E3877" t="s">
        <v>3395</v>
      </c>
      <c r="F3877" t="s">
        <v>3396</v>
      </c>
      <c r="G3877" t="s">
        <v>92</v>
      </c>
      <c r="H3877" t="s">
        <v>11696</v>
      </c>
      <c r="I3877" t="s">
        <v>11697</v>
      </c>
      <c r="J3877" t="s">
        <v>2643</v>
      </c>
      <c r="K3877" t="s">
        <v>55</v>
      </c>
      <c r="L3877" t="s">
        <v>2644</v>
      </c>
      <c r="M3877" t="s">
        <v>57</v>
      </c>
      <c r="N3877" t="str">
        <f>"046946"</f>
        <v>046946</v>
      </c>
      <c r="O3877" t="s">
        <v>2640</v>
      </c>
      <c r="P3877" t="s">
        <v>68</v>
      </c>
      <c r="Q3877">
        <v>39.200000000000003</v>
      </c>
      <c r="R3877">
        <v>48.6</v>
      </c>
      <c r="S3877" t="s">
        <v>60</v>
      </c>
    </row>
    <row r="3878" spans="1:19" x14ac:dyDescent="0.35">
      <c r="A3878">
        <v>118158</v>
      </c>
      <c r="B3878" t="str">
        <f>"118158"</f>
        <v>118158</v>
      </c>
      <c r="C3878" t="s">
        <v>11695</v>
      </c>
      <c r="D3878" t="s">
        <v>3929</v>
      </c>
      <c r="E3878" t="s">
        <v>3395</v>
      </c>
      <c r="F3878" t="s">
        <v>3396</v>
      </c>
      <c r="G3878" t="s">
        <v>92</v>
      </c>
      <c r="H3878" t="s">
        <v>11696</v>
      </c>
      <c r="I3878" t="s">
        <v>11697</v>
      </c>
      <c r="J3878" t="s">
        <v>2643</v>
      </c>
      <c r="K3878" t="s">
        <v>55</v>
      </c>
      <c r="L3878" t="s">
        <v>2644</v>
      </c>
      <c r="M3878" t="s">
        <v>57</v>
      </c>
      <c r="N3878" t="str">
        <f>"046946"</f>
        <v>046946</v>
      </c>
      <c r="O3878" t="s">
        <v>2640</v>
      </c>
      <c r="P3878" t="s">
        <v>68</v>
      </c>
      <c r="Q3878">
        <v>39.200000000000003</v>
      </c>
      <c r="R3878">
        <v>48.6</v>
      </c>
      <c r="S3878" t="s">
        <v>60</v>
      </c>
    </row>
    <row r="3879" spans="1:19" x14ac:dyDescent="0.35">
      <c r="A3879">
        <v>118216</v>
      </c>
      <c r="B3879" t="str">
        <f>"118216"</f>
        <v>118216</v>
      </c>
      <c r="C3879" t="s">
        <v>11698</v>
      </c>
      <c r="D3879" t="s">
        <v>3394</v>
      </c>
      <c r="E3879" t="s">
        <v>9538</v>
      </c>
      <c r="F3879" t="s">
        <v>3396</v>
      </c>
      <c r="G3879" t="s">
        <v>63</v>
      </c>
      <c r="H3879" t="s">
        <v>11699</v>
      </c>
      <c r="I3879" t="s">
        <v>11700</v>
      </c>
      <c r="J3879" t="s">
        <v>452</v>
      </c>
      <c r="K3879" t="s">
        <v>55</v>
      </c>
      <c r="L3879" t="s">
        <v>453</v>
      </c>
      <c r="M3879" t="s">
        <v>57</v>
      </c>
      <c r="N3879" t="str">
        <f>"052597"</f>
        <v>052597</v>
      </c>
      <c r="O3879" t="s">
        <v>2565</v>
      </c>
      <c r="P3879" t="s">
        <v>68</v>
      </c>
      <c r="Q3879" t="s">
        <v>68</v>
      </c>
      <c r="R3879" t="s">
        <v>68</v>
      </c>
      <c r="S3879" t="s">
        <v>69</v>
      </c>
    </row>
    <row r="3880" spans="1:19" x14ac:dyDescent="0.35">
      <c r="A3880">
        <v>118257</v>
      </c>
      <c r="B3880" t="str">
        <f>"118257"</f>
        <v>118257</v>
      </c>
      <c r="C3880" t="s">
        <v>11701</v>
      </c>
      <c r="D3880" t="s">
        <v>3400</v>
      </c>
      <c r="E3880" t="s">
        <v>3395</v>
      </c>
      <c r="F3880" t="s">
        <v>3396</v>
      </c>
      <c r="G3880" t="s">
        <v>600</v>
      </c>
      <c r="H3880" t="s">
        <v>11702</v>
      </c>
      <c r="I3880" t="s">
        <v>11703</v>
      </c>
      <c r="J3880" t="s">
        <v>1500</v>
      </c>
      <c r="K3880" t="s">
        <v>55</v>
      </c>
      <c r="L3880" t="s">
        <v>1501</v>
      </c>
      <c r="M3880" t="s">
        <v>57</v>
      </c>
      <c r="N3880" t="str">
        <f>"045138"</f>
        <v>045138</v>
      </c>
      <c r="O3880" t="s">
        <v>1497</v>
      </c>
      <c r="P3880" t="s">
        <v>68</v>
      </c>
      <c r="Q3880">
        <v>17.600000000000001</v>
      </c>
      <c r="R3880">
        <v>22.799999999999997</v>
      </c>
      <c r="S3880" t="s">
        <v>60</v>
      </c>
    </row>
    <row r="3881" spans="1:19" x14ac:dyDescent="0.35">
      <c r="A3881">
        <v>118323</v>
      </c>
      <c r="B3881" t="str">
        <f>"118323"</f>
        <v>118323</v>
      </c>
      <c r="C3881" t="s">
        <v>11704</v>
      </c>
      <c r="D3881" t="s">
        <v>3394</v>
      </c>
      <c r="E3881" t="s">
        <v>3395</v>
      </c>
      <c r="F3881" t="s">
        <v>3396</v>
      </c>
      <c r="G3881" t="s">
        <v>143</v>
      </c>
      <c r="H3881" t="s">
        <v>11705</v>
      </c>
      <c r="I3881" t="s">
        <v>11706</v>
      </c>
      <c r="J3881" t="s">
        <v>2617</v>
      </c>
      <c r="K3881" t="s">
        <v>55</v>
      </c>
      <c r="L3881" t="s">
        <v>2618</v>
      </c>
      <c r="M3881" t="s">
        <v>57</v>
      </c>
      <c r="N3881" t="str">
        <f>"044537"</f>
        <v>044537</v>
      </c>
      <c r="O3881" t="s">
        <v>2614</v>
      </c>
      <c r="P3881" t="s">
        <v>68</v>
      </c>
      <c r="Q3881">
        <v>14.3</v>
      </c>
      <c r="R3881">
        <v>17.299999999999997</v>
      </c>
      <c r="S3881" t="s">
        <v>69</v>
      </c>
    </row>
    <row r="3882" spans="1:19" x14ac:dyDescent="0.35">
      <c r="A3882">
        <v>118331</v>
      </c>
      <c r="B3882" t="str">
        <f>"118331"</f>
        <v>118331</v>
      </c>
      <c r="C3882" t="s">
        <v>11707</v>
      </c>
      <c r="D3882" t="s">
        <v>3394</v>
      </c>
      <c r="E3882" t="s">
        <v>3395</v>
      </c>
      <c r="F3882" t="s">
        <v>3396</v>
      </c>
      <c r="G3882" t="s">
        <v>1551</v>
      </c>
      <c r="H3882" t="s">
        <v>4566</v>
      </c>
      <c r="I3882" t="s">
        <v>4567</v>
      </c>
      <c r="J3882" t="s">
        <v>2129</v>
      </c>
      <c r="K3882" t="s">
        <v>55</v>
      </c>
      <c r="L3882" t="s">
        <v>2130</v>
      </c>
      <c r="M3882" t="s">
        <v>57</v>
      </c>
      <c r="N3882" t="str">
        <f>"045351"</f>
        <v>045351</v>
      </c>
      <c r="O3882" t="s">
        <v>2126</v>
      </c>
      <c r="P3882" t="s">
        <v>68</v>
      </c>
      <c r="Q3882">
        <v>100</v>
      </c>
      <c r="R3882">
        <v>3.0999999999999943</v>
      </c>
      <c r="S3882" t="s">
        <v>130</v>
      </c>
    </row>
    <row r="3883" spans="1:19" x14ac:dyDescent="0.35">
      <c r="A3883">
        <v>118414</v>
      </c>
      <c r="B3883" t="str">
        <f>"118414"</f>
        <v>118414</v>
      </c>
      <c r="C3883" t="s">
        <v>11708</v>
      </c>
      <c r="D3883" t="s">
        <v>3400</v>
      </c>
      <c r="E3883" t="s">
        <v>3395</v>
      </c>
      <c r="F3883" t="s">
        <v>3396</v>
      </c>
      <c r="G3883" t="s">
        <v>63</v>
      </c>
      <c r="H3883" t="s">
        <v>11709</v>
      </c>
      <c r="I3883" t="s">
        <v>11710</v>
      </c>
      <c r="J3883" t="s">
        <v>507</v>
      </c>
      <c r="K3883" t="s">
        <v>55</v>
      </c>
      <c r="L3883" t="s">
        <v>508</v>
      </c>
      <c r="M3883" t="s">
        <v>57</v>
      </c>
      <c r="N3883" t="str">
        <f>"046557"</f>
        <v>046557</v>
      </c>
      <c r="O3883" t="s">
        <v>504</v>
      </c>
      <c r="P3883" t="s">
        <v>68</v>
      </c>
      <c r="Q3883">
        <v>34</v>
      </c>
      <c r="R3883">
        <v>14.799999999999997</v>
      </c>
      <c r="S3883" t="s">
        <v>69</v>
      </c>
    </row>
    <row r="3884" spans="1:19" x14ac:dyDescent="0.35">
      <c r="A3884">
        <v>118828</v>
      </c>
      <c r="B3884" t="str">
        <f>"118828"</f>
        <v>118828</v>
      </c>
      <c r="C3884" t="s">
        <v>11711</v>
      </c>
      <c r="D3884" t="s">
        <v>3394</v>
      </c>
      <c r="E3884" t="s">
        <v>3395</v>
      </c>
      <c r="F3884" t="s">
        <v>3396</v>
      </c>
      <c r="G3884" t="s">
        <v>212</v>
      </c>
      <c r="H3884" t="s">
        <v>11712</v>
      </c>
      <c r="I3884" t="s">
        <v>11713</v>
      </c>
      <c r="J3884" t="s">
        <v>3371</v>
      </c>
      <c r="K3884" t="s">
        <v>55</v>
      </c>
      <c r="L3884" t="s">
        <v>3372</v>
      </c>
      <c r="M3884" t="s">
        <v>57</v>
      </c>
      <c r="N3884" t="str">
        <f>"044271"</f>
        <v>044271</v>
      </c>
      <c r="O3884" t="s">
        <v>3368</v>
      </c>
      <c r="P3884" t="s">
        <v>68</v>
      </c>
      <c r="Q3884">
        <v>16.600000000000001</v>
      </c>
      <c r="R3884">
        <v>14.799999999999997</v>
      </c>
      <c r="S3884" t="s">
        <v>217</v>
      </c>
    </row>
    <row r="3885" spans="1:19" x14ac:dyDescent="0.35">
      <c r="A3885">
        <v>118844</v>
      </c>
      <c r="B3885" t="str">
        <f>"118844"</f>
        <v>118844</v>
      </c>
      <c r="C3885" t="s">
        <v>11714</v>
      </c>
      <c r="D3885" t="s">
        <v>3394</v>
      </c>
      <c r="E3885" t="s">
        <v>3395</v>
      </c>
      <c r="F3885" t="s">
        <v>3396</v>
      </c>
      <c r="G3885" t="s">
        <v>63</v>
      </c>
      <c r="H3885" t="s">
        <v>11715</v>
      </c>
      <c r="I3885" t="s">
        <v>11716</v>
      </c>
      <c r="J3885" t="s">
        <v>2182</v>
      </c>
      <c r="K3885" t="s">
        <v>55</v>
      </c>
      <c r="L3885" t="s">
        <v>8770</v>
      </c>
      <c r="M3885" t="s">
        <v>57</v>
      </c>
      <c r="N3885" t="str">
        <f>"043950"</f>
        <v>043950</v>
      </c>
      <c r="O3885" t="s">
        <v>2179</v>
      </c>
      <c r="P3885" t="s">
        <v>68</v>
      </c>
      <c r="Q3885">
        <v>100</v>
      </c>
      <c r="R3885">
        <v>94.6</v>
      </c>
      <c r="S3885" t="s">
        <v>69</v>
      </c>
    </row>
    <row r="3886" spans="1:19" x14ac:dyDescent="0.35">
      <c r="A3886">
        <v>119248</v>
      </c>
      <c r="B3886" t="str">
        <f>"119248"</f>
        <v>119248</v>
      </c>
      <c r="C3886" t="s">
        <v>11717</v>
      </c>
      <c r="D3886" t="s">
        <v>3394</v>
      </c>
      <c r="E3886" t="s">
        <v>9538</v>
      </c>
      <c r="F3886" t="s">
        <v>3396</v>
      </c>
      <c r="G3886" t="s">
        <v>110</v>
      </c>
      <c r="H3886" t="s">
        <v>11718</v>
      </c>
      <c r="I3886" t="s">
        <v>11719</v>
      </c>
      <c r="J3886" t="s">
        <v>671</v>
      </c>
      <c r="K3886" t="s">
        <v>55</v>
      </c>
      <c r="L3886" t="s">
        <v>672</v>
      </c>
      <c r="M3886" t="s">
        <v>57</v>
      </c>
      <c r="N3886" t="str">
        <f>"119248"</f>
        <v>119248</v>
      </c>
      <c r="O3886" t="s">
        <v>11717</v>
      </c>
      <c r="P3886" t="s">
        <v>68</v>
      </c>
      <c r="Q3886" t="s">
        <v>68</v>
      </c>
      <c r="R3886" t="s">
        <v>68</v>
      </c>
      <c r="S3886" t="s">
        <v>60</v>
      </c>
    </row>
    <row r="3887" spans="1:19" x14ac:dyDescent="0.35">
      <c r="A3887">
        <v>119313</v>
      </c>
      <c r="B3887" t="str">
        <f>"119313"</f>
        <v>119313</v>
      </c>
      <c r="C3887" t="s">
        <v>11720</v>
      </c>
      <c r="D3887" t="s">
        <v>3394</v>
      </c>
      <c r="E3887" t="s">
        <v>9538</v>
      </c>
      <c r="F3887" t="s">
        <v>3396</v>
      </c>
      <c r="G3887" t="s">
        <v>543</v>
      </c>
      <c r="H3887" t="s">
        <v>11721</v>
      </c>
      <c r="I3887" t="s">
        <v>11722</v>
      </c>
      <c r="J3887" t="s">
        <v>687</v>
      </c>
      <c r="K3887" t="s">
        <v>55</v>
      </c>
      <c r="L3887" t="s">
        <v>10659</v>
      </c>
      <c r="M3887" t="s">
        <v>57</v>
      </c>
      <c r="N3887" t="str">
        <f>"119313"</f>
        <v>119313</v>
      </c>
      <c r="O3887" t="s">
        <v>11720</v>
      </c>
      <c r="P3887" t="s">
        <v>68</v>
      </c>
      <c r="Q3887" t="s">
        <v>68</v>
      </c>
      <c r="R3887" t="s">
        <v>68</v>
      </c>
      <c r="S3887" t="s">
        <v>180</v>
      </c>
    </row>
    <row r="3888" spans="1:19" x14ac:dyDescent="0.35">
      <c r="A3888">
        <v>119313</v>
      </c>
      <c r="B3888" t="str">
        <f>"119313"</f>
        <v>119313</v>
      </c>
      <c r="C3888" t="s">
        <v>11720</v>
      </c>
      <c r="D3888" t="s">
        <v>4572</v>
      </c>
      <c r="E3888" t="s">
        <v>9538</v>
      </c>
      <c r="F3888" t="s">
        <v>3396</v>
      </c>
      <c r="G3888" t="s">
        <v>543</v>
      </c>
      <c r="H3888" t="s">
        <v>11721</v>
      </c>
      <c r="I3888" t="s">
        <v>11722</v>
      </c>
      <c r="J3888" t="s">
        <v>687</v>
      </c>
      <c r="K3888" t="s">
        <v>55</v>
      </c>
      <c r="L3888" t="s">
        <v>10659</v>
      </c>
      <c r="M3888" t="s">
        <v>57</v>
      </c>
      <c r="N3888" t="str">
        <f>"119313"</f>
        <v>119313</v>
      </c>
      <c r="O3888" t="s">
        <v>11720</v>
      </c>
      <c r="P3888" t="s">
        <v>68</v>
      </c>
      <c r="Q3888" t="s">
        <v>68</v>
      </c>
      <c r="R3888" t="s">
        <v>68</v>
      </c>
      <c r="S3888" t="s">
        <v>180</v>
      </c>
    </row>
    <row r="3889" spans="1:19" x14ac:dyDescent="0.35">
      <c r="A3889">
        <v>119313</v>
      </c>
      <c r="B3889" t="str">
        <f>"119313"</f>
        <v>119313</v>
      </c>
      <c r="C3889" t="s">
        <v>11720</v>
      </c>
      <c r="D3889" t="s">
        <v>9541</v>
      </c>
      <c r="E3889" t="s">
        <v>9538</v>
      </c>
      <c r="F3889" t="s">
        <v>3396</v>
      </c>
      <c r="G3889" t="s">
        <v>543</v>
      </c>
      <c r="H3889" t="s">
        <v>11721</v>
      </c>
      <c r="I3889" t="s">
        <v>11722</v>
      </c>
      <c r="J3889" t="s">
        <v>687</v>
      </c>
      <c r="K3889" t="s">
        <v>55</v>
      </c>
      <c r="L3889" t="s">
        <v>10659</v>
      </c>
      <c r="M3889" t="s">
        <v>57</v>
      </c>
      <c r="N3889" t="str">
        <f>"119313"</f>
        <v>119313</v>
      </c>
      <c r="O3889" t="s">
        <v>11720</v>
      </c>
      <c r="P3889" t="s">
        <v>68</v>
      </c>
      <c r="Q3889" t="s">
        <v>68</v>
      </c>
      <c r="R3889" t="s">
        <v>68</v>
      </c>
      <c r="S3889" t="s">
        <v>180</v>
      </c>
    </row>
    <row r="3890" spans="1:19" x14ac:dyDescent="0.35">
      <c r="A3890">
        <v>119339</v>
      </c>
      <c r="B3890" t="str">
        <f>"119339"</f>
        <v>119339</v>
      </c>
      <c r="C3890" t="s">
        <v>11723</v>
      </c>
      <c r="D3890" t="s">
        <v>3394</v>
      </c>
      <c r="E3890" t="s">
        <v>9538</v>
      </c>
      <c r="F3890" t="s">
        <v>3396</v>
      </c>
      <c r="G3890" t="s">
        <v>264</v>
      </c>
      <c r="H3890" t="s">
        <v>11724</v>
      </c>
      <c r="I3890" t="s">
        <v>11725</v>
      </c>
      <c r="J3890" t="s">
        <v>5319</v>
      </c>
      <c r="K3890" t="s">
        <v>55</v>
      </c>
      <c r="L3890" t="s">
        <v>3693</v>
      </c>
      <c r="M3890" t="s">
        <v>57</v>
      </c>
      <c r="N3890" t="str">
        <f>"119339"</f>
        <v>119339</v>
      </c>
      <c r="O3890" t="s">
        <v>11723</v>
      </c>
      <c r="P3890" t="s">
        <v>68</v>
      </c>
      <c r="Q3890" t="s">
        <v>68</v>
      </c>
      <c r="R3890" t="s">
        <v>68</v>
      </c>
      <c r="S3890" t="s">
        <v>77</v>
      </c>
    </row>
    <row r="3891" spans="1:19" x14ac:dyDescent="0.35">
      <c r="A3891">
        <v>119339</v>
      </c>
      <c r="B3891" t="str">
        <f>"119339"</f>
        <v>119339</v>
      </c>
      <c r="C3891" t="s">
        <v>11723</v>
      </c>
      <c r="D3891" t="s">
        <v>9541</v>
      </c>
      <c r="E3891" t="s">
        <v>9538</v>
      </c>
      <c r="F3891" t="s">
        <v>3396</v>
      </c>
      <c r="G3891" t="s">
        <v>264</v>
      </c>
      <c r="H3891" t="s">
        <v>11724</v>
      </c>
      <c r="I3891" t="s">
        <v>11725</v>
      </c>
      <c r="J3891" t="s">
        <v>5319</v>
      </c>
      <c r="K3891" t="s">
        <v>55</v>
      </c>
      <c r="L3891" t="s">
        <v>3693</v>
      </c>
      <c r="M3891" t="s">
        <v>57</v>
      </c>
      <c r="N3891" t="str">
        <f>"119339"</f>
        <v>119339</v>
      </c>
      <c r="O3891" t="s">
        <v>11723</v>
      </c>
      <c r="P3891" t="s">
        <v>68</v>
      </c>
      <c r="Q3891" t="s">
        <v>68</v>
      </c>
      <c r="R3891" t="s">
        <v>68</v>
      </c>
      <c r="S3891" t="s">
        <v>77</v>
      </c>
    </row>
    <row r="3892" spans="1:19" x14ac:dyDescent="0.35">
      <c r="A3892">
        <v>119438</v>
      </c>
      <c r="B3892" t="str">
        <f>"119438"</f>
        <v>119438</v>
      </c>
      <c r="C3892" t="s">
        <v>11726</v>
      </c>
      <c r="D3892" t="s">
        <v>3400</v>
      </c>
      <c r="E3892" t="s">
        <v>3395</v>
      </c>
      <c r="F3892" t="s">
        <v>3396</v>
      </c>
      <c r="G3892" t="s">
        <v>600</v>
      </c>
      <c r="H3892" t="s">
        <v>11727</v>
      </c>
      <c r="I3892" t="s">
        <v>11728</v>
      </c>
      <c r="J3892" t="s">
        <v>3622</v>
      </c>
      <c r="K3892" t="s">
        <v>55</v>
      </c>
      <c r="L3892" t="s">
        <v>3623</v>
      </c>
      <c r="M3892" t="s">
        <v>57</v>
      </c>
      <c r="N3892" t="str">
        <f>"047019"</f>
        <v>047019</v>
      </c>
      <c r="O3892" t="s">
        <v>1345</v>
      </c>
      <c r="P3892" t="s">
        <v>68</v>
      </c>
      <c r="Q3892">
        <v>25</v>
      </c>
      <c r="R3892">
        <v>29</v>
      </c>
      <c r="S3892" t="s">
        <v>60</v>
      </c>
    </row>
    <row r="3893" spans="1:19" x14ac:dyDescent="0.35">
      <c r="A3893">
        <v>119768</v>
      </c>
      <c r="B3893" t="str">
        <f>"119768"</f>
        <v>119768</v>
      </c>
      <c r="C3893" t="s">
        <v>11729</v>
      </c>
      <c r="D3893" t="s">
        <v>3394</v>
      </c>
      <c r="E3893" t="s">
        <v>3395</v>
      </c>
      <c r="F3893" t="s">
        <v>3396</v>
      </c>
      <c r="G3893" t="s">
        <v>244</v>
      </c>
      <c r="H3893" t="s">
        <v>11730</v>
      </c>
      <c r="I3893" t="s">
        <v>11731</v>
      </c>
      <c r="J3893" t="s">
        <v>6385</v>
      </c>
      <c r="K3893" t="s">
        <v>55</v>
      </c>
      <c r="L3893" t="s">
        <v>374</v>
      </c>
      <c r="M3893" t="s">
        <v>57</v>
      </c>
      <c r="N3893" t="str">
        <f>"046110"</f>
        <v>046110</v>
      </c>
      <c r="O3893" t="s">
        <v>2005</v>
      </c>
      <c r="P3893" t="s">
        <v>68</v>
      </c>
      <c r="Q3893">
        <v>21.3</v>
      </c>
      <c r="R3893">
        <v>36.6</v>
      </c>
      <c r="S3893" t="s">
        <v>217</v>
      </c>
    </row>
    <row r="3894" spans="1:19" x14ac:dyDescent="0.35">
      <c r="A3894">
        <v>119776</v>
      </c>
      <c r="B3894" t="str">
        <f>"119776"</f>
        <v>119776</v>
      </c>
      <c r="C3894" t="s">
        <v>11732</v>
      </c>
      <c r="D3894" t="s">
        <v>3394</v>
      </c>
      <c r="E3894" t="s">
        <v>3395</v>
      </c>
      <c r="F3894" t="s">
        <v>3396</v>
      </c>
      <c r="G3894" t="s">
        <v>244</v>
      </c>
      <c r="H3894" t="s">
        <v>11733</v>
      </c>
      <c r="I3894" t="s">
        <v>11734</v>
      </c>
      <c r="J3894" t="s">
        <v>2008</v>
      </c>
      <c r="K3894" t="s">
        <v>55</v>
      </c>
      <c r="L3894" t="s">
        <v>3475</v>
      </c>
      <c r="M3894" t="s">
        <v>57</v>
      </c>
      <c r="N3894" t="str">
        <f>"046110"</f>
        <v>046110</v>
      </c>
      <c r="O3894" t="s">
        <v>2005</v>
      </c>
      <c r="P3894" t="s">
        <v>68</v>
      </c>
      <c r="Q3894">
        <v>13.2</v>
      </c>
      <c r="R3894">
        <v>27</v>
      </c>
      <c r="S3894" t="s">
        <v>217</v>
      </c>
    </row>
    <row r="3895" spans="1:19" x14ac:dyDescent="0.35">
      <c r="A3895">
        <v>119792</v>
      </c>
      <c r="B3895" t="str">
        <f>"119792"</f>
        <v>119792</v>
      </c>
      <c r="C3895" t="s">
        <v>11735</v>
      </c>
      <c r="D3895" t="s">
        <v>3394</v>
      </c>
      <c r="E3895" t="s">
        <v>3395</v>
      </c>
      <c r="F3895" t="s">
        <v>3396</v>
      </c>
      <c r="G3895" t="s">
        <v>200</v>
      </c>
      <c r="H3895" t="s">
        <v>11736</v>
      </c>
      <c r="I3895" t="s">
        <v>11737</v>
      </c>
      <c r="J3895" t="s">
        <v>431</v>
      </c>
      <c r="K3895" t="s">
        <v>55</v>
      </c>
      <c r="L3895" t="s">
        <v>432</v>
      </c>
      <c r="M3895" t="s">
        <v>57</v>
      </c>
      <c r="N3895" t="str">
        <f>"048223"</f>
        <v>048223</v>
      </c>
      <c r="O3895" t="s">
        <v>263</v>
      </c>
      <c r="P3895" t="s">
        <v>68</v>
      </c>
      <c r="Q3895">
        <v>50.1</v>
      </c>
      <c r="R3895">
        <v>43.8</v>
      </c>
      <c r="S3895" t="s">
        <v>156</v>
      </c>
    </row>
    <row r="3896" spans="1:19" x14ac:dyDescent="0.35">
      <c r="A3896">
        <v>119917</v>
      </c>
      <c r="B3896" t="str">
        <f>"119917"</f>
        <v>119917</v>
      </c>
      <c r="C3896" t="s">
        <v>11738</v>
      </c>
      <c r="D3896" t="s">
        <v>3394</v>
      </c>
      <c r="E3896" t="s">
        <v>9538</v>
      </c>
      <c r="F3896" t="s">
        <v>3396</v>
      </c>
      <c r="G3896" t="s">
        <v>383</v>
      </c>
      <c r="H3896" t="s">
        <v>11739</v>
      </c>
      <c r="I3896" t="s">
        <v>11740</v>
      </c>
      <c r="J3896" t="s">
        <v>10476</v>
      </c>
      <c r="K3896" t="s">
        <v>55</v>
      </c>
      <c r="L3896" t="s">
        <v>2451</v>
      </c>
      <c r="M3896" t="s">
        <v>57</v>
      </c>
      <c r="N3896" t="str">
        <f>"119917"</f>
        <v>119917</v>
      </c>
      <c r="O3896" t="s">
        <v>11738</v>
      </c>
      <c r="P3896" t="s">
        <v>68</v>
      </c>
      <c r="Q3896" t="s">
        <v>68</v>
      </c>
      <c r="R3896" t="s">
        <v>68</v>
      </c>
      <c r="S3896" t="s">
        <v>77</v>
      </c>
    </row>
    <row r="3897" spans="1:19" x14ac:dyDescent="0.35">
      <c r="A3897">
        <v>119990</v>
      </c>
      <c r="B3897" t="str">
        <f>"119990"</f>
        <v>119990</v>
      </c>
      <c r="C3897" t="s">
        <v>11741</v>
      </c>
      <c r="D3897" t="s">
        <v>3394</v>
      </c>
      <c r="E3897" t="s">
        <v>9538</v>
      </c>
      <c r="F3897" t="s">
        <v>3396</v>
      </c>
      <c r="G3897" t="s">
        <v>117</v>
      </c>
      <c r="H3897" t="s">
        <v>11742</v>
      </c>
      <c r="I3897" t="s">
        <v>11743</v>
      </c>
      <c r="J3897" t="s">
        <v>1409</v>
      </c>
      <c r="K3897" t="s">
        <v>55</v>
      </c>
      <c r="L3897" t="s">
        <v>1410</v>
      </c>
      <c r="M3897" t="s">
        <v>57</v>
      </c>
      <c r="N3897" t="str">
        <f>"119990"</f>
        <v>119990</v>
      </c>
      <c r="O3897" t="s">
        <v>11744</v>
      </c>
      <c r="P3897" t="s">
        <v>68</v>
      </c>
      <c r="Q3897" t="s">
        <v>68</v>
      </c>
      <c r="R3897" t="s">
        <v>68</v>
      </c>
      <c r="S3897" t="s">
        <v>77</v>
      </c>
    </row>
    <row r="3898" spans="1:19" x14ac:dyDescent="0.35">
      <c r="A3898">
        <v>120212</v>
      </c>
      <c r="B3898" t="str">
        <f>"120212"</f>
        <v>120212</v>
      </c>
      <c r="C3898" t="s">
        <v>11745</v>
      </c>
      <c r="D3898" t="s">
        <v>3400</v>
      </c>
      <c r="E3898" t="s">
        <v>3395</v>
      </c>
      <c r="F3898" t="s">
        <v>3396</v>
      </c>
      <c r="G3898" t="s">
        <v>52</v>
      </c>
      <c r="H3898" t="s">
        <v>11746</v>
      </c>
      <c r="I3898" t="s">
        <v>11747</v>
      </c>
      <c r="J3898" t="s">
        <v>1956</v>
      </c>
      <c r="K3898" t="s">
        <v>55</v>
      </c>
      <c r="L3898" t="s">
        <v>1957</v>
      </c>
      <c r="M3898" t="s">
        <v>57</v>
      </c>
      <c r="N3898" t="str">
        <f>"047027"</f>
        <v>047027</v>
      </c>
      <c r="O3898" t="s">
        <v>1953</v>
      </c>
      <c r="P3898" t="s">
        <v>68</v>
      </c>
      <c r="Q3898">
        <v>1.7</v>
      </c>
      <c r="R3898">
        <v>23.299999999999997</v>
      </c>
      <c r="S3898" t="s">
        <v>60</v>
      </c>
    </row>
    <row r="3899" spans="1:19" x14ac:dyDescent="0.35">
      <c r="A3899">
        <v>120261</v>
      </c>
      <c r="B3899" t="str">
        <f>"120261"</f>
        <v>120261</v>
      </c>
      <c r="C3899" t="s">
        <v>7455</v>
      </c>
      <c r="D3899" t="s">
        <v>3400</v>
      </c>
      <c r="E3899" t="s">
        <v>3395</v>
      </c>
      <c r="F3899" t="s">
        <v>3396</v>
      </c>
      <c r="G3899" t="s">
        <v>219</v>
      </c>
      <c r="H3899" t="s">
        <v>11748</v>
      </c>
      <c r="I3899" t="s">
        <v>11749</v>
      </c>
      <c r="J3899" t="s">
        <v>1422</v>
      </c>
      <c r="K3899" t="s">
        <v>55</v>
      </c>
      <c r="L3899" t="s">
        <v>1423</v>
      </c>
      <c r="M3899" t="s">
        <v>57</v>
      </c>
      <c r="N3899" t="str">
        <f>"049635"</f>
        <v>049635</v>
      </c>
      <c r="O3899" t="s">
        <v>1419</v>
      </c>
      <c r="P3899" t="s">
        <v>68</v>
      </c>
      <c r="Q3899">
        <v>62.5</v>
      </c>
      <c r="R3899">
        <v>2.4000000000000057</v>
      </c>
      <c r="S3899" t="s">
        <v>130</v>
      </c>
    </row>
    <row r="3900" spans="1:19" x14ac:dyDescent="0.35">
      <c r="A3900">
        <v>120279</v>
      </c>
      <c r="B3900" t="str">
        <f>"120279"</f>
        <v>120279</v>
      </c>
      <c r="C3900" t="s">
        <v>11750</v>
      </c>
      <c r="D3900" t="s">
        <v>3394</v>
      </c>
      <c r="E3900" t="s">
        <v>3395</v>
      </c>
      <c r="F3900" t="s">
        <v>3396</v>
      </c>
      <c r="G3900" t="s">
        <v>219</v>
      </c>
      <c r="H3900" t="s">
        <v>11751</v>
      </c>
      <c r="I3900" t="s">
        <v>11752</v>
      </c>
      <c r="J3900" t="s">
        <v>1422</v>
      </c>
      <c r="K3900" t="s">
        <v>55</v>
      </c>
      <c r="L3900" t="s">
        <v>1423</v>
      </c>
      <c r="M3900" t="s">
        <v>57</v>
      </c>
      <c r="N3900" t="str">
        <f>"049635"</f>
        <v>049635</v>
      </c>
      <c r="O3900" t="s">
        <v>1419</v>
      </c>
      <c r="P3900" t="s">
        <v>68</v>
      </c>
      <c r="Q3900">
        <v>100</v>
      </c>
      <c r="R3900">
        <v>2.7000000000000028</v>
      </c>
      <c r="S3900" t="s">
        <v>130</v>
      </c>
    </row>
    <row r="3901" spans="1:19" x14ac:dyDescent="0.35">
      <c r="A3901">
        <v>120337</v>
      </c>
      <c r="B3901" t="str">
        <f>"120337"</f>
        <v>120337</v>
      </c>
      <c r="C3901" t="s">
        <v>11753</v>
      </c>
      <c r="D3901" t="s">
        <v>3400</v>
      </c>
      <c r="E3901" t="s">
        <v>3395</v>
      </c>
      <c r="F3901" t="s">
        <v>3396</v>
      </c>
      <c r="G3901" t="s">
        <v>19</v>
      </c>
      <c r="H3901" t="s">
        <v>11754</v>
      </c>
      <c r="I3901" t="s">
        <v>11755</v>
      </c>
      <c r="J3901" t="s">
        <v>563</v>
      </c>
      <c r="K3901" t="s">
        <v>55</v>
      </c>
      <c r="L3901" t="s">
        <v>564</v>
      </c>
      <c r="M3901" t="s">
        <v>57</v>
      </c>
      <c r="N3901" t="str">
        <f>"046060"</f>
        <v>046060</v>
      </c>
      <c r="O3901" t="s">
        <v>560</v>
      </c>
      <c r="P3901" t="s">
        <v>68</v>
      </c>
      <c r="Q3901">
        <v>49.6</v>
      </c>
      <c r="R3901">
        <v>4.4000000000000057</v>
      </c>
      <c r="S3901" t="s">
        <v>217</v>
      </c>
    </row>
    <row r="3902" spans="1:19" x14ac:dyDescent="0.35">
      <c r="A3902">
        <v>120360</v>
      </c>
      <c r="B3902" t="str">
        <f>"120360"</f>
        <v>120360</v>
      </c>
      <c r="C3902" t="s">
        <v>11756</v>
      </c>
      <c r="D3902" t="s">
        <v>3394</v>
      </c>
      <c r="E3902" t="s">
        <v>3395</v>
      </c>
      <c r="F3902" t="s">
        <v>3396</v>
      </c>
      <c r="G3902" t="s">
        <v>600</v>
      </c>
      <c r="H3902" t="s">
        <v>11757</v>
      </c>
      <c r="I3902" t="s">
        <v>11758</v>
      </c>
      <c r="J3902" t="s">
        <v>6089</v>
      </c>
      <c r="K3902" t="s">
        <v>55</v>
      </c>
      <c r="L3902" t="s">
        <v>6090</v>
      </c>
      <c r="M3902" t="s">
        <v>57</v>
      </c>
      <c r="N3902" t="str">
        <f>"046961"</f>
        <v>046961</v>
      </c>
      <c r="O3902" t="s">
        <v>2533</v>
      </c>
      <c r="P3902" t="s">
        <v>68</v>
      </c>
      <c r="Q3902">
        <v>22.3</v>
      </c>
      <c r="R3902">
        <v>44</v>
      </c>
      <c r="S3902" t="s">
        <v>60</v>
      </c>
    </row>
    <row r="3903" spans="1:19" x14ac:dyDescent="0.35">
      <c r="A3903">
        <v>120485</v>
      </c>
      <c r="B3903" t="str">
        <f>"120485"</f>
        <v>120485</v>
      </c>
      <c r="C3903" t="s">
        <v>11759</v>
      </c>
      <c r="D3903" t="s">
        <v>3398</v>
      </c>
      <c r="E3903" t="s">
        <v>3395</v>
      </c>
      <c r="F3903" t="s">
        <v>3396</v>
      </c>
      <c r="G3903" t="s">
        <v>600</v>
      </c>
      <c r="H3903" t="s">
        <v>11760</v>
      </c>
      <c r="I3903" t="s">
        <v>11761</v>
      </c>
      <c r="J3903" t="s">
        <v>1956</v>
      </c>
      <c r="K3903" t="s">
        <v>55</v>
      </c>
      <c r="L3903" t="s">
        <v>7495</v>
      </c>
      <c r="M3903" t="s">
        <v>57</v>
      </c>
      <c r="N3903" t="str">
        <f>"047027"</f>
        <v>047027</v>
      </c>
      <c r="O3903" t="s">
        <v>1953</v>
      </c>
      <c r="P3903" t="s">
        <v>68</v>
      </c>
      <c r="Q3903">
        <v>33.4</v>
      </c>
      <c r="R3903">
        <v>49.8</v>
      </c>
      <c r="S3903" t="s">
        <v>60</v>
      </c>
    </row>
    <row r="3904" spans="1:19" x14ac:dyDescent="0.35">
      <c r="A3904">
        <v>120675</v>
      </c>
      <c r="B3904" t="str">
        <f>"120675"</f>
        <v>120675</v>
      </c>
      <c r="C3904" t="s">
        <v>11762</v>
      </c>
      <c r="D3904" t="s">
        <v>3394</v>
      </c>
      <c r="E3904" t="s">
        <v>9538</v>
      </c>
      <c r="F3904" t="s">
        <v>3396</v>
      </c>
      <c r="G3904" t="s">
        <v>212</v>
      </c>
      <c r="H3904" t="s">
        <v>11763</v>
      </c>
      <c r="I3904" t="s">
        <v>11764</v>
      </c>
      <c r="J3904" t="s">
        <v>215</v>
      </c>
      <c r="K3904" t="s">
        <v>55</v>
      </c>
      <c r="L3904" t="s">
        <v>914</v>
      </c>
      <c r="M3904" t="s">
        <v>57</v>
      </c>
      <c r="N3904" t="str">
        <f>"000136"</f>
        <v>000136</v>
      </c>
      <c r="O3904" t="s">
        <v>2853</v>
      </c>
      <c r="P3904" t="s">
        <v>68</v>
      </c>
      <c r="Q3904" t="s">
        <v>68</v>
      </c>
      <c r="R3904" t="s">
        <v>68</v>
      </c>
      <c r="S3904" t="s">
        <v>217</v>
      </c>
    </row>
    <row r="3905" spans="1:19" x14ac:dyDescent="0.35">
      <c r="A3905">
        <v>120675</v>
      </c>
      <c r="B3905" t="str">
        <f>"120675"</f>
        <v>120675</v>
      </c>
      <c r="C3905" t="s">
        <v>11762</v>
      </c>
      <c r="D3905" t="s">
        <v>9541</v>
      </c>
      <c r="E3905" t="s">
        <v>9538</v>
      </c>
      <c r="F3905" t="s">
        <v>3396</v>
      </c>
      <c r="G3905" t="s">
        <v>212</v>
      </c>
      <c r="H3905" t="s">
        <v>11763</v>
      </c>
      <c r="I3905" t="s">
        <v>11764</v>
      </c>
      <c r="J3905" t="s">
        <v>215</v>
      </c>
      <c r="K3905" t="s">
        <v>55</v>
      </c>
      <c r="L3905" t="s">
        <v>914</v>
      </c>
      <c r="M3905" t="s">
        <v>57</v>
      </c>
      <c r="N3905" t="str">
        <f>"000136"</f>
        <v>000136</v>
      </c>
      <c r="O3905" t="s">
        <v>2853</v>
      </c>
      <c r="P3905" t="s">
        <v>68</v>
      </c>
      <c r="Q3905" t="s">
        <v>68</v>
      </c>
      <c r="R3905" t="s">
        <v>68</v>
      </c>
      <c r="S3905" t="s">
        <v>217</v>
      </c>
    </row>
    <row r="3906" spans="1:19" x14ac:dyDescent="0.35">
      <c r="A3906">
        <v>120824</v>
      </c>
      <c r="B3906" t="str">
        <f>"120824"</f>
        <v>120824</v>
      </c>
      <c r="C3906" t="s">
        <v>11765</v>
      </c>
      <c r="D3906" t="s">
        <v>3394</v>
      </c>
      <c r="E3906" t="s">
        <v>9538</v>
      </c>
      <c r="F3906" t="s">
        <v>3396</v>
      </c>
      <c r="G3906" t="s">
        <v>63</v>
      </c>
      <c r="H3906" t="s">
        <v>11766</v>
      </c>
      <c r="I3906" t="s">
        <v>11767</v>
      </c>
      <c r="J3906" t="s">
        <v>285</v>
      </c>
      <c r="K3906" t="s">
        <v>55</v>
      </c>
      <c r="L3906" t="s">
        <v>2232</v>
      </c>
      <c r="M3906" t="s">
        <v>57</v>
      </c>
      <c r="N3906" t="str">
        <f>"120824"</f>
        <v>120824</v>
      </c>
      <c r="O3906" t="s">
        <v>11765</v>
      </c>
      <c r="P3906" t="s">
        <v>68</v>
      </c>
      <c r="Q3906" t="s">
        <v>68</v>
      </c>
      <c r="R3906" t="s">
        <v>68</v>
      </c>
      <c r="S3906" t="s">
        <v>69</v>
      </c>
    </row>
    <row r="3907" spans="1:19" x14ac:dyDescent="0.35">
      <c r="A3907">
        <v>120865</v>
      </c>
      <c r="B3907" t="str">
        <f>"120865"</f>
        <v>120865</v>
      </c>
      <c r="C3907" t="s">
        <v>11768</v>
      </c>
      <c r="D3907" t="s">
        <v>3394</v>
      </c>
      <c r="E3907" t="s">
        <v>9538</v>
      </c>
      <c r="F3907" t="s">
        <v>3396</v>
      </c>
      <c r="G3907" t="s">
        <v>264</v>
      </c>
      <c r="H3907" t="s">
        <v>11769</v>
      </c>
      <c r="I3907" t="s">
        <v>11770</v>
      </c>
      <c r="J3907" t="s">
        <v>267</v>
      </c>
      <c r="K3907" t="s">
        <v>55</v>
      </c>
      <c r="L3907" t="s">
        <v>4045</v>
      </c>
      <c r="M3907" t="s">
        <v>57</v>
      </c>
      <c r="N3907" t="str">
        <f>"120865"</f>
        <v>120865</v>
      </c>
      <c r="O3907" t="s">
        <v>11768</v>
      </c>
      <c r="P3907" t="s">
        <v>68</v>
      </c>
      <c r="Q3907" t="s">
        <v>68</v>
      </c>
      <c r="R3907" t="s">
        <v>68</v>
      </c>
      <c r="S3907" t="s">
        <v>77</v>
      </c>
    </row>
    <row r="3908" spans="1:19" x14ac:dyDescent="0.35">
      <c r="A3908">
        <v>120899</v>
      </c>
      <c r="B3908" t="str">
        <f>"120899"</f>
        <v>120899</v>
      </c>
      <c r="C3908" t="s">
        <v>11771</v>
      </c>
      <c r="D3908" t="s">
        <v>3394</v>
      </c>
      <c r="E3908" t="s">
        <v>3395</v>
      </c>
      <c r="F3908" t="s">
        <v>3396</v>
      </c>
      <c r="G3908" t="s">
        <v>600</v>
      </c>
      <c r="H3908" t="s">
        <v>11772</v>
      </c>
      <c r="I3908" t="s">
        <v>11773</v>
      </c>
      <c r="J3908" t="s">
        <v>1348</v>
      </c>
      <c r="K3908" t="s">
        <v>55</v>
      </c>
      <c r="L3908" t="s">
        <v>1349</v>
      </c>
      <c r="M3908" t="s">
        <v>57</v>
      </c>
      <c r="N3908" t="str">
        <f>"044800"</f>
        <v>044800</v>
      </c>
      <c r="O3908" t="s">
        <v>1133</v>
      </c>
      <c r="P3908" t="s">
        <v>68</v>
      </c>
      <c r="Q3908" t="s">
        <v>68</v>
      </c>
      <c r="R3908" t="s">
        <v>68</v>
      </c>
      <c r="S3908" t="s">
        <v>60</v>
      </c>
    </row>
    <row r="3909" spans="1:19" x14ac:dyDescent="0.35">
      <c r="A3909">
        <v>120915</v>
      </c>
      <c r="B3909" t="str">
        <f>"120915"</f>
        <v>120915</v>
      </c>
      <c r="C3909" t="s">
        <v>11774</v>
      </c>
      <c r="D3909" t="s">
        <v>3394</v>
      </c>
      <c r="E3909" t="s">
        <v>3395</v>
      </c>
      <c r="F3909" t="s">
        <v>3396</v>
      </c>
      <c r="G3909" t="s">
        <v>110</v>
      </c>
      <c r="H3909" t="s">
        <v>11775</v>
      </c>
      <c r="I3909" t="s">
        <v>11776</v>
      </c>
      <c r="J3909" t="s">
        <v>671</v>
      </c>
      <c r="K3909" t="s">
        <v>55</v>
      </c>
      <c r="L3909" t="s">
        <v>672</v>
      </c>
      <c r="M3909" t="s">
        <v>57</v>
      </c>
      <c r="N3909" t="str">
        <f>"044453"</f>
        <v>044453</v>
      </c>
      <c r="O3909" t="s">
        <v>668</v>
      </c>
      <c r="P3909" t="s">
        <v>68</v>
      </c>
      <c r="Q3909" t="s">
        <v>68</v>
      </c>
      <c r="R3909" t="s">
        <v>68</v>
      </c>
      <c r="S3909" t="s">
        <v>60</v>
      </c>
    </row>
    <row r="3910" spans="1:19" x14ac:dyDescent="0.35">
      <c r="A3910">
        <v>121053</v>
      </c>
      <c r="B3910" t="str">
        <f>"121053"</f>
        <v>121053</v>
      </c>
      <c r="C3910" t="s">
        <v>11777</v>
      </c>
      <c r="D3910" t="s">
        <v>3394</v>
      </c>
      <c r="E3910" t="s">
        <v>9538</v>
      </c>
      <c r="F3910" t="s">
        <v>3396</v>
      </c>
      <c r="G3910" t="s">
        <v>600</v>
      </c>
      <c r="H3910" t="s">
        <v>11778</v>
      </c>
      <c r="I3910" t="s">
        <v>11779</v>
      </c>
      <c r="J3910" t="s">
        <v>11302</v>
      </c>
      <c r="K3910" t="s">
        <v>55</v>
      </c>
      <c r="L3910" t="s">
        <v>11303</v>
      </c>
      <c r="M3910" t="s">
        <v>57</v>
      </c>
      <c r="N3910" t="str">
        <f>"121053"</f>
        <v>121053</v>
      </c>
      <c r="O3910" t="s">
        <v>11777</v>
      </c>
      <c r="P3910" t="s">
        <v>68</v>
      </c>
      <c r="Q3910" t="s">
        <v>68</v>
      </c>
      <c r="R3910" t="s">
        <v>68</v>
      </c>
      <c r="S3910" t="s">
        <v>60</v>
      </c>
    </row>
    <row r="3911" spans="1:19" x14ac:dyDescent="0.35">
      <c r="A3911">
        <v>121053</v>
      </c>
      <c r="B3911" t="str">
        <f>"121053"</f>
        <v>121053</v>
      </c>
      <c r="C3911" t="s">
        <v>11777</v>
      </c>
      <c r="D3911" t="s">
        <v>9541</v>
      </c>
      <c r="E3911" t="s">
        <v>9538</v>
      </c>
      <c r="F3911" t="s">
        <v>3396</v>
      </c>
      <c r="G3911" t="s">
        <v>600</v>
      </c>
      <c r="H3911" t="s">
        <v>11778</v>
      </c>
      <c r="I3911" t="s">
        <v>11779</v>
      </c>
      <c r="J3911" t="s">
        <v>11302</v>
      </c>
      <c r="K3911" t="s">
        <v>55</v>
      </c>
      <c r="L3911" t="s">
        <v>11303</v>
      </c>
      <c r="M3911" t="s">
        <v>57</v>
      </c>
      <c r="N3911" t="str">
        <f>"121053"</f>
        <v>121053</v>
      </c>
      <c r="O3911" t="s">
        <v>11777</v>
      </c>
      <c r="P3911" t="s">
        <v>68</v>
      </c>
      <c r="Q3911" t="s">
        <v>68</v>
      </c>
      <c r="R3911" t="s">
        <v>68</v>
      </c>
      <c r="S3911" t="s">
        <v>60</v>
      </c>
    </row>
    <row r="3912" spans="1:19" x14ac:dyDescent="0.35">
      <c r="A3912">
        <v>121277</v>
      </c>
      <c r="B3912" t="str">
        <f>"121277"</f>
        <v>121277</v>
      </c>
      <c r="C3912" t="s">
        <v>11780</v>
      </c>
      <c r="D3912" t="s">
        <v>3398</v>
      </c>
      <c r="E3912" t="s">
        <v>9538</v>
      </c>
      <c r="F3912" t="s">
        <v>3396</v>
      </c>
      <c r="G3912" t="s">
        <v>172</v>
      </c>
      <c r="H3912" t="s">
        <v>11781</v>
      </c>
      <c r="I3912" t="s">
        <v>11782</v>
      </c>
      <c r="J3912" t="s">
        <v>11783</v>
      </c>
      <c r="K3912" t="s">
        <v>55</v>
      </c>
      <c r="L3912" t="s">
        <v>11784</v>
      </c>
      <c r="M3912" t="s">
        <v>57</v>
      </c>
      <c r="N3912" t="str">
        <f>"121277"</f>
        <v>121277</v>
      </c>
      <c r="O3912" t="s">
        <v>11780</v>
      </c>
      <c r="P3912" t="s">
        <v>68</v>
      </c>
      <c r="Q3912" t="s">
        <v>68</v>
      </c>
      <c r="R3912" t="s">
        <v>68</v>
      </c>
      <c r="S3912" t="s">
        <v>217</v>
      </c>
    </row>
    <row r="3913" spans="1:19" x14ac:dyDescent="0.35">
      <c r="A3913">
        <v>121434</v>
      </c>
      <c r="B3913" t="str">
        <f>"121434"</f>
        <v>121434</v>
      </c>
      <c r="C3913" t="s">
        <v>11785</v>
      </c>
      <c r="D3913" t="s">
        <v>3394</v>
      </c>
      <c r="E3913" t="s">
        <v>3395</v>
      </c>
      <c r="F3913" t="s">
        <v>3396</v>
      </c>
      <c r="G3913" t="s">
        <v>19</v>
      </c>
      <c r="H3913" t="s">
        <v>702</v>
      </c>
      <c r="I3913" t="s">
        <v>703</v>
      </c>
      <c r="J3913" t="s">
        <v>704</v>
      </c>
      <c r="K3913" t="s">
        <v>55</v>
      </c>
      <c r="L3913" t="s">
        <v>705</v>
      </c>
      <c r="M3913" t="s">
        <v>57</v>
      </c>
      <c r="N3913" t="str">
        <f>"046078"</f>
        <v>046078</v>
      </c>
      <c r="O3913" t="s">
        <v>701</v>
      </c>
      <c r="P3913" t="s">
        <v>68</v>
      </c>
      <c r="Q3913">
        <v>65</v>
      </c>
      <c r="R3913">
        <v>6.2000000000000028</v>
      </c>
      <c r="S3913" t="s">
        <v>217</v>
      </c>
    </row>
    <row r="3914" spans="1:19" x14ac:dyDescent="0.35">
      <c r="A3914">
        <v>121525</v>
      </c>
      <c r="B3914" t="str">
        <f>"121525"</f>
        <v>121525</v>
      </c>
      <c r="C3914" t="s">
        <v>11786</v>
      </c>
      <c r="D3914" t="s">
        <v>3394</v>
      </c>
      <c r="E3914" t="s">
        <v>3395</v>
      </c>
      <c r="F3914" t="s">
        <v>3396</v>
      </c>
      <c r="G3914" t="s">
        <v>600</v>
      </c>
      <c r="H3914" t="s">
        <v>11787</v>
      </c>
      <c r="I3914" t="s">
        <v>11788</v>
      </c>
      <c r="J3914" t="s">
        <v>1136</v>
      </c>
      <c r="K3914" t="s">
        <v>55</v>
      </c>
      <c r="L3914" t="s">
        <v>1137</v>
      </c>
      <c r="M3914" t="s">
        <v>57</v>
      </c>
      <c r="N3914" t="str">
        <f>"044800"</f>
        <v>044800</v>
      </c>
      <c r="O3914" t="s">
        <v>1133</v>
      </c>
      <c r="P3914" t="s">
        <v>68</v>
      </c>
      <c r="Q3914">
        <v>15.2</v>
      </c>
      <c r="R3914">
        <v>18.099999999999994</v>
      </c>
      <c r="S3914" t="s">
        <v>60</v>
      </c>
    </row>
    <row r="3915" spans="1:19" x14ac:dyDescent="0.35">
      <c r="A3915">
        <v>121533</v>
      </c>
      <c r="B3915" t="str">
        <f>"121533"</f>
        <v>121533</v>
      </c>
      <c r="C3915" t="s">
        <v>11789</v>
      </c>
      <c r="D3915" t="s">
        <v>3394</v>
      </c>
      <c r="E3915" t="s">
        <v>3395</v>
      </c>
      <c r="F3915" t="s">
        <v>3396</v>
      </c>
      <c r="G3915" t="s">
        <v>600</v>
      </c>
      <c r="H3915" t="s">
        <v>11790</v>
      </c>
      <c r="I3915" t="s">
        <v>11791</v>
      </c>
      <c r="J3915" t="s">
        <v>3466</v>
      </c>
      <c r="K3915" t="s">
        <v>55</v>
      </c>
      <c r="L3915" t="s">
        <v>3467</v>
      </c>
      <c r="M3915" t="s">
        <v>57</v>
      </c>
      <c r="N3915" t="str">
        <f>"044800"</f>
        <v>044800</v>
      </c>
      <c r="O3915" t="s">
        <v>1133</v>
      </c>
      <c r="P3915" t="s">
        <v>68</v>
      </c>
      <c r="Q3915">
        <v>69.7</v>
      </c>
      <c r="R3915">
        <v>59.8</v>
      </c>
      <c r="S3915" t="s">
        <v>60</v>
      </c>
    </row>
    <row r="3916" spans="1:19" x14ac:dyDescent="0.35">
      <c r="A3916">
        <v>121871</v>
      </c>
      <c r="B3916" t="str">
        <f>"121871"</f>
        <v>121871</v>
      </c>
      <c r="C3916" t="s">
        <v>11792</v>
      </c>
      <c r="D3916" t="s">
        <v>3394</v>
      </c>
      <c r="E3916" t="s">
        <v>3395</v>
      </c>
      <c r="F3916" t="s">
        <v>3396</v>
      </c>
      <c r="G3916" t="s">
        <v>172</v>
      </c>
      <c r="H3916" t="s">
        <v>11793</v>
      </c>
      <c r="I3916" t="s">
        <v>11794</v>
      </c>
      <c r="J3916" t="s">
        <v>2604</v>
      </c>
      <c r="K3916" t="s">
        <v>55</v>
      </c>
      <c r="L3916" t="s">
        <v>2605</v>
      </c>
      <c r="M3916" t="s">
        <v>57</v>
      </c>
      <c r="N3916" t="str">
        <f>"050450"</f>
        <v>050450</v>
      </c>
      <c r="O3916" t="s">
        <v>2601</v>
      </c>
      <c r="P3916" t="s">
        <v>68</v>
      </c>
      <c r="Q3916">
        <v>11.4</v>
      </c>
      <c r="R3916">
        <v>54.7</v>
      </c>
      <c r="S3916" t="s">
        <v>217</v>
      </c>
    </row>
    <row r="3917" spans="1:19" x14ac:dyDescent="0.35">
      <c r="A3917">
        <v>121954</v>
      </c>
      <c r="B3917" t="str">
        <f>"121954"</f>
        <v>121954</v>
      </c>
      <c r="C3917" t="s">
        <v>11795</v>
      </c>
      <c r="D3917" t="s">
        <v>3394</v>
      </c>
      <c r="E3917" t="s">
        <v>3395</v>
      </c>
      <c r="F3917" t="s">
        <v>3396</v>
      </c>
      <c r="G3917" t="s">
        <v>110</v>
      </c>
      <c r="H3917" t="s">
        <v>11796</v>
      </c>
      <c r="I3917" t="s">
        <v>11797</v>
      </c>
      <c r="J3917" t="s">
        <v>1945</v>
      </c>
      <c r="K3917" t="s">
        <v>55</v>
      </c>
      <c r="L3917" t="s">
        <v>1946</v>
      </c>
      <c r="M3917" t="s">
        <v>57</v>
      </c>
      <c r="N3917" t="str">
        <f>"044115"</f>
        <v>044115</v>
      </c>
      <c r="O3917" t="s">
        <v>1942</v>
      </c>
      <c r="P3917" t="s">
        <v>68</v>
      </c>
      <c r="Q3917">
        <v>45.3</v>
      </c>
      <c r="R3917">
        <v>13.900000000000006</v>
      </c>
      <c r="S3917" t="s">
        <v>60</v>
      </c>
    </row>
    <row r="3918" spans="1:19" x14ac:dyDescent="0.35">
      <c r="A3918">
        <v>122028</v>
      </c>
      <c r="B3918" t="str">
        <f>"122028"</f>
        <v>122028</v>
      </c>
      <c r="C3918" t="s">
        <v>11798</v>
      </c>
      <c r="D3918" t="s">
        <v>3400</v>
      </c>
      <c r="E3918" t="s">
        <v>3395</v>
      </c>
      <c r="F3918" t="s">
        <v>3396</v>
      </c>
      <c r="G3918" t="s">
        <v>821</v>
      </c>
      <c r="H3918" t="s">
        <v>6396</v>
      </c>
      <c r="I3918" t="s">
        <v>6397</v>
      </c>
      <c r="J3918" t="s">
        <v>1427</v>
      </c>
      <c r="K3918" t="s">
        <v>55</v>
      </c>
      <c r="L3918" t="s">
        <v>1428</v>
      </c>
      <c r="M3918" t="s">
        <v>57</v>
      </c>
      <c r="N3918" t="str">
        <f>"047449"</f>
        <v>047449</v>
      </c>
      <c r="O3918" t="s">
        <v>2645</v>
      </c>
      <c r="P3918" t="s">
        <v>68</v>
      </c>
      <c r="Q3918">
        <v>19.100000000000001</v>
      </c>
      <c r="R3918">
        <v>13.700000000000003</v>
      </c>
      <c r="S3918" t="s">
        <v>156</v>
      </c>
    </row>
    <row r="3919" spans="1:19" x14ac:dyDescent="0.35">
      <c r="A3919">
        <v>122069</v>
      </c>
      <c r="B3919" t="str">
        <f>"122069"</f>
        <v>122069</v>
      </c>
      <c r="C3919" t="s">
        <v>11799</v>
      </c>
      <c r="D3919" t="s">
        <v>3400</v>
      </c>
      <c r="E3919" t="s">
        <v>3395</v>
      </c>
      <c r="F3919" t="s">
        <v>3396</v>
      </c>
      <c r="G3919" t="s">
        <v>92</v>
      </c>
      <c r="H3919" t="s">
        <v>418</v>
      </c>
      <c r="I3919" t="s">
        <v>419</v>
      </c>
      <c r="J3919" t="s">
        <v>420</v>
      </c>
      <c r="K3919" t="s">
        <v>55</v>
      </c>
      <c r="L3919" t="s">
        <v>421</v>
      </c>
      <c r="M3919" t="s">
        <v>57</v>
      </c>
      <c r="N3919" t="str">
        <f>"046847"</f>
        <v>046847</v>
      </c>
      <c r="O3919" t="s">
        <v>417</v>
      </c>
      <c r="P3919" t="s">
        <v>68</v>
      </c>
      <c r="Q3919">
        <v>38.200000000000003</v>
      </c>
      <c r="R3919">
        <v>2.5999999999999943</v>
      </c>
      <c r="S3919" t="s">
        <v>60</v>
      </c>
    </row>
    <row r="3920" spans="1:19" x14ac:dyDescent="0.35">
      <c r="A3920">
        <v>122093</v>
      </c>
      <c r="B3920" t="str">
        <f>"122093"</f>
        <v>122093</v>
      </c>
      <c r="C3920" t="s">
        <v>11800</v>
      </c>
      <c r="D3920" t="s">
        <v>3394</v>
      </c>
      <c r="E3920" t="s">
        <v>3395</v>
      </c>
      <c r="F3920" t="s">
        <v>3396</v>
      </c>
      <c r="G3920" t="s">
        <v>52</v>
      </c>
      <c r="H3920" t="s">
        <v>11801</v>
      </c>
      <c r="I3920" t="s">
        <v>11802</v>
      </c>
      <c r="J3920" t="s">
        <v>52</v>
      </c>
      <c r="K3920" t="s">
        <v>55</v>
      </c>
      <c r="L3920" t="s">
        <v>56</v>
      </c>
      <c r="M3920" t="s">
        <v>57</v>
      </c>
      <c r="N3920" t="str">
        <f>"043877"</f>
        <v>043877</v>
      </c>
      <c r="O3920" t="s">
        <v>48</v>
      </c>
      <c r="P3920" t="s">
        <v>68</v>
      </c>
      <c r="Q3920">
        <v>22.9</v>
      </c>
      <c r="R3920">
        <v>20.200000000000003</v>
      </c>
      <c r="S3920" t="s">
        <v>60</v>
      </c>
    </row>
    <row r="3921" spans="1:19" x14ac:dyDescent="0.35">
      <c r="A3921">
        <v>122143</v>
      </c>
      <c r="B3921" t="str">
        <f>"122143"</f>
        <v>122143</v>
      </c>
      <c r="C3921" t="s">
        <v>11803</v>
      </c>
      <c r="D3921" t="s">
        <v>3400</v>
      </c>
      <c r="E3921" t="s">
        <v>3395</v>
      </c>
      <c r="F3921" t="s">
        <v>3396</v>
      </c>
      <c r="G3921" t="s">
        <v>63</v>
      </c>
      <c r="H3921" t="s">
        <v>1618</v>
      </c>
      <c r="I3921" t="s">
        <v>1619</v>
      </c>
      <c r="J3921" t="s">
        <v>1620</v>
      </c>
      <c r="K3921" t="s">
        <v>55</v>
      </c>
      <c r="L3921" t="s">
        <v>1621</v>
      </c>
      <c r="M3921" t="s">
        <v>57</v>
      </c>
      <c r="N3921" t="str">
        <f>"043653"</f>
        <v>043653</v>
      </c>
      <c r="O3921" t="s">
        <v>1617</v>
      </c>
      <c r="P3921" t="s">
        <v>68</v>
      </c>
      <c r="Q3921">
        <v>60.1</v>
      </c>
      <c r="R3921">
        <v>53</v>
      </c>
      <c r="S3921" t="s">
        <v>69</v>
      </c>
    </row>
    <row r="3922" spans="1:19" x14ac:dyDescent="0.35">
      <c r="A3922">
        <v>122457</v>
      </c>
      <c r="B3922" t="str">
        <f>"122457"</f>
        <v>122457</v>
      </c>
      <c r="C3922" t="s">
        <v>11804</v>
      </c>
      <c r="D3922" t="s">
        <v>3394</v>
      </c>
      <c r="E3922" t="s">
        <v>9538</v>
      </c>
      <c r="F3922" t="s">
        <v>3396</v>
      </c>
      <c r="G3922" t="s">
        <v>600</v>
      </c>
      <c r="H3922" t="s">
        <v>11805</v>
      </c>
      <c r="I3922" t="s">
        <v>11806</v>
      </c>
      <c r="J3922" t="s">
        <v>11807</v>
      </c>
      <c r="K3922" t="s">
        <v>55</v>
      </c>
      <c r="L3922" t="s">
        <v>11808</v>
      </c>
      <c r="M3922" t="s">
        <v>57</v>
      </c>
      <c r="N3922" t="str">
        <f>"122457"</f>
        <v>122457</v>
      </c>
      <c r="O3922" t="s">
        <v>11804</v>
      </c>
      <c r="P3922" t="s">
        <v>68</v>
      </c>
      <c r="Q3922" t="s">
        <v>68</v>
      </c>
      <c r="R3922" t="s">
        <v>68</v>
      </c>
      <c r="S3922" t="s">
        <v>60</v>
      </c>
    </row>
    <row r="3923" spans="1:19" x14ac:dyDescent="0.35">
      <c r="A3923">
        <v>122465</v>
      </c>
      <c r="B3923" t="str">
        <f>"122465"</f>
        <v>122465</v>
      </c>
      <c r="C3923" t="s">
        <v>11809</v>
      </c>
      <c r="D3923" t="s">
        <v>3394</v>
      </c>
      <c r="E3923" t="s">
        <v>9538</v>
      </c>
      <c r="F3923" t="s">
        <v>3396</v>
      </c>
      <c r="G3923" t="s">
        <v>325</v>
      </c>
      <c r="H3923" t="s">
        <v>11810</v>
      </c>
      <c r="I3923" t="s">
        <v>11811</v>
      </c>
      <c r="J3923" t="s">
        <v>328</v>
      </c>
      <c r="K3923" t="s">
        <v>55</v>
      </c>
      <c r="L3923" t="s">
        <v>329</v>
      </c>
      <c r="M3923" t="s">
        <v>57</v>
      </c>
      <c r="N3923" t="str">
        <f>"122465"</f>
        <v>122465</v>
      </c>
      <c r="O3923" t="s">
        <v>11809</v>
      </c>
      <c r="P3923" t="s">
        <v>68</v>
      </c>
      <c r="Q3923" t="s">
        <v>68</v>
      </c>
      <c r="R3923" t="s">
        <v>68</v>
      </c>
      <c r="S3923" t="s">
        <v>180</v>
      </c>
    </row>
    <row r="3924" spans="1:19" x14ac:dyDescent="0.35">
      <c r="A3924">
        <v>122465</v>
      </c>
      <c r="B3924" t="str">
        <f>"122465"</f>
        <v>122465</v>
      </c>
      <c r="C3924" t="s">
        <v>11809</v>
      </c>
      <c r="D3924" t="s">
        <v>9541</v>
      </c>
      <c r="E3924" t="s">
        <v>9538</v>
      </c>
      <c r="F3924" t="s">
        <v>3396</v>
      </c>
      <c r="G3924" t="s">
        <v>325</v>
      </c>
      <c r="H3924" t="s">
        <v>11810</v>
      </c>
      <c r="I3924" t="s">
        <v>11811</v>
      </c>
      <c r="J3924" t="s">
        <v>328</v>
      </c>
      <c r="K3924" t="s">
        <v>55</v>
      </c>
      <c r="L3924" t="s">
        <v>329</v>
      </c>
      <c r="M3924" t="s">
        <v>57</v>
      </c>
      <c r="N3924" t="str">
        <f>"122465"</f>
        <v>122465</v>
      </c>
      <c r="O3924" t="s">
        <v>11809</v>
      </c>
      <c r="P3924" t="s">
        <v>68</v>
      </c>
      <c r="Q3924" t="s">
        <v>68</v>
      </c>
      <c r="R3924" t="s">
        <v>68</v>
      </c>
      <c r="S3924" t="s">
        <v>180</v>
      </c>
    </row>
    <row r="3925" spans="1:19" x14ac:dyDescent="0.35">
      <c r="A3925">
        <v>122473</v>
      </c>
      <c r="B3925" t="str">
        <f>"122473"</f>
        <v>122473</v>
      </c>
      <c r="C3925" t="s">
        <v>11812</v>
      </c>
      <c r="D3925" t="s">
        <v>3400</v>
      </c>
      <c r="E3925" t="s">
        <v>9538</v>
      </c>
      <c r="F3925" t="s">
        <v>3396</v>
      </c>
      <c r="G3925" t="s">
        <v>543</v>
      </c>
      <c r="H3925" t="s">
        <v>11813</v>
      </c>
      <c r="I3925" t="s">
        <v>11814</v>
      </c>
      <c r="J3925" t="s">
        <v>1961</v>
      </c>
      <c r="K3925" t="s">
        <v>55</v>
      </c>
      <c r="L3925" t="s">
        <v>3787</v>
      </c>
      <c r="M3925" t="s">
        <v>57</v>
      </c>
      <c r="N3925" t="str">
        <f>"122473"</f>
        <v>122473</v>
      </c>
      <c r="O3925" t="s">
        <v>11812</v>
      </c>
      <c r="P3925" t="s">
        <v>68</v>
      </c>
      <c r="Q3925" t="s">
        <v>68</v>
      </c>
      <c r="R3925" t="s">
        <v>68</v>
      </c>
      <c r="S3925" t="s">
        <v>180</v>
      </c>
    </row>
    <row r="3926" spans="1:19" x14ac:dyDescent="0.35">
      <c r="A3926">
        <v>122473</v>
      </c>
      <c r="B3926" t="str">
        <f>"122473"</f>
        <v>122473</v>
      </c>
      <c r="C3926" t="s">
        <v>11812</v>
      </c>
      <c r="D3926" t="s">
        <v>9541</v>
      </c>
      <c r="E3926" t="s">
        <v>9538</v>
      </c>
      <c r="F3926" t="s">
        <v>3396</v>
      </c>
      <c r="G3926" t="s">
        <v>543</v>
      </c>
      <c r="H3926" t="s">
        <v>11813</v>
      </c>
      <c r="I3926" t="s">
        <v>11814</v>
      </c>
      <c r="J3926" t="s">
        <v>1961</v>
      </c>
      <c r="K3926" t="s">
        <v>55</v>
      </c>
      <c r="L3926" t="s">
        <v>3787</v>
      </c>
      <c r="M3926" t="s">
        <v>57</v>
      </c>
      <c r="N3926" t="str">
        <f>"122473"</f>
        <v>122473</v>
      </c>
      <c r="O3926" t="s">
        <v>11812</v>
      </c>
      <c r="P3926" t="s">
        <v>68</v>
      </c>
      <c r="Q3926" t="s">
        <v>68</v>
      </c>
      <c r="R3926" t="s">
        <v>68</v>
      </c>
      <c r="S3926" t="s">
        <v>180</v>
      </c>
    </row>
    <row r="3927" spans="1:19" x14ac:dyDescent="0.35">
      <c r="A3927">
        <v>122481</v>
      </c>
      <c r="B3927" t="str">
        <f>"122481"</f>
        <v>122481</v>
      </c>
      <c r="C3927" t="s">
        <v>11815</v>
      </c>
      <c r="D3927" t="s">
        <v>3394</v>
      </c>
      <c r="E3927" t="s">
        <v>9538</v>
      </c>
      <c r="F3927" t="s">
        <v>3396</v>
      </c>
      <c r="G3927" t="s">
        <v>212</v>
      </c>
      <c r="H3927" t="s">
        <v>11816</v>
      </c>
      <c r="I3927" t="s">
        <v>11817</v>
      </c>
      <c r="J3927" t="s">
        <v>215</v>
      </c>
      <c r="K3927" t="s">
        <v>55</v>
      </c>
      <c r="L3927" t="s">
        <v>954</v>
      </c>
      <c r="M3927" t="s">
        <v>57</v>
      </c>
      <c r="N3927" t="str">
        <f>"122481"</f>
        <v>122481</v>
      </c>
      <c r="O3927" t="s">
        <v>11815</v>
      </c>
      <c r="P3927" t="s">
        <v>68</v>
      </c>
      <c r="Q3927" t="s">
        <v>68</v>
      </c>
      <c r="R3927" t="s">
        <v>68</v>
      </c>
      <c r="S3927" t="s">
        <v>217</v>
      </c>
    </row>
    <row r="3928" spans="1:19" x14ac:dyDescent="0.35">
      <c r="A3928">
        <v>122481</v>
      </c>
      <c r="B3928" t="str">
        <f>"122481"</f>
        <v>122481</v>
      </c>
      <c r="C3928" t="s">
        <v>11815</v>
      </c>
      <c r="D3928" t="s">
        <v>9541</v>
      </c>
      <c r="E3928" t="s">
        <v>9538</v>
      </c>
      <c r="F3928" t="s">
        <v>3396</v>
      </c>
      <c r="G3928" t="s">
        <v>212</v>
      </c>
      <c r="H3928" t="s">
        <v>11816</v>
      </c>
      <c r="I3928" t="s">
        <v>11817</v>
      </c>
      <c r="J3928" t="s">
        <v>215</v>
      </c>
      <c r="K3928" t="s">
        <v>55</v>
      </c>
      <c r="L3928" t="s">
        <v>954</v>
      </c>
      <c r="M3928" t="s">
        <v>57</v>
      </c>
      <c r="N3928" t="str">
        <f>"122481"</f>
        <v>122481</v>
      </c>
      <c r="O3928" t="s">
        <v>11815</v>
      </c>
      <c r="P3928" t="s">
        <v>68</v>
      </c>
      <c r="Q3928" t="s">
        <v>68</v>
      </c>
      <c r="R3928" t="s">
        <v>68</v>
      </c>
      <c r="S3928" t="s">
        <v>217</v>
      </c>
    </row>
    <row r="3929" spans="1:19" x14ac:dyDescent="0.35">
      <c r="A3929">
        <v>122507</v>
      </c>
      <c r="B3929" t="str">
        <f>"122507"</f>
        <v>122507</v>
      </c>
      <c r="C3929" t="s">
        <v>11818</v>
      </c>
      <c r="D3929" t="s">
        <v>3394</v>
      </c>
      <c r="E3929" t="s">
        <v>3395</v>
      </c>
      <c r="F3929" t="s">
        <v>3396</v>
      </c>
      <c r="G3929" t="s">
        <v>600</v>
      </c>
      <c r="H3929" t="s">
        <v>11819</v>
      </c>
      <c r="I3929" t="s">
        <v>11820</v>
      </c>
      <c r="J3929" t="s">
        <v>1956</v>
      </c>
      <c r="K3929" t="s">
        <v>55</v>
      </c>
      <c r="L3929" t="s">
        <v>1957</v>
      </c>
      <c r="M3929" t="s">
        <v>57</v>
      </c>
      <c r="N3929" t="str">
        <f>"047027"</f>
        <v>047027</v>
      </c>
      <c r="O3929" t="s">
        <v>1953</v>
      </c>
      <c r="P3929" t="s">
        <v>68</v>
      </c>
      <c r="Q3929">
        <v>0</v>
      </c>
      <c r="R3929">
        <v>16.299999999999997</v>
      </c>
      <c r="S3929" t="s">
        <v>60</v>
      </c>
    </row>
    <row r="3930" spans="1:19" x14ac:dyDescent="0.35">
      <c r="A3930">
        <v>122622</v>
      </c>
      <c r="B3930" t="str">
        <f>"122622"</f>
        <v>122622</v>
      </c>
      <c r="C3930" t="s">
        <v>11821</v>
      </c>
      <c r="D3930" t="s">
        <v>3506</v>
      </c>
      <c r="E3930" t="s">
        <v>3395</v>
      </c>
      <c r="F3930" t="s">
        <v>3396</v>
      </c>
      <c r="G3930" t="s">
        <v>212</v>
      </c>
      <c r="H3930" t="s">
        <v>11822</v>
      </c>
      <c r="I3930" t="s">
        <v>11823</v>
      </c>
      <c r="J3930" t="s">
        <v>215</v>
      </c>
      <c r="K3930" t="s">
        <v>55</v>
      </c>
      <c r="L3930" t="s">
        <v>1693</v>
      </c>
      <c r="M3930" t="s">
        <v>57</v>
      </c>
      <c r="N3930" t="str">
        <f>"044313"</f>
        <v>044313</v>
      </c>
      <c r="O3930" t="s">
        <v>1690</v>
      </c>
      <c r="P3930" t="s">
        <v>68</v>
      </c>
      <c r="Q3930">
        <v>10.199999999999999</v>
      </c>
      <c r="R3930">
        <v>10.599999999999994</v>
      </c>
      <c r="S3930" t="s">
        <v>217</v>
      </c>
    </row>
    <row r="3931" spans="1:19" x14ac:dyDescent="0.35">
      <c r="A3931">
        <v>122697</v>
      </c>
      <c r="B3931" t="str">
        <f>"122697"</f>
        <v>122697</v>
      </c>
      <c r="C3931" t="s">
        <v>11612</v>
      </c>
      <c r="D3931" t="s">
        <v>3398</v>
      </c>
      <c r="E3931" t="s">
        <v>9538</v>
      </c>
      <c r="F3931" t="s">
        <v>3396</v>
      </c>
      <c r="G3931" t="s">
        <v>212</v>
      </c>
      <c r="H3931" t="s">
        <v>11824</v>
      </c>
      <c r="I3931" t="s">
        <v>11825</v>
      </c>
      <c r="J3931" t="s">
        <v>215</v>
      </c>
      <c r="K3931" t="s">
        <v>55</v>
      </c>
      <c r="L3931" t="s">
        <v>8502</v>
      </c>
      <c r="M3931" t="s">
        <v>57</v>
      </c>
      <c r="N3931" t="str">
        <f>"000136"</f>
        <v>000136</v>
      </c>
      <c r="O3931" t="s">
        <v>2853</v>
      </c>
      <c r="P3931" t="s">
        <v>68</v>
      </c>
      <c r="Q3931" t="s">
        <v>68</v>
      </c>
      <c r="R3931" t="s">
        <v>68</v>
      </c>
      <c r="S3931" t="s">
        <v>217</v>
      </c>
    </row>
    <row r="3932" spans="1:19" x14ac:dyDescent="0.35">
      <c r="A3932">
        <v>122747</v>
      </c>
      <c r="B3932" t="str">
        <f>"122747"</f>
        <v>122747</v>
      </c>
      <c r="C3932" t="s">
        <v>11826</v>
      </c>
      <c r="D3932" t="s">
        <v>3394</v>
      </c>
      <c r="E3932" t="s">
        <v>3395</v>
      </c>
      <c r="F3932" t="s">
        <v>3396</v>
      </c>
      <c r="G3932" t="s">
        <v>600</v>
      </c>
      <c r="H3932" t="s">
        <v>11827</v>
      </c>
      <c r="I3932" t="s">
        <v>11828</v>
      </c>
      <c r="J3932" t="s">
        <v>1348</v>
      </c>
      <c r="K3932" t="s">
        <v>55</v>
      </c>
      <c r="L3932" t="s">
        <v>1349</v>
      </c>
      <c r="M3932" t="s">
        <v>57</v>
      </c>
      <c r="N3932" t="str">
        <f>"047019"</f>
        <v>047019</v>
      </c>
      <c r="O3932" t="s">
        <v>1345</v>
      </c>
      <c r="P3932" t="s">
        <v>68</v>
      </c>
      <c r="Q3932">
        <v>48.7</v>
      </c>
      <c r="R3932">
        <v>43.9</v>
      </c>
      <c r="S3932" t="s">
        <v>60</v>
      </c>
    </row>
    <row r="3933" spans="1:19" x14ac:dyDescent="0.35">
      <c r="A3933">
        <v>122879</v>
      </c>
      <c r="B3933" t="str">
        <f>"122879"</f>
        <v>122879</v>
      </c>
      <c r="C3933" t="s">
        <v>11829</v>
      </c>
      <c r="D3933" t="s">
        <v>3394</v>
      </c>
      <c r="E3933" t="s">
        <v>9538</v>
      </c>
      <c r="F3933" t="s">
        <v>3396</v>
      </c>
      <c r="G3933" t="s">
        <v>194</v>
      </c>
      <c r="H3933" t="s">
        <v>11830</v>
      </c>
      <c r="I3933" t="s">
        <v>11831</v>
      </c>
      <c r="J3933" t="s">
        <v>197</v>
      </c>
      <c r="K3933" t="s">
        <v>55</v>
      </c>
      <c r="L3933" t="s">
        <v>198</v>
      </c>
      <c r="M3933" t="s">
        <v>57</v>
      </c>
      <c r="N3933" t="str">
        <f>"122879"</f>
        <v>122879</v>
      </c>
      <c r="O3933" t="s">
        <v>11829</v>
      </c>
      <c r="P3933" t="s">
        <v>68</v>
      </c>
      <c r="Q3933" t="s">
        <v>68</v>
      </c>
      <c r="R3933" t="s">
        <v>68</v>
      </c>
      <c r="S3933" t="s">
        <v>130</v>
      </c>
    </row>
    <row r="3934" spans="1:19" x14ac:dyDescent="0.35">
      <c r="A3934">
        <v>123026</v>
      </c>
      <c r="B3934" t="str">
        <f>"123026"</f>
        <v>123026</v>
      </c>
      <c r="C3934" t="s">
        <v>11832</v>
      </c>
      <c r="D3934" t="s">
        <v>3394</v>
      </c>
      <c r="E3934" t="s">
        <v>3395</v>
      </c>
      <c r="F3934" t="s">
        <v>3396</v>
      </c>
      <c r="G3934" t="s">
        <v>117</v>
      </c>
      <c r="H3934" t="s">
        <v>11833</v>
      </c>
      <c r="I3934" t="s">
        <v>11834</v>
      </c>
      <c r="J3934" t="s">
        <v>1409</v>
      </c>
      <c r="K3934" t="s">
        <v>55</v>
      </c>
      <c r="L3934" t="s">
        <v>4339</v>
      </c>
      <c r="M3934" t="s">
        <v>57</v>
      </c>
      <c r="N3934" t="str">
        <f>"043711"</f>
        <v>043711</v>
      </c>
      <c r="O3934" t="s">
        <v>3000</v>
      </c>
      <c r="P3934" t="s">
        <v>68</v>
      </c>
      <c r="Q3934">
        <v>100</v>
      </c>
      <c r="R3934">
        <v>13.299999999999997</v>
      </c>
      <c r="S3934" t="s">
        <v>77</v>
      </c>
    </row>
    <row r="3935" spans="1:19" x14ac:dyDescent="0.35">
      <c r="A3935">
        <v>123034</v>
      </c>
      <c r="B3935" t="str">
        <f>"123034"</f>
        <v>123034</v>
      </c>
      <c r="C3935" t="s">
        <v>11835</v>
      </c>
      <c r="D3935" t="s">
        <v>3394</v>
      </c>
      <c r="E3935" t="s">
        <v>3395</v>
      </c>
      <c r="F3935" t="s">
        <v>3396</v>
      </c>
      <c r="G3935" t="s">
        <v>264</v>
      </c>
      <c r="H3935" t="s">
        <v>11836</v>
      </c>
      <c r="I3935" t="s">
        <v>11837</v>
      </c>
      <c r="J3935" t="s">
        <v>3381</v>
      </c>
      <c r="K3935" t="s">
        <v>55</v>
      </c>
      <c r="L3935" t="s">
        <v>3382</v>
      </c>
      <c r="M3935" t="s">
        <v>57</v>
      </c>
      <c r="N3935" t="str">
        <f>"049973"</f>
        <v>049973</v>
      </c>
      <c r="O3935" t="s">
        <v>3378</v>
      </c>
      <c r="P3935" t="s">
        <v>68</v>
      </c>
      <c r="Q3935">
        <v>50.6</v>
      </c>
      <c r="R3935">
        <v>42.8</v>
      </c>
      <c r="S3935" t="s">
        <v>77</v>
      </c>
    </row>
    <row r="3936" spans="1:19" x14ac:dyDescent="0.35">
      <c r="A3936">
        <v>123109</v>
      </c>
      <c r="B3936" t="str">
        <f>"123109"</f>
        <v>123109</v>
      </c>
      <c r="C3936" t="s">
        <v>11838</v>
      </c>
      <c r="D3936" t="s">
        <v>3394</v>
      </c>
      <c r="E3936" t="s">
        <v>9538</v>
      </c>
      <c r="F3936" t="s">
        <v>3396</v>
      </c>
      <c r="G3936" t="s">
        <v>175</v>
      </c>
      <c r="H3936" t="s">
        <v>11839</v>
      </c>
      <c r="I3936" t="s">
        <v>11840</v>
      </c>
      <c r="J3936" t="s">
        <v>178</v>
      </c>
      <c r="K3936" t="s">
        <v>55</v>
      </c>
      <c r="L3936" t="s">
        <v>179</v>
      </c>
      <c r="M3936" t="s">
        <v>57</v>
      </c>
      <c r="N3936" t="str">
        <f>"123109"</f>
        <v>123109</v>
      </c>
      <c r="O3936" t="s">
        <v>11838</v>
      </c>
      <c r="P3936" t="s">
        <v>68</v>
      </c>
      <c r="Q3936" t="s">
        <v>68</v>
      </c>
      <c r="R3936" t="s">
        <v>68</v>
      </c>
      <c r="S3936" t="s">
        <v>180</v>
      </c>
    </row>
    <row r="3937" spans="1:19" x14ac:dyDescent="0.35">
      <c r="A3937">
        <v>123109</v>
      </c>
      <c r="B3937" t="str">
        <f>"123109"</f>
        <v>123109</v>
      </c>
      <c r="C3937" t="s">
        <v>11838</v>
      </c>
      <c r="D3937" t="s">
        <v>9541</v>
      </c>
      <c r="E3937" t="s">
        <v>9538</v>
      </c>
      <c r="F3937" t="s">
        <v>3396</v>
      </c>
      <c r="G3937" t="s">
        <v>175</v>
      </c>
      <c r="H3937" t="s">
        <v>11839</v>
      </c>
      <c r="I3937" t="s">
        <v>11840</v>
      </c>
      <c r="J3937" t="s">
        <v>178</v>
      </c>
      <c r="K3937" t="s">
        <v>55</v>
      </c>
      <c r="L3937" t="s">
        <v>179</v>
      </c>
      <c r="M3937" t="s">
        <v>57</v>
      </c>
      <c r="N3937" t="str">
        <f>"123109"</f>
        <v>123109</v>
      </c>
      <c r="O3937" t="s">
        <v>11838</v>
      </c>
      <c r="P3937" t="s">
        <v>68</v>
      </c>
      <c r="Q3937" t="s">
        <v>68</v>
      </c>
      <c r="R3937" t="s">
        <v>68</v>
      </c>
      <c r="S3937" t="s">
        <v>180</v>
      </c>
    </row>
    <row r="3938" spans="1:19" x14ac:dyDescent="0.35">
      <c r="A3938">
        <v>123133</v>
      </c>
      <c r="B3938" t="str">
        <f>"123133"</f>
        <v>123133</v>
      </c>
      <c r="C3938" t="s">
        <v>11841</v>
      </c>
      <c r="D3938" t="s">
        <v>3394</v>
      </c>
      <c r="E3938" t="s">
        <v>9538</v>
      </c>
      <c r="F3938" t="s">
        <v>3396</v>
      </c>
      <c r="G3938" t="s">
        <v>169</v>
      </c>
      <c r="H3938" t="s">
        <v>11842</v>
      </c>
      <c r="I3938" t="s">
        <v>11843</v>
      </c>
      <c r="J3938" t="s">
        <v>2266</v>
      </c>
      <c r="K3938" t="s">
        <v>55</v>
      </c>
      <c r="L3938" t="s">
        <v>2267</v>
      </c>
      <c r="M3938" t="s">
        <v>57</v>
      </c>
      <c r="N3938" t="str">
        <f>"123133"</f>
        <v>123133</v>
      </c>
      <c r="O3938" t="s">
        <v>11841</v>
      </c>
      <c r="P3938" t="s">
        <v>68</v>
      </c>
      <c r="Q3938" t="s">
        <v>68</v>
      </c>
      <c r="R3938" t="s">
        <v>68</v>
      </c>
      <c r="S3938" t="s">
        <v>77</v>
      </c>
    </row>
    <row r="3939" spans="1:19" x14ac:dyDescent="0.35">
      <c r="A3939">
        <v>123141</v>
      </c>
      <c r="B3939" t="str">
        <f>"123141"</f>
        <v>123141</v>
      </c>
      <c r="C3939" t="s">
        <v>11844</v>
      </c>
      <c r="D3939" t="s">
        <v>3394</v>
      </c>
      <c r="E3939" t="s">
        <v>3395</v>
      </c>
      <c r="F3939" t="s">
        <v>3396</v>
      </c>
      <c r="G3939" t="s">
        <v>52</v>
      </c>
      <c r="H3939" t="s">
        <v>11845</v>
      </c>
      <c r="I3939" t="s">
        <v>11846</v>
      </c>
      <c r="J3939" t="s">
        <v>2670</v>
      </c>
      <c r="K3939" t="s">
        <v>55</v>
      </c>
      <c r="L3939" t="s">
        <v>2671</v>
      </c>
      <c r="M3939" t="s">
        <v>57</v>
      </c>
      <c r="N3939" t="str">
        <f>"046763"</f>
        <v>046763</v>
      </c>
      <c r="O3939" t="s">
        <v>2667</v>
      </c>
      <c r="P3939" t="s">
        <v>68</v>
      </c>
      <c r="Q3939">
        <v>14.6</v>
      </c>
      <c r="R3939">
        <v>41.5</v>
      </c>
      <c r="S3939" t="s">
        <v>60</v>
      </c>
    </row>
    <row r="3940" spans="1:19" x14ac:dyDescent="0.35">
      <c r="A3940">
        <v>123216</v>
      </c>
      <c r="B3940" t="str">
        <f>"123216"</f>
        <v>123216</v>
      </c>
      <c r="C3940" t="s">
        <v>11847</v>
      </c>
      <c r="D3940" t="s">
        <v>3394</v>
      </c>
      <c r="E3940" t="s">
        <v>3395</v>
      </c>
      <c r="F3940" t="s">
        <v>3396</v>
      </c>
      <c r="G3940" t="s">
        <v>642</v>
      </c>
      <c r="H3940" t="s">
        <v>11848</v>
      </c>
      <c r="I3940" t="s">
        <v>11849</v>
      </c>
      <c r="J3940" t="s">
        <v>2675</v>
      </c>
      <c r="K3940" t="s">
        <v>55</v>
      </c>
      <c r="L3940" t="s">
        <v>2676</v>
      </c>
      <c r="M3940" t="s">
        <v>57</v>
      </c>
      <c r="N3940" t="str">
        <f>"047274"</f>
        <v>047274</v>
      </c>
      <c r="O3940" t="s">
        <v>2672</v>
      </c>
      <c r="P3940" t="s">
        <v>68</v>
      </c>
      <c r="Q3940">
        <v>13.3</v>
      </c>
      <c r="R3940">
        <v>14.299999999999997</v>
      </c>
      <c r="S3940" t="s">
        <v>180</v>
      </c>
    </row>
    <row r="3941" spans="1:19" x14ac:dyDescent="0.35">
      <c r="A3941">
        <v>123307</v>
      </c>
      <c r="B3941" t="str">
        <f>"123307"</f>
        <v>123307</v>
      </c>
      <c r="C3941" t="s">
        <v>11850</v>
      </c>
      <c r="D3941" t="s">
        <v>3394</v>
      </c>
      <c r="E3941" t="s">
        <v>3395</v>
      </c>
      <c r="F3941" t="s">
        <v>3396</v>
      </c>
      <c r="G3941" t="s">
        <v>92</v>
      </c>
      <c r="H3941" t="s">
        <v>11851</v>
      </c>
      <c r="I3941" t="s">
        <v>11852</v>
      </c>
      <c r="J3941" t="s">
        <v>603</v>
      </c>
      <c r="K3941" t="s">
        <v>55</v>
      </c>
      <c r="L3941" t="s">
        <v>604</v>
      </c>
      <c r="M3941" t="s">
        <v>57</v>
      </c>
      <c r="N3941" t="str">
        <f>"046896"</f>
        <v>046896</v>
      </c>
      <c r="O3941" t="s">
        <v>2292</v>
      </c>
      <c r="P3941" t="s">
        <v>68</v>
      </c>
      <c r="Q3941">
        <v>51.7</v>
      </c>
      <c r="R3941">
        <v>81.099999999999994</v>
      </c>
      <c r="S3941" t="s">
        <v>60</v>
      </c>
    </row>
    <row r="3942" spans="1:19" x14ac:dyDescent="0.35">
      <c r="A3942">
        <v>123356</v>
      </c>
      <c r="B3942" t="str">
        <f>"123356"</f>
        <v>123356</v>
      </c>
      <c r="C3942" t="s">
        <v>11853</v>
      </c>
      <c r="D3942" t="s">
        <v>3398</v>
      </c>
      <c r="E3942" t="s">
        <v>9538</v>
      </c>
      <c r="F3942" t="s">
        <v>3396</v>
      </c>
      <c r="G3942" t="s">
        <v>194</v>
      </c>
      <c r="H3942" t="s">
        <v>11854</v>
      </c>
      <c r="I3942" t="s">
        <v>11855</v>
      </c>
      <c r="J3942" t="s">
        <v>1225</v>
      </c>
      <c r="K3942" t="s">
        <v>55</v>
      </c>
      <c r="L3942" t="s">
        <v>1226</v>
      </c>
      <c r="M3942" t="s">
        <v>57</v>
      </c>
      <c r="N3942" t="str">
        <f>"123356"</f>
        <v>123356</v>
      </c>
      <c r="O3942" t="s">
        <v>11853</v>
      </c>
      <c r="P3942" t="s">
        <v>68</v>
      </c>
      <c r="Q3942" t="s">
        <v>68</v>
      </c>
      <c r="R3942" t="s">
        <v>68</v>
      </c>
      <c r="S3942" t="s">
        <v>130</v>
      </c>
    </row>
    <row r="3943" spans="1:19" x14ac:dyDescent="0.35">
      <c r="A3943">
        <v>123398</v>
      </c>
      <c r="B3943" t="str">
        <f>"123398"</f>
        <v>123398</v>
      </c>
      <c r="C3943" t="s">
        <v>11856</v>
      </c>
      <c r="D3943" t="s">
        <v>3394</v>
      </c>
      <c r="E3943" t="s">
        <v>3395</v>
      </c>
      <c r="F3943" t="s">
        <v>3396</v>
      </c>
      <c r="G3943" t="s">
        <v>264</v>
      </c>
      <c r="H3943" t="s">
        <v>11857</v>
      </c>
      <c r="I3943" t="s">
        <v>11858</v>
      </c>
      <c r="J3943" t="s">
        <v>160</v>
      </c>
      <c r="K3943" t="s">
        <v>55</v>
      </c>
      <c r="L3943" t="s">
        <v>161</v>
      </c>
      <c r="M3943" t="s">
        <v>57</v>
      </c>
      <c r="N3943" t="str">
        <f>"050013"</f>
        <v>050013</v>
      </c>
      <c r="O3943" t="s">
        <v>2579</v>
      </c>
      <c r="P3943" t="s">
        <v>68</v>
      </c>
      <c r="Q3943">
        <v>22.2</v>
      </c>
      <c r="R3943">
        <v>10.599999999999994</v>
      </c>
      <c r="S3943" t="s">
        <v>77</v>
      </c>
    </row>
    <row r="3944" spans="1:19" x14ac:dyDescent="0.35">
      <c r="A3944">
        <v>123463</v>
      </c>
      <c r="B3944" t="str">
        <f>"123463"</f>
        <v>123463</v>
      </c>
      <c r="C3944" t="s">
        <v>11859</v>
      </c>
      <c r="D3944" t="s">
        <v>3394</v>
      </c>
      <c r="E3944" t="s">
        <v>3395</v>
      </c>
      <c r="F3944" t="s">
        <v>3396</v>
      </c>
      <c r="G3944" t="s">
        <v>187</v>
      </c>
      <c r="H3944" t="s">
        <v>11860</v>
      </c>
      <c r="I3944" t="s">
        <v>11861</v>
      </c>
      <c r="J3944" t="s">
        <v>309</v>
      </c>
      <c r="K3944" t="s">
        <v>55</v>
      </c>
      <c r="L3944" t="s">
        <v>310</v>
      </c>
      <c r="M3944" t="s">
        <v>57</v>
      </c>
      <c r="N3944" t="str">
        <f>"045120"</f>
        <v>045120</v>
      </c>
      <c r="O3944" t="s">
        <v>306</v>
      </c>
      <c r="P3944" t="s">
        <v>68</v>
      </c>
      <c r="Q3944">
        <v>68.7</v>
      </c>
      <c r="R3944">
        <v>20.700000000000003</v>
      </c>
      <c r="S3944" t="s">
        <v>77</v>
      </c>
    </row>
    <row r="3945" spans="1:19" x14ac:dyDescent="0.35">
      <c r="A3945">
        <v>123539</v>
      </c>
      <c r="B3945" t="str">
        <f>"123539"</f>
        <v>123539</v>
      </c>
      <c r="C3945" t="s">
        <v>11862</v>
      </c>
      <c r="D3945" t="s">
        <v>3398</v>
      </c>
      <c r="E3945" t="s">
        <v>3395</v>
      </c>
      <c r="F3945" t="s">
        <v>3396</v>
      </c>
      <c r="G3945" t="s">
        <v>600</v>
      </c>
      <c r="H3945" t="s">
        <v>11863</v>
      </c>
      <c r="I3945" t="s">
        <v>11864</v>
      </c>
      <c r="J3945" t="s">
        <v>3622</v>
      </c>
      <c r="K3945" t="s">
        <v>55</v>
      </c>
      <c r="L3945" t="s">
        <v>3623</v>
      </c>
      <c r="M3945" t="s">
        <v>57</v>
      </c>
      <c r="N3945" t="str">
        <f>"047019"</f>
        <v>047019</v>
      </c>
      <c r="O3945" t="s">
        <v>1345</v>
      </c>
      <c r="P3945" t="s">
        <v>68</v>
      </c>
      <c r="Q3945">
        <v>23.2</v>
      </c>
      <c r="R3945">
        <v>30.099999999999994</v>
      </c>
      <c r="S3945" t="s">
        <v>60</v>
      </c>
    </row>
    <row r="3946" spans="1:19" x14ac:dyDescent="0.35">
      <c r="A3946">
        <v>123547</v>
      </c>
      <c r="B3946" t="str">
        <f>"123547"</f>
        <v>123547</v>
      </c>
      <c r="C3946" t="s">
        <v>11865</v>
      </c>
      <c r="D3946" t="s">
        <v>3400</v>
      </c>
      <c r="E3946" t="s">
        <v>3395</v>
      </c>
      <c r="F3946" t="s">
        <v>3396</v>
      </c>
      <c r="G3946" t="s">
        <v>318</v>
      </c>
      <c r="H3946" t="s">
        <v>390</v>
      </c>
      <c r="I3946" t="s">
        <v>391</v>
      </c>
      <c r="J3946" t="s">
        <v>392</v>
      </c>
      <c r="K3946" t="s">
        <v>55</v>
      </c>
      <c r="L3946" t="s">
        <v>393</v>
      </c>
      <c r="M3946" t="s">
        <v>57</v>
      </c>
      <c r="N3946" t="str">
        <f>"049494"</f>
        <v>049494</v>
      </c>
      <c r="O3946" t="s">
        <v>389</v>
      </c>
      <c r="P3946" t="s">
        <v>68</v>
      </c>
      <c r="Q3946">
        <v>49.1</v>
      </c>
      <c r="R3946">
        <v>8.7999999999999972</v>
      </c>
      <c r="S3946" t="s">
        <v>130</v>
      </c>
    </row>
    <row r="3947" spans="1:19" x14ac:dyDescent="0.35">
      <c r="A3947">
        <v>123810</v>
      </c>
      <c r="B3947" t="str">
        <f>"123810"</f>
        <v>123810</v>
      </c>
      <c r="C3947" t="s">
        <v>11866</v>
      </c>
      <c r="D3947" t="s">
        <v>3394</v>
      </c>
      <c r="E3947" t="s">
        <v>3395</v>
      </c>
      <c r="F3947" t="s">
        <v>3396</v>
      </c>
      <c r="G3947" t="s">
        <v>244</v>
      </c>
      <c r="H3947" t="s">
        <v>11867</v>
      </c>
      <c r="I3947" t="s">
        <v>11868</v>
      </c>
      <c r="J3947" t="s">
        <v>5918</v>
      </c>
      <c r="K3947" t="s">
        <v>55</v>
      </c>
      <c r="L3947" t="s">
        <v>5919</v>
      </c>
      <c r="M3947" t="s">
        <v>57</v>
      </c>
      <c r="N3947" t="str">
        <f>"046110"</f>
        <v>046110</v>
      </c>
      <c r="O3947" t="s">
        <v>2005</v>
      </c>
      <c r="P3947" t="s">
        <v>68</v>
      </c>
      <c r="Q3947">
        <v>21.4</v>
      </c>
      <c r="R3947">
        <v>46.6</v>
      </c>
      <c r="S3947" t="s">
        <v>217</v>
      </c>
    </row>
    <row r="3948" spans="1:19" x14ac:dyDescent="0.35">
      <c r="A3948">
        <v>123828</v>
      </c>
      <c r="B3948" t="str">
        <f>"123828"</f>
        <v>123828</v>
      </c>
      <c r="C3948" t="s">
        <v>11869</v>
      </c>
      <c r="D3948" t="s">
        <v>3506</v>
      </c>
      <c r="E3948" t="s">
        <v>3395</v>
      </c>
      <c r="F3948" t="s">
        <v>3396</v>
      </c>
      <c r="G3948" t="s">
        <v>244</v>
      </c>
      <c r="H3948" t="s">
        <v>11870</v>
      </c>
      <c r="I3948" t="s">
        <v>11871</v>
      </c>
      <c r="J3948" t="s">
        <v>5918</v>
      </c>
      <c r="K3948" t="s">
        <v>55</v>
      </c>
      <c r="L3948" t="s">
        <v>5919</v>
      </c>
      <c r="M3948" t="s">
        <v>57</v>
      </c>
      <c r="N3948" t="str">
        <f>"046110"</f>
        <v>046110</v>
      </c>
      <c r="O3948" t="s">
        <v>2005</v>
      </c>
      <c r="P3948" t="s">
        <v>68</v>
      </c>
      <c r="Q3948">
        <v>32.299999999999997</v>
      </c>
      <c r="R3948">
        <v>46.9</v>
      </c>
      <c r="S3948" t="s">
        <v>217</v>
      </c>
    </row>
    <row r="3949" spans="1:19" x14ac:dyDescent="0.35">
      <c r="A3949">
        <v>123836</v>
      </c>
      <c r="B3949" t="str">
        <f>"123836"</f>
        <v>123836</v>
      </c>
      <c r="C3949" t="s">
        <v>11872</v>
      </c>
      <c r="D3949" t="s">
        <v>3398</v>
      </c>
      <c r="E3949" t="s">
        <v>3395</v>
      </c>
      <c r="F3949" t="s">
        <v>3396</v>
      </c>
      <c r="G3949" t="s">
        <v>244</v>
      </c>
      <c r="H3949" t="s">
        <v>11873</v>
      </c>
      <c r="I3949" t="s">
        <v>11874</v>
      </c>
      <c r="J3949" t="s">
        <v>2008</v>
      </c>
      <c r="K3949" t="s">
        <v>55</v>
      </c>
      <c r="L3949" t="s">
        <v>3475</v>
      </c>
      <c r="M3949" t="s">
        <v>57</v>
      </c>
      <c r="N3949" t="str">
        <f>"046110"</f>
        <v>046110</v>
      </c>
      <c r="O3949" t="s">
        <v>2005</v>
      </c>
      <c r="P3949" t="s">
        <v>68</v>
      </c>
      <c r="Q3949">
        <v>17.7</v>
      </c>
      <c r="R3949">
        <v>33</v>
      </c>
      <c r="S3949" t="s">
        <v>217</v>
      </c>
    </row>
    <row r="3950" spans="1:19" x14ac:dyDescent="0.35">
      <c r="A3950">
        <v>123950</v>
      </c>
      <c r="B3950" t="str">
        <f>"123950"</f>
        <v>123950</v>
      </c>
      <c r="C3950" t="s">
        <v>11875</v>
      </c>
      <c r="D3950" t="s">
        <v>3394</v>
      </c>
      <c r="E3950" t="s">
        <v>9538</v>
      </c>
      <c r="F3950" t="s">
        <v>3396</v>
      </c>
      <c r="G3950" t="s">
        <v>600</v>
      </c>
      <c r="H3950" t="s">
        <v>11876</v>
      </c>
      <c r="I3950" t="s">
        <v>11877</v>
      </c>
      <c r="J3950" t="s">
        <v>3466</v>
      </c>
      <c r="K3950" t="s">
        <v>55</v>
      </c>
      <c r="L3950" t="s">
        <v>3467</v>
      </c>
      <c r="M3950" t="s">
        <v>57</v>
      </c>
      <c r="N3950" t="str">
        <f>"123950"</f>
        <v>123950</v>
      </c>
      <c r="O3950" t="s">
        <v>11875</v>
      </c>
      <c r="P3950" t="s">
        <v>68</v>
      </c>
      <c r="Q3950" t="s">
        <v>68</v>
      </c>
      <c r="R3950" t="s">
        <v>68</v>
      </c>
      <c r="S3950" t="s">
        <v>60</v>
      </c>
    </row>
    <row r="3951" spans="1:19" x14ac:dyDescent="0.35">
      <c r="A3951">
        <v>124073</v>
      </c>
      <c r="B3951" t="str">
        <f>"124073"</f>
        <v>124073</v>
      </c>
      <c r="C3951" t="s">
        <v>11878</v>
      </c>
      <c r="D3951" t="s">
        <v>3400</v>
      </c>
      <c r="E3951" t="s">
        <v>3395</v>
      </c>
      <c r="F3951" t="s">
        <v>3396</v>
      </c>
      <c r="G3951" t="s">
        <v>244</v>
      </c>
      <c r="H3951" t="s">
        <v>11879</v>
      </c>
      <c r="I3951" t="s">
        <v>11880</v>
      </c>
      <c r="J3951" t="s">
        <v>92</v>
      </c>
      <c r="K3951" t="s">
        <v>55</v>
      </c>
      <c r="L3951" t="s">
        <v>2423</v>
      </c>
      <c r="M3951" t="s">
        <v>57</v>
      </c>
      <c r="N3951" t="str">
        <f>"046102"</f>
        <v>046102</v>
      </c>
      <c r="O3951" t="s">
        <v>2420</v>
      </c>
      <c r="P3951" t="s">
        <v>68</v>
      </c>
      <c r="Q3951">
        <v>45.6</v>
      </c>
      <c r="R3951">
        <v>56.7</v>
      </c>
      <c r="S3951" t="s">
        <v>217</v>
      </c>
    </row>
    <row r="3952" spans="1:19" x14ac:dyDescent="0.35">
      <c r="A3952">
        <v>124081</v>
      </c>
      <c r="B3952" t="str">
        <f>"124081"</f>
        <v>124081</v>
      </c>
      <c r="C3952" t="s">
        <v>11881</v>
      </c>
      <c r="D3952" t="s">
        <v>3394</v>
      </c>
      <c r="E3952" t="s">
        <v>3395</v>
      </c>
      <c r="F3952" t="s">
        <v>3396</v>
      </c>
      <c r="G3952" t="s">
        <v>244</v>
      </c>
      <c r="H3952" t="s">
        <v>11882</v>
      </c>
      <c r="I3952" t="s">
        <v>11883</v>
      </c>
      <c r="J3952" t="s">
        <v>212</v>
      </c>
      <c r="K3952" t="s">
        <v>55</v>
      </c>
      <c r="L3952" t="s">
        <v>374</v>
      </c>
      <c r="M3952" t="s">
        <v>57</v>
      </c>
      <c r="N3952" t="str">
        <f>"046102"</f>
        <v>046102</v>
      </c>
      <c r="O3952" t="s">
        <v>2420</v>
      </c>
      <c r="P3952" t="s">
        <v>68</v>
      </c>
      <c r="Q3952">
        <v>45.4</v>
      </c>
      <c r="R3952">
        <v>46.1</v>
      </c>
      <c r="S3952" t="s">
        <v>217</v>
      </c>
    </row>
    <row r="3953" spans="1:19" x14ac:dyDescent="0.35">
      <c r="A3953">
        <v>124214</v>
      </c>
      <c r="B3953" t="str">
        <f>"124214"</f>
        <v>124214</v>
      </c>
      <c r="C3953" t="s">
        <v>11884</v>
      </c>
      <c r="D3953" t="s">
        <v>3394</v>
      </c>
      <c r="E3953" t="s">
        <v>3395</v>
      </c>
      <c r="F3953" t="s">
        <v>3396</v>
      </c>
      <c r="G3953" t="s">
        <v>19</v>
      </c>
      <c r="H3953" t="s">
        <v>11885</v>
      </c>
      <c r="I3953" t="s">
        <v>11886</v>
      </c>
      <c r="J3953" t="s">
        <v>11887</v>
      </c>
      <c r="K3953" t="s">
        <v>55</v>
      </c>
      <c r="L3953" t="s">
        <v>11888</v>
      </c>
      <c r="M3953" t="s">
        <v>57</v>
      </c>
      <c r="N3953" t="str">
        <f>"046037"</f>
        <v>046037</v>
      </c>
      <c r="O3953" t="s">
        <v>844</v>
      </c>
      <c r="P3953" t="s">
        <v>68</v>
      </c>
      <c r="Q3953">
        <v>44.7</v>
      </c>
      <c r="R3953">
        <v>1.5</v>
      </c>
      <c r="S3953" t="s">
        <v>217</v>
      </c>
    </row>
    <row r="3954" spans="1:19" x14ac:dyDescent="0.35">
      <c r="A3954">
        <v>124222</v>
      </c>
      <c r="B3954" t="str">
        <f>"124222"</f>
        <v>124222</v>
      </c>
      <c r="C3954" t="s">
        <v>11889</v>
      </c>
      <c r="D3954" t="s">
        <v>3400</v>
      </c>
      <c r="E3954" t="s">
        <v>3395</v>
      </c>
      <c r="F3954" t="s">
        <v>3396</v>
      </c>
      <c r="G3954" t="s">
        <v>19</v>
      </c>
      <c r="H3954" t="s">
        <v>11890</v>
      </c>
      <c r="I3954" t="s">
        <v>11891</v>
      </c>
      <c r="J3954" t="s">
        <v>847</v>
      </c>
      <c r="K3954" t="s">
        <v>55</v>
      </c>
      <c r="L3954" t="s">
        <v>848</v>
      </c>
      <c r="M3954" t="s">
        <v>57</v>
      </c>
      <c r="N3954" t="str">
        <f>"046037"</f>
        <v>046037</v>
      </c>
      <c r="O3954" t="s">
        <v>844</v>
      </c>
      <c r="P3954" t="s">
        <v>68</v>
      </c>
      <c r="Q3954">
        <v>56</v>
      </c>
      <c r="R3954">
        <v>3.4000000000000057</v>
      </c>
      <c r="S3954" t="s">
        <v>217</v>
      </c>
    </row>
    <row r="3955" spans="1:19" x14ac:dyDescent="0.35">
      <c r="A3955">
        <v>124727</v>
      </c>
      <c r="B3955" t="str">
        <f>"124727"</f>
        <v>124727</v>
      </c>
      <c r="C3955" t="s">
        <v>11892</v>
      </c>
      <c r="D3955" t="s">
        <v>3400</v>
      </c>
      <c r="E3955" t="s">
        <v>3395</v>
      </c>
      <c r="F3955" t="s">
        <v>3396</v>
      </c>
      <c r="G3955" t="s">
        <v>400</v>
      </c>
      <c r="H3955" t="s">
        <v>5458</v>
      </c>
      <c r="I3955" t="s">
        <v>5459</v>
      </c>
      <c r="J3955" t="s">
        <v>2124</v>
      </c>
      <c r="K3955" t="s">
        <v>55</v>
      </c>
      <c r="L3955" t="s">
        <v>2125</v>
      </c>
      <c r="M3955" t="s">
        <v>57</v>
      </c>
      <c r="N3955" t="str">
        <f>"045385"</f>
        <v>045385</v>
      </c>
      <c r="O3955" t="s">
        <v>2121</v>
      </c>
      <c r="P3955" t="s">
        <v>68</v>
      </c>
      <c r="Q3955">
        <v>41.4</v>
      </c>
      <c r="R3955">
        <v>8.7999999999999972</v>
      </c>
      <c r="S3955" t="s">
        <v>156</v>
      </c>
    </row>
    <row r="3956" spans="1:19" x14ac:dyDescent="0.35">
      <c r="A3956">
        <v>124859</v>
      </c>
      <c r="B3956" t="str">
        <f>"124859"</f>
        <v>124859</v>
      </c>
      <c r="C3956" t="s">
        <v>11893</v>
      </c>
      <c r="D3956" t="s">
        <v>3400</v>
      </c>
      <c r="E3956" t="s">
        <v>3395</v>
      </c>
      <c r="F3956" t="s">
        <v>3396</v>
      </c>
      <c r="G3956" t="s">
        <v>1041</v>
      </c>
      <c r="H3956" t="s">
        <v>2395</v>
      </c>
      <c r="I3956" t="s">
        <v>2396</v>
      </c>
      <c r="J3956" t="s">
        <v>2025</v>
      </c>
      <c r="K3956" t="s">
        <v>55</v>
      </c>
      <c r="L3956" t="s">
        <v>2026</v>
      </c>
      <c r="M3956" t="s">
        <v>57</v>
      </c>
      <c r="N3956" t="str">
        <f>"046300"</f>
        <v>046300</v>
      </c>
      <c r="O3956" t="s">
        <v>2394</v>
      </c>
      <c r="P3956" t="s">
        <v>68</v>
      </c>
      <c r="Q3956">
        <v>43.1</v>
      </c>
      <c r="R3956">
        <v>15.200000000000003</v>
      </c>
      <c r="S3956" t="s">
        <v>217</v>
      </c>
    </row>
    <row r="3957" spans="1:19" x14ac:dyDescent="0.35">
      <c r="A3957">
        <v>124867</v>
      </c>
      <c r="B3957" t="str">
        <f>"124867"</f>
        <v>124867</v>
      </c>
      <c r="C3957" t="s">
        <v>11894</v>
      </c>
      <c r="D3957" t="s">
        <v>3506</v>
      </c>
      <c r="E3957" t="s">
        <v>3395</v>
      </c>
      <c r="F3957" t="s">
        <v>3396</v>
      </c>
      <c r="G3957" t="s">
        <v>250</v>
      </c>
      <c r="H3957" t="s">
        <v>4826</v>
      </c>
      <c r="I3957" t="s">
        <v>4827</v>
      </c>
      <c r="J3957" t="s">
        <v>1055</v>
      </c>
      <c r="K3957" t="s">
        <v>55</v>
      </c>
      <c r="L3957" t="s">
        <v>1056</v>
      </c>
      <c r="M3957" t="s">
        <v>57</v>
      </c>
      <c r="N3957" t="str">
        <f>"046409"</f>
        <v>046409</v>
      </c>
      <c r="O3957" t="s">
        <v>1052</v>
      </c>
      <c r="P3957" t="s">
        <v>68</v>
      </c>
      <c r="Q3957">
        <v>47.2</v>
      </c>
      <c r="R3957">
        <v>7.0999999999999943</v>
      </c>
      <c r="S3957" t="s">
        <v>60</v>
      </c>
    </row>
    <row r="3958" spans="1:19" x14ac:dyDescent="0.35">
      <c r="A3958">
        <v>124875</v>
      </c>
      <c r="B3958" t="str">
        <f>"124875"</f>
        <v>124875</v>
      </c>
      <c r="C3958" t="s">
        <v>11895</v>
      </c>
      <c r="D3958" t="s">
        <v>3394</v>
      </c>
      <c r="E3958" t="s">
        <v>3395</v>
      </c>
      <c r="F3958" t="s">
        <v>3396</v>
      </c>
      <c r="G3958" t="s">
        <v>172</v>
      </c>
      <c r="H3958" t="s">
        <v>11896</v>
      </c>
      <c r="I3958" t="s">
        <v>11897</v>
      </c>
      <c r="J3958" t="s">
        <v>580</v>
      </c>
      <c r="K3958" t="s">
        <v>55</v>
      </c>
      <c r="L3958" t="s">
        <v>581</v>
      </c>
      <c r="M3958" t="s">
        <v>57</v>
      </c>
      <c r="N3958" t="str">
        <f>"050435"</f>
        <v>050435</v>
      </c>
      <c r="O3958" t="s">
        <v>577</v>
      </c>
      <c r="P3958" t="s">
        <v>68</v>
      </c>
      <c r="Q3958">
        <v>19.5</v>
      </c>
      <c r="R3958">
        <v>25.200000000000003</v>
      </c>
      <c r="S3958" t="s">
        <v>217</v>
      </c>
    </row>
    <row r="3959" spans="1:19" x14ac:dyDescent="0.35">
      <c r="A3959">
        <v>124883</v>
      </c>
      <c r="B3959" t="str">
        <f>"124883"</f>
        <v>124883</v>
      </c>
      <c r="C3959" t="s">
        <v>11898</v>
      </c>
      <c r="D3959" t="s">
        <v>3394</v>
      </c>
      <c r="E3959" t="s">
        <v>9538</v>
      </c>
      <c r="F3959" t="s">
        <v>3396</v>
      </c>
      <c r="G3959" t="s">
        <v>600</v>
      </c>
      <c r="H3959" t="s">
        <v>11899</v>
      </c>
      <c r="I3959" t="s">
        <v>11900</v>
      </c>
      <c r="J3959" t="s">
        <v>1956</v>
      </c>
      <c r="K3959" t="s">
        <v>55</v>
      </c>
      <c r="L3959" t="s">
        <v>1957</v>
      </c>
      <c r="M3959" t="s">
        <v>57</v>
      </c>
      <c r="N3959" t="str">
        <f>"052530"</f>
        <v>052530</v>
      </c>
      <c r="O3959" t="s">
        <v>2009</v>
      </c>
      <c r="P3959" t="s">
        <v>68</v>
      </c>
      <c r="Q3959" t="s">
        <v>68</v>
      </c>
      <c r="R3959" t="s">
        <v>68</v>
      </c>
      <c r="S3959" t="s">
        <v>60</v>
      </c>
    </row>
    <row r="3960" spans="1:19" x14ac:dyDescent="0.35">
      <c r="A3960">
        <v>125013</v>
      </c>
      <c r="B3960" t="str">
        <f>"125013"</f>
        <v>125013</v>
      </c>
      <c r="C3960" t="s">
        <v>11901</v>
      </c>
      <c r="D3960" t="s">
        <v>3394</v>
      </c>
      <c r="E3960" t="s">
        <v>9538</v>
      </c>
      <c r="F3960" t="s">
        <v>3396</v>
      </c>
      <c r="G3960" t="s">
        <v>212</v>
      </c>
      <c r="H3960" t="s">
        <v>11902</v>
      </c>
      <c r="I3960" t="s">
        <v>11903</v>
      </c>
      <c r="J3960" t="s">
        <v>215</v>
      </c>
      <c r="K3960" t="s">
        <v>55</v>
      </c>
      <c r="L3960" t="s">
        <v>4199</v>
      </c>
      <c r="M3960" t="s">
        <v>57</v>
      </c>
      <c r="N3960" t="str">
        <f>"125013"</f>
        <v>125013</v>
      </c>
      <c r="O3960" t="s">
        <v>11904</v>
      </c>
      <c r="P3960" t="s">
        <v>68</v>
      </c>
      <c r="Q3960" t="s">
        <v>68</v>
      </c>
      <c r="R3960" t="s">
        <v>68</v>
      </c>
      <c r="S3960" t="s">
        <v>217</v>
      </c>
    </row>
    <row r="3961" spans="1:19" x14ac:dyDescent="0.35">
      <c r="A3961">
        <v>125013</v>
      </c>
      <c r="B3961" t="str">
        <f>"125013"</f>
        <v>125013</v>
      </c>
      <c r="C3961" t="s">
        <v>11901</v>
      </c>
      <c r="D3961" t="s">
        <v>9541</v>
      </c>
      <c r="E3961" t="s">
        <v>9538</v>
      </c>
      <c r="F3961" t="s">
        <v>3396</v>
      </c>
      <c r="G3961" t="s">
        <v>212</v>
      </c>
      <c r="H3961" t="s">
        <v>11902</v>
      </c>
      <c r="I3961" t="s">
        <v>11903</v>
      </c>
      <c r="J3961" t="s">
        <v>215</v>
      </c>
      <c r="K3961" t="s">
        <v>55</v>
      </c>
      <c r="L3961" t="s">
        <v>4199</v>
      </c>
      <c r="M3961" t="s">
        <v>57</v>
      </c>
      <c r="N3961" t="str">
        <f>"125013"</f>
        <v>125013</v>
      </c>
      <c r="O3961" t="s">
        <v>11904</v>
      </c>
      <c r="P3961" t="s">
        <v>68</v>
      </c>
      <c r="Q3961" t="s">
        <v>68</v>
      </c>
      <c r="R3961" t="s">
        <v>68</v>
      </c>
      <c r="S3961" t="s">
        <v>217</v>
      </c>
    </row>
    <row r="3962" spans="1:19" x14ac:dyDescent="0.35">
      <c r="A3962">
        <v>125047</v>
      </c>
      <c r="B3962" t="str">
        <f>"125047"</f>
        <v>125047</v>
      </c>
      <c r="C3962" t="s">
        <v>11905</v>
      </c>
      <c r="D3962" t="s">
        <v>3394</v>
      </c>
      <c r="E3962" t="s">
        <v>3395</v>
      </c>
      <c r="F3962" t="s">
        <v>3396</v>
      </c>
      <c r="G3962" t="s">
        <v>1948</v>
      </c>
      <c r="H3962" t="s">
        <v>11906</v>
      </c>
      <c r="I3962" t="s">
        <v>11907</v>
      </c>
      <c r="J3962" t="s">
        <v>1951</v>
      </c>
      <c r="K3962" t="s">
        <v>55</v>
      </c>
      <c r="L3962" t="s">
        <v>1952</v>
      </c>
      <c r="M3962" t="s">
        <v>57</v>
      </c>
      <c r="N3962" t="str">
        <f>"045476"</f>
        <v>045476</v>
      </c>
      <c r="O3962" t="s">
        <v>1947</v>
      </c>
      <c r="P3962" t="s">
        <v>68</v>
      </c>
      <c r="Q3962">
        <v>24.1</v>
      </c>
      <c r="R3962">
        <v>22.5</v>
      </c>
      <c r="S3962" t="s">
        <v>60</v>
      </c>
    </row>
    <row r="3963" spans="1:19" x14ac:dyDescent="0.35">
      <c r="A3963">
        <v>125187</v>
      </c>
      <c r="B3963" t="str">
        <f>"125187"</f>
        <v>125187</v>
      </c>
      <c r="C3963" t="s">
        <v>11908</v>
      </c>
      <c r="D3963" t="s">
        <v>3400</v>
      </c>
      <c r="E3963" t="s">
        <v>3395</v>
      </c>
      <c r="F3963" t="s">
        <v>3396</v>
      </c>
      <c r="G3963" t="s">
        <v>423</v>
      </c>
      <c r="H3963" t="s">
        <v>2117</v>
      </c>
      <c r="I3963" t="s">
        <v>2118</v>
      </c>
      <c r="J3963" t="s">
        <v>2119</v>
      </c>
      <c r="K3963" t="s">
        <v>55</v>
      </c>
      <c r="L3963" t="s">
        <v>2120</v>
      </c>
      <c r="M3963" t="s">
        <v>57</v>
      </c>
      <c r="N3963" t="str">
        <f>"045310"</f>
        <v>045310</v>
      </c>
      <c r="O3963" t="s">
        <v>2116</v>
      </c>
      <c r="P3963" t="s">
        <v>68</v>
      </c>
      <c r="Q3963">
        <v>16.3</v>
      </c>
      <c r="R3963">
        <v>3.9000000000000057</v>
      </c>
      <c r="S3963" t="s">
        <v>156</v>
      </c>
    </row>
    <row r="3964" spans="1:19" x14ac:dyDescent="0.35">
      <c r="A3964">
        <v>125229</v>
      </c>
      <c r="B3964" t="str">
        <f>"125229"</f>
        <v>125229</v>
      </c>
      <c r="C3964" t="s">
        <v>11909</v>
      </c>
      <c r="D3964" t="s">
        <v>3506</v>
      </c>
      <c r="E3964" t="s">
        <v>3395</v>
      </c>
      <c r="F3964" t="s">
        <v>3396</v>
      </c>
      <c r="G3964" t="s">
        <v>200</v>
      </c>
      <c r="H3964" t="s">
        <v>11910</v>
      </c>
      <c r="I3964" t="s">
        <v>11911</v>
      </c>
      <c r="J3964" t="s">
        <v>2680</v>
      </c>
      <c r="K3964" t="s">
        <v>55</v>
      </c>
      <c r="L3964" t="s">
        <v>2681</v>
      </c>
      <c r="M3964" t="s">
        <v>57</v>
      </c>
      <c r="N3964" t="str">
        <f>"048207"</f>
        <v>048207</v>
      </c>
      <c r="O3964" t="s">
        <v>2677</v>
      </c>
      <c r="P3964" t="s">
        <v>68</v>
      </c>
      <c r="Q3964">
        <v>12.9</v>
      </c>
      <c r="R3964">
        <v>7.7000000000000028</v>
      </c>
      <c r="S3964" t="s">
        <v>156</v>
      </c>
    </row>
    <row r="3965" spans="1:19" x14ac:dyDescent="0.35">
      <c r="A3965">
        <v>125245</v>
      </c>
      <c r="B3965" t="str">
        <f>"125245"</f>
        <v>125245</v>
      </c>
      <c r="C3965" t="s">
        <v>11912</v>
      </c>
      <c r="D3965" t="s">
        <v>3400</v>
      </c>
      <c r="E3965" t="s">
        <v>3395</v>
      </c>
      <c r="F3965" t="s">
        <v>3396</v>
      </c>
      <c r="G3965" t="s">
        <v>52</v>
      </c>
      <c r="H3965" t="s">
        <v>11913</v>
      </c>
      <c r="I3965" t="s">
        <v>11914</v>
      </c>
      <c r="J3965" t="s">
        <v>52</v>
      </c>
      <c r="K3965" t="s">
        <v>55</v>
      </c>
      <c r="L3965" t="s">
        <v>56</v>
      </c>
      <c r="M3965" t="s">
        <v>57</v>
      </c>
      <c r="N3965" t="str">
        <f>"046755"</f>
        <v>046755</v>
      </c>
      <c r="O3965" t="s">
        <v>1319</v>
      </c>
      <c r="P3965" t="s">
        <v>68</v>
      </c>
      <c r="Q3965">
        <v>17.2</v>
      </c>
      <c r="R3965">
        <v>12.599999999999994</v>
      </c>
      <c r="S3965" t="s">
        <v>60</v>
      </c>
    </row>
    <row r="3966" spans="1:19" x14ac:dyDescent="0.35">
      <c r="A3966">
        <v>125278</v>
      </c>
      <c r="B3966" t="str">
        <f>"125278"</f>
        <v>125278</v>
      </c>
      <c r="C3966" t="s">
        <v>11915</v>
      </c>
      <c r="D3966" t="s">
        <v>3398</v>
      </c>
      <c r="E3966" t="s">
        <v>9538</v>
      </c>
      <c r="F3966" t="s">
        <v>3396</v>
      </c>
      <c r="G3966" t="s">
        <v>536</v>
      </c>
      <c r="H3966" t="s">
        <v>11916</v>
      </c>
      <c r="I3966" t="s">
        <v>11917</v>
      </c>
      <c r="J3966" t="s">
        <v>536</v>
      </c>
      <c r="K3966" t="s">
        <v>55</v>
      </c>
      <c r="L3966" t="s">
        <v>2227</v>
      </c>
      <c r="M3966" t="s">
        <v>57</v>
      </c>
      <c r="N3966" t="str">
        <f>"125278"</f>
        <v>125278</v>
      </c>
      <c r="O3966" t="s">
        <v>11915</v>
      </c>
      <c r="P3966" t="s">
        <v>68</v>
      </c>
      <c r="Q3966" t="s">
        <v>68</v>
      </c>
      <c r="R3966" t="s">
        <v>68</v>
      </c>
      <c r="S3966" t="s">
        <v>77</v>
      </c>
    </row>
    <row r="3967" spans="1:19" x14ac:dyDescent="0.35">
      <c r="A3967">
        <v>125310</v>
      </c>
      <c r="B3967" t="str">
        <f>"125310"</f>
        <v>125310</v>
      </c>
      <c r="C3967" t="s">
        <v>11918</v>
      </c>
      <c r="D3967" t="s">
        <v>3398</v>
      </c>
      <c r="E3967" t="s">
        <v>9538</v>
      </c>
      <c r="F3967" t="s">
        <v>3396</v>
      </c>
      <c r="G3967" t="s">
        <v>325</v>
      </c>
      <c r="H3967" t="s">
        <v>11919</v>
      </c>
      <c r="I3967" t="s">
        <v>11920</v>
      </c>
      <c r="J3967" t="s">
        <v>2819</v>
      </c>
      <c r="K3967" t="s">
        <v>55</v>
      </c>
      <c r="L3967" t="s">
        <v>2820</v>
      </c>
      <c r="M3967" t="s">
        <v>57</v>
      </c>
      <c r="N3967" t="str">
        <f>"125310"</f>
        <v>125310</v>
      </c>
      <c r="O3967" t="s">
        <v>11918</v>
      </c>
      <c r="P3967" t="s">
        <v>68</v>
      </c>
      <c r="Q3967" t="s">
        <v>68</v>
      </c>
      <c r="R3967" t="s">
        <v>68</v>
      </c>
      <c r="S3967" t="s">
        <v>180</v>
      </c>
    </row>
    <row r="3968" spans="1:19" x14ac:dyDescent="0.35">
      <c r="A3968">
        <v>125344</v>
      </c>
      <c r="B3968" t="str">
        <f>"125344"</f>
        <v>125344</v>
      </c>
      <c r="C3968" t="s">
        <v>11921</v>
      </c>
      <c r="D3968" t="s">
        <v>3394</v>
      </c>
      <c r="E3968" t="s">
        <v>3395</v>
      </c>
      <c r="F3968" t="s">
        <v>3396</v>
      </c>
      <c r="G3968" t="s">
        <v>600</v>
      </c>
      <c r="H3968" t="s">
        <v>11922</v>
      </c>
      <c r="I3968" t="s">
        <v>11923</v>
      </c>
      <c r="J3968" t="s">
        <v>3622</v>
      </c>
      <c r="K3968" t="s">
        <v>55</v>
      </c>
      <c r="L3968" t="s">
        <v>3623</v>
      </c>
      <c r="M3968" t="s">
        <v>57</v>
      </c>
      <c r="N3968" t="str">
        <f>"047019"</f>
        <v>047019</v>
      </c>
      <c r="O3968" t="s">
        <v>1345</v>
      </c>
      <c r="P3968" t="s">
        <v>68</v>
      </c>
      <c r="Q3968">
        <v>21.1</v>
      </c>
      <c r="R3968">
        <v>28.099999999999994</v>
      </c>
      <c r="S3968" t="s">
        <v>60</v>
      </c>
    </row>
    <row r="3969" spans="1:19" x14ac:dyDescent="0.35">
      <c r="A3969">
        <v>125351</v>
      </c>
      <c r="B3969" t="str">
        <f>"125351"</f>
        <v>125351</v>
      </c>
      <c r="C3969" t="s">
        <v>11924</v>
      </c>
      <c r="D3969" t="s">
        <v>3400</v>
      </c>
      <c r="E3969" t="s">
        <v>3395</v>
      </c>
      <c r="F3969" t="s">
        <v>3396</v>
      </c>
      <c r="G3969" t="s">
        <v>1041</v>
      </c>
      <c r="H3969" t="s">
        <v>1087</v>
      </c>
      <c r="I3969" t="s">
        <v>1088</v>
      </c>
      <c r="J3969" t="s">
        <v>1089</v>
      </c>
      <c r="K3969" t="s">
        <v>55</v>
      </c>
      <c r="L3969" t="s">
        <v>1090</v>
      </c>
      <c r="M3969" t="s">
        <v>57</v>
      </c>
      <c r="N3969" t="str">
        <f>"046334"</f>
        <v>046334</v>
      </c>
      <c r="O3969" t="s">
        <v>1086</v>
      </c>
      <c r="P3969" t="s">
        <v>68</v>
      </c>
      <c r="Q3969">
        <v>40</v>
      </c>
      <c r="R3969">
        <v>5.9000000000000057</v>
      </c>
      <c r="S3969" t="s">
        <v>217</v>
      </c>
    </row>
    <row r="3970" spans="1:19" x14ac:dyDescent="0.35">
      <c r="A3970">
        <v>125567</v>
      </c>
      <c r="B3970" t="str">
        <f>"125567"</f>
        <v>125567</v>
      </c>
      <c r="C3970" t="s">
        <v>11925</v>
      </c>
      <c r="D3970" t="s">
        <v>3506</v>
      </c>
      <c r="E3970" t="s">
        <v>3395</v>
      </c>
      <c r="F3970" t="s">
        <v>3396</v>
      </c>
      <c r="G3970" t="s">
        <v>200</v>
      </c>
      <c r="H3970" t="s">
        <v>11926</v>
      </c>
      <c r="I3970" t="s">
        <v>11927</v>
      </c>
      <c r="J3970" t="s">
        <v>203</v>
      </c>
      <c r="K3970" t="s">
        <v>55</v>
      </c>
      <c r="L3970" t="s">
        <v>204</v>
      </c>
      <c r="M3970" t="s">
        <v>57</v>
      </c>
      <c r="N3970" t="str">
        <f>"044875"</f>
        <v>044875</v>
      </c>
      <c r="O3970" t="s">
        <v>521</v>
      </c>
      <c r="P3970" t="s">
        <v>68</v>
      </c>
      <c r="Q3970">
        <v>25.7</v>
      </c>
      <c r="R3970">
        <v>29.200000000000003</v>
      </c>
      <c r="S3970" t="s">
        <v>156</v>
      </c>
    </row>
    <row r="3971" spans="1:19" x14ac:dyDescent="0.35">
      <c r="A3971">
        <v>125641</v>
      </c>
      <c r="B3971" t="str">
        <f>"125641"</f>
        <v>125641</v>
      </c>
      <c r="C3971" t="s">
        <v>11928</v>
      </c>
      <c r="D3971" t="s">
        <v>3394</v>
      </c>
      <c r="E3971" t="s">
        <v>3395</v>
      </c>
      <c r="F3971" t="s">
        <v>3396</v>
      </c>
      <c r="G3971" t="s">
        <v>295</v>
      </c>
      <c r="H3971" t="s">
        <v>11929</v>
      </c>
      <c r="I3971" t="s">
        <v>11930</v>
      </c>
      <c r="J3971" t="s">
        <v>1764</v>
      </c>
      <c r="K3971" t="s">
        <v>55</v>
      </c>
      <c r="L3971" t="s">
        <v>1765</v>
      </c>
      <c r="M3971" t="s">
        <v>57</v>
      </c>
      <c r="N3971" t="str">
        <f>"044685"</f>
        <v>044685</v>
      </c>
      <c r="O3971" t="s">
        <v>2751</v>
      </c>
      <c r="P3971" t="s">
        <v>68</v>
      </c>
      <c r="Q3971" t="s">
        <v>68</v>
      </c>
      <c r="R3971" t="s">
        <v>68</v>
      </c>
      <c r="S3971" t="s">
        <v>77</v>
      </c>
    </row>
    <row r="3972" spans="1:19" x14ac:dyDescent="0.35">
      <c r="A3972">
        <v>125765</v>
      </c>
      <c r="B3972" t="str">
        <f>"125765"</f>
        <v>125765</v>
      </c>
      <c r="C3972" t="s">
        <v>11931</v>
      </c>
      <c r="D3972" t="s">
        <v>3394</v>
      </c>
      <c r="E3972" t="s">
        <v>3395</v>
      </c>
      <c r="F3972" t="s">
        <v>3396</v>
      </c>
      <c r="G3972" t="s">
        <v>1041</v>
      </c>
      <c r="H3972" t="s">
        <v>11932</v>
      </c>
      <c r="I3972" t="s">
        <v>11933</v>
      </c>
      <c r="J3972" t="s">
        <v>215</v>
      </c>
      <c r="K3972" t="s">
        <v>55</v>
      </c>
      <c r="L3972" t="s">
        <v>1044</v>
      </c>
      <c r="M3972" t="s">
        <v>57</v>
      </c>
      <c r="N3972" t="str">
        <f>"045559"</f>
        <v>045559</v>
      </c>
      <c r="O3972" t="s">
        <v>3105</v>
      </c>
      <c r="P3972" t="s">
        <v>68</v>
      </c>
      <c r="Q3972">
        <v>40.200000000000003</v>
      </c>
      <c r="R3972">
        <v>12.5</v>
      </c>
      <c r="S3972" t="s">
        <v>217</v>
      </c>
    </row>
    <row r="3973" spans="1:19" x14ac:dyDescent="0.35">
      <c r="A3973">
        <v>125773</v>
      </c>
      <c r="B3973" t="str">
        <f>"125773"</f>
        <v>125773</v>
      </c>
      <c r="C3973" t="s">
        <v>11934</v>
      </c>
      <c r="D3973" t="s">
        <v>3394</v>
      </c>
      <c r="E3973" t="s">
        <v>3395</v>
      </c>
      <c r="F3973" t="s">
        <v>3396</v>
      </c>
      <c r="G3973" t="s">
        <v>219</v>
      </c>
      <c r="H3973" t="s">
        <v>11935</v>
      </c>
      <c r="I3973" t="s">
        <v>11936</v>
      </c>
      <c r="J3973" t="s">
        <v>1868</v>
      </c>
      <c r="K3973" t="s">
        <v>55</v>
      </c>
      <c r="L3973" t="s">
        <v>1869</v>
      </c>
      <c r="M3973" t="s">
        <v>57</v>
      </c>
      <c r="N3973" t="str">
        <f>"049650"</f>
        <v>049650</v>
      </c>
      <c r="O3973" t="s">
        <v>1865</v>
      </c>
      <c r="P3973" t="s">
        <v>68</v>
      </c>
      <c r="Q3973">
        <v>97.9</v>
      </c>
      <c r="R3973">
        <v>7.5</v>
      </c>
      <c r="S3973" t="s">
        <v>130</v>
      </c>
    </row>
    <row r="3974" spans="1:19" x14ac:dyDescent="0.35">
      <c r="A3974">
        <v>125781</v>
      </c>
      <c r="B3974" t="str">
        <f>"125781"</f>
        <v>125781</v>
      </c>
      <c r="C3974" t="s">
        <v>11937</v>
      </c>
      <c r="D3974" t="s">
        <v>3400</v>
      </c>
      <c r="E3974" t="s">
        <v>3395</v>
      </c>
      <c r="F3974" t="s">
        <v>3396</v>
      </c>
      <c r="G3974" t="s">
        <v>219</v>
      </c>
      <c r="H3974" t="s">
        <v>11938</v>
      </c>
      <c r="I3974" t="s">
        <v>11939</v>
      </c>
      <c r="J3974" t="s">
        <v>1868</v>
      </c>
      <c r="K3974" t="s">
        <v>55</v>
      </c>
      <c r="L3974" t="s">
        <v>1869</v>
      </c>
      <c r="M3974" t="s">
        <v>57</v>
      </c>
      <c r="N3974" t="str">
        <f>"049650"</f>
        <v>049650</v>
      </c>
      <c r="O3974" t="s">
        <v>1865</v>
      </c>
      <c r="P3974" t="s">
        <v>68</v>
      </c>
      <c r="Q3974">
        <v>97.5</v>
      </c>
      <c r="R3974">
        <v>9</v>
      </c>
      <c r="S3974" t="s">
        <v>130</v>
      </c>
    </row>
    <row r="3975" spans="1:19" x14ac:dyDescent="0.35">
      <c r="A3975">
        <v>125823</v>
      </c>
      <c r="B3975" t="str">
        <f>"125823"</f>
        <v>125823</v>
      </c>
      <c r="C3975" t="s">
        <v>11940</v>
      </c>
      <c r="D3975" t="s">
        <v>3394</v>
      </c>
      <c r="E3975" t="s">
        <v>3395</v>
      </c>
      <c r="F3975" t="s">
        <v>3396</v>
      </c>
      <c r="G3975" t="s">
        <v>423</v>
      </c>
      <c r="H3975" t="s">
        <v>11941</v>
      </c>
      <c r="I3975" t="s">
        <v>11942</v>
      </c>
      <c r="J3975" t="s">
        <v>426</v>
      </c>
      <c r="K3975" t="s">
        <v>55</v>
      </c>
      <c r="L3975" t="s">
        <v>427</v>
      </c>
      <c r="M3975" t="s">
        <v>57</v>
      </c>
      <c r="N3975" t="str">
        <f>"043729"</f>
        <v>043729</v>
      </c>
      <c r="O3975" t="s">
        <v>1485</v>
      </c>
      <c r="P3975" t="s">
        <v>68</v>
      </c>
      <c r="Q3975">
        <v>51.9</v>
      </c>
      <c r="R3975">
        <v>13.599999999999994</v>
      </c>
      <c r="S3975" t="s">
        <v>156</v>
      </c>
    </row>
    <row r="3976" spans="1:19" x14ac:dyDescent="0.35">
      <c r="A3976">
        <v>125955</v>
      </c>
      <c r="B3976" t="str">
        <f>"125955"</f>
        <v>125955</v>
      </c>
      <c r="C3976" t="s">
        <v>11943</v>
      </c>
      <c r="D3976" t="s">
        <v>3394</v>
      </c>
      <c r="E3976" t="s">
        <v>3395</v>
      </c>
      <c r="F3976" t="s">
        <v>3396</v>
      </c>
      <c r="G3976" t="s">
        <v>63</v>
      </c>
      <c r="H3976" t="s">
        <v>11944</v>
      </c>
      <c r="I3976" t="s">
        <v>11945</v>
      </c>
      <c r="J3976" t="s">
        <v>1834</v>
      </c>
      <c r="K3976" t="s">
        <v>55</v>
      </c>
      <c r="L3976" t="s">
        <v>7164</v>
      </c>
      <c r="M3976" t="s">
        <v>57</v>
      </c>
      <c r="N3976" t="str">
        <f>"044842"</f>
        <v>044842</v>
      </c>
      <c r="O3976" t="s">
        <v>1831</v>
      </c>
      <c r="P3976" t="s">
        <v>68</v>
      </c>
      <c r="Q3976">
        <v>12.3</v>
      </c>
      <c r="R3976">
        <v>21.400000000000006</v>
      </c>
      <c r="S3976" t="s">
        <v>69</v>
      </c>
    </row>
    <row r="3977" spans="1:19" x14ac:dyDescent="0.35">
      <c r="A3977">
        <v>125997</v>
      </c>
      <c r="B3977" t="str">
        <f>"125997"</f>
        <v>125997</v>
      </c>
      <c r="C3977" t="s">
        <v>11946</v>
      </c>
      <c r="D3977" t="s">
        <v>3398</v>
      </c>
      <c r="E3977" t="s">
        <v>9538</v>
      </c>
      <c r="F3977" t="s">
        <v>3396</v>
      </c>
      <c r="G3977" t="s">
        <v>63</v>
      </c>
      <c r="H3977" t="s">
        <v>11947</v>
      </c>
      <c r="I3977" t="s">
        <v>11948</v>
      </c>
      <c r="J3977" t="s">
        <v>2080</v>
      </c>
      <c r="K3977" t="s">
        <v>55</v>
      </c>
      <c r="L3977" t="s">
        <v>2081</v>
      </c>
      <c r="M3977" t="s">
        <v>57</v>
      </c>
      <c r="N3977" t="str">
        <f>"125997"</f>
        <v>125997</v>
      </c>
      <c r="O3977" t="s">
        <v>11946</v>
      </c>
      <c r="P3977" t="s">
        <v>68</v>
      </c>
      <c r="Q3977" t="s">
        <v>68</v>
      </c>
      <c r="R3977" t="s">
        <v>68</v>
      </c>
      <c r="S3977" t="s">
        <v>69</v>
      </c>
    </row>
    <row r="3978" spans="1:19" x14ac:dyDescent="0.35">
      <c r="A3978">
        <v>125997</v>
      </c>
      <c r="B3978" t="str">
        <f>"125997"</f>
        <v>125997</v>
      </c>
      <c r="C3978" t="s">
        <v>11946</v>
      </c>
      <c r="D3978" t="s">
        <v>9541</v>
      </c>
      <c r="E3978" t="s">
        <v>9538</v>
      </c>
      <c r="F3978" t="s">
        <v>3396</v>
      </c>
      <c r="G3978" t="s">
        <v>63</v>
      </c>
      <c r="H3978" t="s">
        <v>11947</v>
      </c>
      <c r="I3978" t="s">
        <v>11948</v>
      </c>
      <c r="J3978" t="s">
        <v>2080</v>
      </c>
      <c r="K3978" t="s">
        <v>55</v>
      </c>
      <c r="L3978" t="s">
        <v>2081</v>
      </c>
      <c r="M3978" t="s">
        <v>57</v>
      </c>
      <c r="N3978" t="str">
        <f>"125997"</f>
        <v>125997</v>
      </c>
      <c r="O3978" t="s">
        <v>11946</v>
      </c>
      <c r="P3978" t="s">
        <v>68</v>
      </c>
      <c r="Q3978" t="s">
        <v>68</v>
      </c>
      <c r="R3978" t="s">
        <v>68</v>
      </c>
      <c r="S3978" t="s">
        <v>69</v>
      </c>
    </row>
    <row r="3979" spans="1:19" x14ac:dyDescent="0.35">
      <c r="A3979">
        <v>126086</v>
      </c>
      <c r="B3979" t="str">
        <f>"126086"</f>
        <v>126086</v>
      </c>
      <c r="C3979" t="s">
        <v>11949</v>
      </c>
      <c r="D3979" t="s">
        <v>3394</v>
      </c>
      <c r="E3979" t="s">
        <v>3395</v>
      </c>
      <c r="F3979" t="s">
        <v>3396</v>
      </c>
      <c r="G3979" t="s">
        <v>264</v>
      </c>
      <c r="H3979" t="s">
        <v>11950</v>
      </c>
      <c r="I3979" t="s">
        <v>11951</v>
      </c>
      <c r="J3979" t="s">
        <v>267</v>
      </c>
      <c r="K3979" t="s">
        <v>55</v>
      </c>
      <c r="L3979" t="s">
        <v>8383</v>
      </c>
      <c r="M3979" t="s">
        <v>57</v>
      </c>
      <c r="N3979" t="str">
        <f>"043489"</f>
        <v>043489</v>
      </c>
      <c r="O3979" t="s">
        <v>3176</v>
      </c>
      <c r="P3979" t="s">
        <v>68</v>
      </c>
      <c r="Q3979" t="s">
        <v>68</v>
      </c>
      <c r="R3979" t="s">
        <v>68</v>
      </c>
      <c r="S3979" t="s">
        <v>77</v>
      </c>
    </row>
    <row r="3980" spans="1:19" x14ac:dyDescent="0.35">
      <c r="A3980">
        <v>126144</v>
      </c>
      <c r="B3980" t="str">
        <f>"126144"</f>
        <v>126144</v>
      </c>
      <c r="C3980" t="s">
        <v>11952</v>
      </c>
      <c r="D3980" t="s">
        <v>3398</v>
      </c>
      <c r="E3980" t="s">
        <v>9538</v>
      </c>
      <c r="F3980" t="s">
        <v>3396</v>
      </c>
      <c r="G3980" t="s">
        <v>110</v>
      </c>
      <c r="H3980" t="s">
        <v>11953</v>
      </c>
      <c r="I3980" t="s">
        <v>11954</v>
      </c>
      <c r="J3980" t="s">
        <v>551</v>
      </c>
      <c r="K3980" t="s">
        <v>55</v>
      </c>
      <c r="L3980" t="s">
        <v>552</v>
      </c>
      <c r="M3980" t="s">
        <v>57</v>
      </c>
      <c r="N3980" t="str">
        <f>"126144"</f>
        <v>126144</v>
      </c>
      <c r="O3980" t="s">
        <v>11952</v>
      </c>
      <c r="P3980" t="s">
        <v>68</v>
      </c>
      <c r="Q3980" t="s">
        <v>68</v>
      </c>
      <c r="R3980" t="s">
        <v>68</v>
      </c>
      <c r="S3980" t="s">
        <v>60</v>
      </c>
    </row>
    <row r="3981" spans="1:19" x14ac:dyDescent="0.35">
      <c r="A3981">
        <v>126151</v>
      </c>
      <c r="B3981" t="str">
        <f>"126151"</f>
        <v>126151</v>
      </c>
      <c r="C3981" t="s">
        <v>11955</v>
      </c>
      <c r="D3981" t="s">
        <v>3394</v>
      </c>
      <c r="E3981" t="s">
        <v>9538</v>
      </c>
      <c r="F3981" t="s">
        <v>3396</v>
      </c>
      <c r="G3981" t="s">
        <v>264</v>
      </c>
      <c r="H3981" t="s">
        <v>11956</v>
      </c>
      <c r="I3981" t="s">
        <v>11957</v>
      </c>
      <c r="J3981" t="s">
        <v>5319</v>
      </c>
      <c r="K3981" t="s">
        <v>55</v>
      </c>
      <c r="L3981" t="s">
        <v>3693</v>
      </c>
      <c r="M3981" t="s">
        <v>57</v>
      </c>
      <c r="N3981" t="str">
        <f>"126151"</f>
        <v>126151</v>
      </c>
      <c r="O3981" t="s">
        <v>11955</v>
      </c>
      <c r="P3981" t="s">
        <v>68</v>
      </c>
      <c r="Q3981" t="s">
        <v>68</v>
      </c>
      <c r="R3981" t="s">
        <v>68</v>
      </c>
      <c r="S3981" t="s">
        <v>77</v>
      </c>
    </row>
    <row r="3982" spans="1:19" x14ac:dyDescent="0.35">
      <c r="A3982">
        <v>126193</v>
      </c>
      <c r="B3982" t="str">
        <f>"126193"</f>
        <v>126193</v>
      </c>
      <c r="C3982" t="s">
        <v>11958</v>
      </c>
      <c r="D3982" t="s">
        <v>3394</v>
      </c>
      <c r="E3982" t="s">
        <v>3395</v>
      </c>
      <c r="F3982" t="s">
        <v>3396</v>
      </c>
      <c r="G3982" t="s">
        <v>172</v>
      </c>
      <c r="H3982" t="s">
        <v>11959</v>
      </c>
      <c r="I3982" t="s">
        <v>11960</v>
      </c>
      <c r="J3982" t="s">
        <v>2604</v>
      </c>
      <c r="K3982" t="s">
        <v>55</v>
      </c>
      <c r="L3982" t="s">
        <v>2605</v>
      </c>
      <c r="M3982" t="s">
        <v>57</v>
      </c>
      <c r="N3982" t="str">
        <f>"050450"</f>
        <v>050450</v>
      </c>
      <c r="O3982" t="s">
        <v>2601</v>
      </c>
      <c r="P3982" t="s">
        <v>68</v>
      </c>
      <c r="Q3982">
        <v>11.5</v>
      </c>
      <c r="R3982">
        <v>53.7</v>
      </c>
      <c r="S3982" t="s">
        <v>217</v>
      </c>
    </row>
    <row r="3983" spans="1:19" x14ac:dyDescent="0.35">
      <c r="A3983">
        <v>126359</v>
      </c>
      <c r="B3983" t="str">
        <f>"126359"</f>
        <v>126359</v>
      </c>
      <c r="C3983" t="s">
        <v>11961</v>
      </c>
      <c r="D3983" t="s">
        <v>3400</v>
      </c>
      <c r="E3983" t="s">
        <v>3395</v>
      </c>
      <c r="F3983" t="s">
        <v>3396</v>
      </c>
      <c r="G3983" t="s">
        <v>143</v>
      </c>
      <c r="H3983" t="s">
        <v>11962</v>
      </c>
      <c r="I3983" t="s">
        <v>11963</v>
      </c>
      <c r="J3983" t="s">
        <v>2986</v>
      </c>
      <c r="K3983" t="s">
        <v>55</v>
      </c>
      <c r="L3983" t="s">
        <v>2987</v>
      </c>
      <c r="M3983" t="s">
        <v>57</v>
      </c>
      <c r="N3983" t="str">
        <f>"048116"</f>
        <v>048116</v>
      </c>
      <c r="O3983" t="s">
        <v>2983</v>
      </c>
      <c r="P3983" t="s">
        <v>68</v>
      </c>
      <c r="Q3983">
        <v>11.4</v>
      </c>
      <c r="R3983">
        <v>20.099999999999994</v>
      </c>
      <c r="S3983" t="s">
        <v>69</v>
      </c>
    </row>
    <row r="3984" spans="1:19" x14ac:dyDescent="0.35">
      <c r="A3984">
        <v>126417</v>
      </c>
      <c r="B3984" t="str">
        <f>"126417"</f>
        <v>126417</v>
      </c>
      <c r="C3984" t="s">
        <v>11964</v>
      </c>
      <c r="D3984" t="s">
        <v>3394</v>
      </c>
      <c r="E3984" t="s">
        <v>9538</v>
      </c>
      <c r="F3984" t="s">
        <v>3396</v>
      </c>
      <c r="G3984" t="s">
        <v>600</v>
      </c>
      <c r="H3984" t="s">
        <v>11965</v>
      </c>
      <c r="I3984" t="s">
        <v>11966</v>
      </c>
      <c r="J3984" t="s">
        <v>3622</v>
      </c>
      <c r="K3984" t="s">
        <v>55</v>
      </c>
      <c r="L3984" t="s">
        <v>3623</v>
      </c>
      <c r="M3984" t="s">
        <v>57</v>
      </c>
      <c r="N3984" t="str">
        <f>"126417"</f>
        <v>126417</v>
      </c>
      <c r="O3984" t="s">
        <v>11964</v>
      </c>
      <c r="P3984" t="s">
        <v>68</v>
      </c>
      <c r="Q3984" t="s">
        <v>68</v>
      </c>
      <c r="R3984" t="s">
        <v>68</v>
      </c>
      <c r="S3984" t="s">
        <v>60</v>
      </c>
    </row>
    <row r="3985" spans="1:19" x14ac:dyDescent="0.35">
      <c r="A3985">
        <v>126599</v>
      </c>
      <c r="B3985" t="str">
        <f>"126599"</f>
        <v>126599</v>
      </c>
      <c r="C3985" t="s">
        <v>11967</v>
      </c>
      <c r="D3985" t="s">
        <v>3394</v>
      </c>
      <c r="E3985" t="s">
        <v>9538</v>
      </c>
      <c r="F3985" t="s">
        <v>3396</v>
      </c>
      <c r="G3985" t="s">
        <v>264</v>
      </c>
      <c r="H3985" t="s">
        <v>11968</v>
      </c>
      <c r="I3985" t="s">
        <v>11969</v>
      </c>
      <c r="J3985" t="s">
        <v>800</v>
      </c>
      <c r="K3985" t="s">
        <v>55</v>
      </c>
      <c r="L3985" t="s">
        <v>801</v>
      </c>
      <c r="M3985" t="s">
        <v>57</v>
      </c>
      <c r="N3985" t="str">
        <f>"052522"</f>
        <v>052522</v>
      </c>
      <c r="O3985" t="s">
        <v>605</v>
      </c>
      <c r="P3985" t="s">
        <v>68</v>
      </c>
      <c r="Q3985" t="s">
        <v>68</v>
      </c>
      <c r="R3985" t="s">
        <v>68</v>
      </c>
      <c r="S3985" t="s">
        <v>77</v>
      </c>
    </row>
    <row r="3986" spans="1:19" x14ac:dyDescent="0.35">
      <c r="A3986">
        <v>126615</v>
      </c>
      <c r="B3986" t="str">
        <f>"126615"</f>
        <v>126615</v>
      </c>
      <c r="C3986" t="s">
        <v>11970</v>
      </c>
      <c r="D3986" t="s">
        <v>3394</v>
      </c>
      <c r="E3986" t="s">
        <v>9538</v>
      </c>
      <c r="F3986" t="s">
        <v>3396</v>
      </c>
      <c r="G3986" t="s">
        <v>212</v>
      </c>
      <c r="H3986" t="s">
        <v>11971</v>
      </c>
      <c r="I3986" t="s">
        <v>11972</v>
      </c>
      <c r="J3986" t="s">
        <v>11973</v>
      </c>
      <c r="K3986" t="s">
        <v>55</v>
      </c>
      <c r="L3986" t="s">
        <v>7316</v>
      </c>
      <c r="M3986" t="s">
        <v>57</v>
      </c>
      <c r="N3986" t="str">
        <f>"126615"</f>
        <v>126615</v>
      </c>
      <c r="O3986" t="s">
        <v>11970</v>
      </c>
      <c r="P3986" t="s">
        <v>68</v>
      </c>
      <c r="Q3986" t="s">
        <v>68</v>
      </c>
      <c r="R3986" t="s">
        <v>68</v>
      </c>
      <c r="S3986" t="s">
        <v>217</v>
      </c>
    </row>
    <row r="3987" spans="1:19" x14ac:dyDescent="0.35">
      <c r="A3987">
        <v>127639</v>
      </c>
      <c r="B3987" t="str">
        <f>"127639"</f>
        <v>127639</v>
      </c>
      <c r="C3987" t="s">
        <v>11974</v>
      </c>
      <c r="D3987" t="s">
        <v>3400</v>
      </c>
      <c r="E3987" t="s">
        <v>3395</v>
      </c>
      <c r="F3987" t="s">
        <v>3396</v>
      </c>
      <c r="G3987" t="s">
        <v>1193</v>
      </c>
      <c r="H3987" t="s">
        <v>11975</v>
      </c>
      <c r="I3987" t="s">
        <v>11976</v>
      </c>
      <c r="J3987" t="s">
        <v>2015</v>
      </c>
      <c r="K3987" t="s">
        <v>55</v>
      </c>
      <c r="L3987" t="s">
        <v>2016</v>
      </c>
      <c r="M3987" t="s">
        <v>57</v>
      </c>
      <c r="N3987" t="str">
        <f>"045211"</f>
        <v>045211</v>
      </c>
      <c r="O3987" t="s">
        <v>2012</v>
      </c>
      <c r="P3987" t="s">
        <v>68</v>
      </c>
      <c r="Q3987">
        <v>16.5</v>
      </c>
      <c r="R3987">
        <v>8.7999999999999972</v>
      </c>
      <c r="S3987" t="s">
        <v>156</v>
      </c>
    </row>
    <row r="3988" spans="1:19" x14ac:dyDescent="0.35">
      <c r="A3988">
        <v>130344</v>
      </c>
      <c r="B3988" t="str">
        <f>"130344"</f>
        <v>130344</v>
      </c>
      <c r="C3988" t="s">
        <v>11977</v>
      </c>
      <c r="D3988" t="s">
        <v>3394</v>
      </c>
      <c r="E3988" t="s">
        <v>3395</v>
      </c>
      <c r="F3988" t="s">
        <v>3396</v>
      </c>
      <c r="G3988" t="s">
        <v>226</v>
      </c>
      <c r="H3988" t="s">
        <v>4530</v>
      </c>
      <c r="I3988" t="s">
        <v>4531</v>
      </c>
      <c r="J3988" t="s">
        <v>810</v>
      </c>
      <c r="K3988" t="s">
        <v>55</v>
      </c>
      <c r="L3988" t="s">
        <v>811</v>
      </c>
      <c r="M3988" t="s">
        <v>57</v>
      </c>
      <c r="N3988" t="str">
        <f>"043638"</f>
        <v>043638</v>
      </c>
      <c r="O3988" t="s">
        <v>2594</v>
      </c>
      <c r="P3988" t="s">
        <v>68</v>
      </c>
      <c r="Q3988" t="s">
        <v>68</v>
      </c>
      <c r="R3988" t="s">
        <v>68</v>
      </c>
      <c r="S3988" t="s">
        <v>156</v>
      </c>
    </row>
    <row r="3989" spans="1:19" x14ac:dyDescent="0.35">
      <c r="A3989">
        <v>132225</v>
      </c>
      <c r="B3989" t="str">
        <f>"132225"</f>
        <v>132225</v>
      </c>
      <c r="C3989" t="s">
        <v>11978</v>
      </c>
      <c r="D3989" t="s">
        <v>3394</v>
      </c>
      <c r="E3989" t="s">
        <v>3395</v>
      </c>
      <c r="F3989" t="s">
        <v>3396</v>
      </c>
      <c r="G3989" t="s">
        <v>52</v>
      </c>
      <c r="H3989" t="s">
        <v>11979</v>
      </c>
      <c r="I3989" t="s">
        <v>11980</v>
      </c>
      <c r="J3989" t="s">
        <v>11302</v>
      </c>
      <c r="K3989" t="s">
        <v>55</v>
      </c>
      <c r="L3989" t="s">
        <v>11303</v>
      </c>
      <c r="M3989" t="s">
        <v>57</v>
      </c>
      <c r="N3989" t="str">
        <f>"046763"</f>
        <v>046763</v>
      </c>
      <c r="O3989" t="s">
        <v>2667</v>
      </c>
      <c r="P3989" t="s">
        <v>68</v>
      </c>
      <c r="Q3989">
        <v>5.8</v>
      </c>
      <c r="R3989">
        <v>31.299999999999997</v>
      </c>
      <c r="S3989" t="s">
        <v>60</v>
      </c>
    </row>
    <row r="3990" spans="1:19" x14ac:dyDescent="0.35">
      <c r="A3990">
        <v>132233</v>
      </c>
      <c r="B3990" t="str">
        <f>"132233"</f>
        <v>132233</v>
      </c>
      <c r="C3990" t="s">
        <v>11981</v>
      </c>
      <c r="D3990" t="s">
        <v>3394</v>
      </c>
      <c r="E3990" t="s">
        <v>3395</v>
      </c>
      <c r="F3990" t="s">
        <v>3396</v>
      </c>
      <c r="G3990" t="s">
        <v>52</v>
      </c>
      <c r="H3990" t="s">
        <v>11982</v>
      </c>
      <c r="I3990" t="s">
        <v>11983</v>
      </c>
      <c r="J3990" t="s">
        <v>2670</v>
      </c>
      <c r="K3990" t="s">
        <v>55</v>
      </c>
      <c r="L3990" t="s">
        <v>2671</v>
      </c>
      <c r="M3990" t="s">
        <v>57</v>
      </c>
      <c r="N3990" t="str">
        <f>"046763"</f>
        <v>046763</v>
      </c>
      <c r="O3990" t="s">
        <v>2667</v>
      </c>
      <c r="P3990" t="s">
        <v>68</v>
      </c>
      <c r="Q3990">
        <v>12.4</v>
      </c>
      <c r="R3990">
        <v>38.5</v>
      </c>
      <c r="S3990" t="s">
        <v>60</v>
      </c>
    </row>
    <row r="3991" spans="1:19" x14ac:dyDescent="0.35">
      <c r="A3991">
        <v>132258</v>
      </c>
      <c r="B3991" t="str">
        <f>"132258"</f>
        <v>132258</v>
      </c>
      <c r="C3991" t="s">
        <v>11984</v>
      </c>
      <c r="D3991" t="s">
        <v>3400</v>
      </c>
      <c r="E3991" t="s">
        <v>3395</v>
      </c>
      <c r="F3991" t="s">
        <v>3396</v>
      </c>
      <c r="G3991" t="s">
        <v>233</v>
      </c>
      <c r="H3991" t="s">
        <v>11985</v>
      </c>
      <c r="I3991" t="s">
        <v>11986</v>
      </c>
      <c r="J3991" t="s">
        <v>233</v>
      </c>
      <c r="K3991" t="s">
        <v>55</v>
      </c>
      <c r="L3991" t="s">
        <v>1169</v>
      </c>
      <c r="M3991" t="s">
        <v>57</v>
      </c>
      <c r="N3991" t="str">
        <f>"046011"</f>
        <v>046011</v>
      </c>
      <c r="O3991" t="s">
        <v>1166</v>
      </c>
      <c r="P3991" t="s">
        <v>68</v>
      </c>
      <c r="Q3991">
        <v>33.5</v>
      </c>
      <c r="R3991">
        <v>5</v>
      </c>
      <c r="S3991" t="s">
        <v>130</v>
      </c>
    </row>
    <row r="3992" spans="1:19" x14ac:dyDescent="0.35">
      <c r="A3992">
        <v>132266</v>
      </c>
      <c r="B3992" t="str">
        <f>"132266"</f>
        <v>132266</v>
      </c>
      <c r="C3992" t="s">
        <v>11987</v>
      </c>
      <c r="D3992" t="s">
        <v>3394</v>
      </c>
      <c r="E3992" t="s">
        <v>3395</v>
      </c>
      <c r="F3992" t="s">
        <v>3396</v>
      </c>
      <c r="G3992" t="s">
        <v>233</v>
      </c>
      <c r="H3992" t="s">
        <v>11988</v>
      </c>
      <c r="I3992" t="s">
        <v>11989</v>
      </c>
      <c r="J3992" t="s">
        <v>233</v>
      </c>
      <c r="K3992" t="s">
        <v>55</v>
      </c>
      <c r="L3992" t="s">
        <v>1169</v>
      </c>
      <c r="M3992" t="s">
        <v>57</v>
      </c>
      <c r="N3992" t="str">
        <f>"046011"</f>
        <v>046011</v>
      </c>
      <c r="O3992" t="s">
        <v>1166</v>
      </c>
      <c r="P3992" t="s">
        <v>68</v>
      </c>
      <c r="Q3992">
        <v>44.6</v>
      </c>
      <c r="R3992">
        <v>5.2000000000000028</v>
      </c>
      <c r="S3992" t="s">
        <v>130</v>
      </c>
    </row>
    <row r="3993" spans="1:19" x14ac:dyDescent="0.35">
      <c r="A3993">
        <v>132282</v>
      </c>
      <c r="B3993" t="str">
        <f>"132282"</f>
        <v>132282</v>
      </c>
      <c r="C3993" t="s">
        <v>11990</v>
      </c>
      <c r="D3993" t="s">
        <v>3394</v>
      </c>
      <c r="E3993" t="s">
        <v>9538</v>
      </c>
      <c r="F3993" t="s">
        <v>3396</v>
      </c>
      <c r="G3993" t="s">
        <v>172</v>
      </c>
      <c r="H3993" t="s">
        <v>11991</v>
      </c>
      <c r="I3993" t="s">
        <v>11992</v>
      </c>
      <c r="J3993" t="s">
        <v>2604</v>
      </c>
      <c r="K3993" t="s">
        <v>55</v>
      </c>
      <c r="L3993" t="s">
        <v>2605</v>
      </c>
      <c r="M3993" t="s">
        <v>57</v>
      </c>
      <c r="N3993" t="str">
        <f>"132282"</f>
        <v>132282</v>
      </c>
      <c r="O3993" t="s">
        <v>11990</v>
      </c>
      <c r="P3993" t="s">
        <v>68</v>
      </c>
      <c r="Q3993" t="s">
        <v>68</v>
      </c>
      <c r="R3993" t="s">
        <v>68</v>
      </c>
      <c r="S3993" t="s">
        <v>217</v>
      </c>
    </row>
    <row r="3994" spans="1:19" x14ac:dyDescent="0.35">
      <c r="A3994">
        <v>132282</v>
      </c>
      <c r="B3994" t="str">
        <f>"132282"</f>
        <v>132282</v>
      </c>
      <c r="C3994" t="s">
        <v>11990</v>
      </c>
      <c r="D3994" t="s">
        <v>9541</v>
      </c>
      <c r="E3994" t="s">
        <v>9538</v>
      </c>
      <c r="F3994" t="s">
        <v>3396</v>
      </c>
      <c r="G3994" t="s">
        <v>172</v>
      </c>
      <c r="H3994" t="s">
        <v>11991</v>
      </c>
      <c r="I3994" t="s">
        <v>11992</v>
      </c>
      <c r="J3994" t="s">
        <v>2604</v>
      </c>
      <c r="K3994" t="s">
        <v>55</v>
      </c>
      <c r="L3994" t="s">
        <v>2605</v>
      </c>
      <c r="M3994" t="s">
        <v>57</v>
      </c>
      <c r="N3994" t="str">
        <f>"132282"</f>
        <v>132282</v>
      </c>
      <c r="O3994" t="s">
        <v>11990</v>
      </c>
      <c r="P3994" t="s">
        <v>68</v>
      </c>
      <c r="Q3994" t="s">
        <v>68</v>
      </c>
      <c r="R3994" t="s">
        <v>68</v>
      </c>
      <c r="S3994" t="s">
        <v>217</v>
      </c>
    </row>
    <row r="3995" spans="1:19" x14ac:dyDescent="0.35">
      <c r="A3995">
        <v>132316</v>
      </c>
      <c r="B3995" t="str">
        <f>"132316"</f>
        <v>132316</v>
      </c>
      <c r="C3995" t="s">
        <v>11993</v>
      </c>
      <c r="D3995" t="s">
        <v>3394</v>
      </c>
      <c r="E3995" t="s">
        <v>9538</v>
      </c>
      <c r="F3995" t="s">
        <v>3396</v>
      </c>
      <c r="G3995" t="s">
        <v>600</v>
      </c>
      <c r="H3995" t="s">
        <v>11994</v>
      </c>
      <c r="I3995" t="s">
        <v>11995</v>
      </c>
      <c r="J3995" t="s">
        <v>2339</v>
      </c>
      <c r="K3995" t="s">
        <v>55</v>
      </c>
      <c r="L3995" t="s">
        <v>2340</v>
      </c>
      <c r="M3995" t="s">
        <v>57</v>
      </c>
      <c r="N3995" t="str">
        <f>"000136"</f>
        <v>000136</v>
      </c>
      <c r="O3995" t="s">
        <v>2853</v>
      </c>
      <c r="P3995" t="s">
        <v>68</v>
      </c>
      <c r="Q3995" t="s">
        <v>68</v>
      </c>
      <c r="R3995" t="s">
        <v>68</v>
      </c>
      <c r="S3995" t="s">
        <v>60</v>
      </c>
    </row>
    <row r="3996" spans="1:19" x14ac:dyDescent="0.35">
      <c r="A3996">
        <v>132340</v>
      </c>
      <c r="B3996" t="str">
        <f>"132340"</f>
        <v>132340</v>
      </c>
      <c r="C3996" t="s">
        <v>11996</v>
      </c>
      <c r="D3996" t="s">
        <v>3394</v>
      </c>
      <c r="E3996" t="s">
        <v>9538</v>
      </c>
      <c r="F3996" t="s">
        <v>3396</v>
      </c>
      <c r="G3996" t="s">
        <v>600</v>
      </c>
      <c r="H3996" t="s">
        <v>11997</v>
      </c>
      <c r="I3996" t="s">
        <v>11998</v>
      </c>
      <c r="J3996" t="s">
        <v>1348</v>
      </c>
      <c r="K3996" t="s">
        <v>55</v>
      </c>
      <c r="L3996" t="s">
        <v>2537</v>
      </c>
      <c r="M3996" t="s">
        <v>57</v>
      </c>
      <c r="N3996" t="str">
        <f>"132340"</f>
        <v>132340</v>
      </c>
      <c r="O3996" t="s">
        <v>11996</v>
      </c>
      <c r="P3996" t="s">
        <v>68</v>
      </c>
      <c r="Q3996" t="s">
        <v>68</v>
      </c>
      <c r="R3996" t="s">
        <v>68</v>
      </c>
      <c r="S3996" t="s">
        <v>60</v>
      </c>
    </row>
    <row r="3997" spans="1:19" x14ac:dyDescent="0.35">
      <c r="A3997">
        <v>132340</v>
      </c>
      <c r="B3997" t="str">
        <f>"132340"</f>
        <v>132340</v>
      </c>
      <c r="C3997" t="s">
        <v>11996</v>
      </c>
      <c r="D3997" t="s">
        <v>9541</v>
      </c>
      <c r="E3997" t="s">
        <v>9538</v>
      </c>
      <c r="F3997" t="s">
        <v>3396</v>
      </c>
      <c r="G3997" t="s">
        <v>600</v>
      </c>
      <c r="H3997" t="s">
        <v>11997</v>
      </c>
      <c r="I3997" t="s">
        <v>11998</v>
      </c>
      <c r="J3997" t="s">
        <v>1348</v>
      </c>
      <c r="K3997" t="s">
        <v>55</v>
      </c>
      <c r="L3997" t="s">
        <v>2537</v>
      </c>
      <c r="M3997" t="s">
        <v>57</v>
      </c>
      <c r="N3997" t="str">
        <f>"132340"</f>
        <v>132340</v>
      </c>
      <c r="O3997" t="s">
        <v>11996</v>
      </c>
      <c r="P3997" t="s">
        <v>68</v>
      </c>
      <c r="Q3997" t="s">
        <v>68</v>
      </c>
      <c r="R3997" t="s">
        <v>68</v>
      </c>
      <c r="S3997" t="s">
        <v>60</v>
      </c>
    </row>
    <row r="3998" spans="1:19" x14ac:dyDescent="0.35">
      <c r="A3998">
        <v>132365</v>
      </c>
      <c r="B3998" t="str">
        <f>"132365"</f>
        <v>132365</v>
      </c>
      <c r="C3998" t="s">
        <v>11999</v>
      </c>
      <c r="D3998" t="s">
        <v>3394</v>
      </c>
      <c r="E3998" t="s">
        <v>9538</v>
      </c>
      <c r="F3998" t="s">
        <v>3396</v>
      </c>
      <c r="G3998" t="s">
        <v>406</v>
      </c>
      <c r="H3998" t="s">
        <v>12000</v>
      </c>
      <c r="I3998" t="s">
        <v>12001</v>
      </c>
      <c r="J3998" t="s">
        <v>406</v>
      </c>
      <c r="K3998" t="s">
        <v>55</v>
      </c>
      <c r="L3998" t="s">
        <v>409</v>
      </c>
      <c r="M3998" t="s">
        <v>57</v>
      </c>
      <c r="N3998" t="str">
        <f>"132365"</f>
        <v>132365</v>
      </c>
      <c r="O3998" t="s">
        <v>11999</v>
      </c>
      <c r="P3998" t="s">
        <v>68</v>
      </c>
      <c r="Q3998" t="s">
        <v>68</v>
      </c>
      <c r="R3998" t="s">
        <v>68</v>
      </c>
      <c r="S3998" t="s">
        <v>77</v>
      </c>
    </row>
    <row r="3999" spans="1:19" x14ac:dyDescent="0.35">
      <c r="A3999">
        <v>132365</v>
      </c>
      <c r="B3999" t="str">
        <f>"132365"</f>
        <v>132365</v>
      </c>
      <c r="C3999" t="s">
        <v>11999</v>
      </c>
      <c r="D3999" t="s">
        <v>9541</v>
      </c>
      <c r="E3999" t="s">
        <v>9538</v>
      </c>
      <c r="F3999" t="s">
        <v>3396</v>
      </c>
      <c r="G3999" t="s">
        <v>406</v>
      </c>
      <c r="H3999" t="s">
        <v>12000</v>
      </c>
      <c r="I3999" t="s">
        <v>12001</v>
      </c>
      <c r="J3999" t="s">
        <v>406</v>
      </c>
      <c r="K3999" t="s">
        <v>55</v>
      </c>
      <c r="L3999" t="s">
        <v>409</v>
      </c>
      <c r="M3999" t="s">
        <v>57</v>
      </c>
      <c r="N3999" t="str">
        <f>"132365"</f>
        <v>132365</v>
      </c>
      <c r="O3999" t="s">
        <v>11999</v>
      </c>
      <c r="P3999" t="s">
        <v>68</v>
      </c>
      <c r="Q3999" t="s">
        <v>68</v>
      </c>
      <c r="R3999" t="s">
        <v>68</v>
      </c>
      <c r="S3999" t="s">
        <v>77</v>
      </c>
    </row>
    <row r="4000" spans="1:19" x14ac:dyDescent="0.35">
      <c r="A4000">
        <v>132373</v>
      </c>
      <c r="B4000" t="str">
        <f>"132373"</f>
        <v>132373</v>
      </c>
      <c r="C4000" t="s">
        <v>12002</v>
      </c>
      <c r="D4000" t="s">
        <v>3394</v>
      </c>
      <c r="E4000" t="s">
        <v>9538</v>
      </c>
      <c r="F4000" t="s">
        <v>3396</v>
      </c>
      <c r="G4000" t="s">
        <v>600</v>
      </c>
      <c r="H4000" t="s">
        <v>12003</v>
      </c>
      <c r="I4000" t="s">
        <v>12004</v>
      </c>
      <c r="J4000" t="s">
        <v>1956</v>
      </c>
      <c r="K4000" t="s">
        <v>55</v>
      </c>
      <c r="L4000" t="s">
        <v>1957</v>
      </c>
      <c r="M4000" t="s">
        <v>57</v>
      </c>
      <c r="N4000" t="str">
        <f>"000129"</f>
        <v>000129</v>
      </c>
      <c r="O4000" t="s">
        <v>1284</v>
      </c>
      <c r="P4000" t="s">
        <v>68</v>
      </c>
      <c r="Q4000" t="s">
        <v>68</v>
      </c>
      <c r="R4000" t="s">
        <v>68</v>
      </c>
      <c r="S4000" t="s">
        <v>60</v>
      </c>
    </row>
    <row r="4001" spans="1:19" x14ac:dyDescent="0.35">
      <c r="A4001">
        <v>132456</v>
      </c>
      <c r="B4001" t="str">
        <f>"132456"</f>
        <v>132456</v>
      </c>
      <c r="C4001" t="s">
        <v>12005</v>
      </c>
      <c r="D4001" t="s">
        <v>3394</v>
      </c>
      <c r="E4001" t="s">
        <v>9538</v>
      </c>
      <c r="F4001" t="s">
        <v>3396</v>
      </c>
      <c r="G4001" t="s">
        <v>63</v>
      </c>
      <c r="H4001" t="s">
        <v>12006</v>
      </c>
      <c r="I4001" t="s">
        <v>12007</v>
      </c>
      <c r="J4001" t="s">
        <v>101</v>
      </c>
      <c r="K4001" t="s">
        <v>55</v>
      </c>
      <c r="L4001" t="s">
        <v>3032</v>
      </c>
      <c r="M4001" t="s">
        <v>57</v>
      </c>
      <c r="N4001" t="str">
        <f>"132456"</f>
        <v>132456</v>
      </c>
      <c r="O4001" t="s">
        <v>12005</v>
      </c>
      <c r="P4001" t="s">
        <v>68</v>
      </c>
      <c r="Q4001" t="s">
        <v>68</v>
      </c>
      <c r="R4001" t="s">
        <v>68</v>
      </c>
      <c r="S4001" t="s">
        <v>69</v>
      </c>
    </row>
    <row r="4002" spans="1:19" x14ac:dyDescent="0.35">
      <c r="A4002">
        <v>132456</v>
      </c>
      <c r="B4002" t="str">
        <f>"132456"</f>
        <v>132456</v>
      </c>
      <c r="C4002" t="s">
        <v>12005</v>
      </c>
      <c r="D4002" t="s">
        <v>9541</v>
      </c>
      <c r="E4002" t="s">
        <v>9538</v>
      </c>
      <c r="F4002" t="s">
        <v>3396</v>
      </c>
      <c r="G4002" t="s">
        <v>63</v>
      </c>
      <c r="H4002" t="s">
        <v>12006</v>
      </c>
      <c r="I4002" t="s">
        <v>12007</v>
      </c>
      <c r="J4002" t="s">
        <v>101</v>
      </c>
      <c r="K4002" t="s">
        <v>55</v>
      </c>
      <c r="L4002" t="s">
        <v>3032</v>
      </c>
      <c r="M4002" t="s">
        <v>57</v>
      </c>
      <c r="N4002" t="str">
        <f>"132456"</f>
        <v>132456</v>
      </c>
      <c r="O4002" t="s">
        <v>12005</v>
      </c>
      <c r="P4002" t="s">
        <v>68</v>
      </c>
      <c r="Q4002" t="s">
        <v>68</v>
      </c>
      <c r="R4002" t="s">
        <v>68</v>
      </c>
      <c r="S4002" t="s">
        <v>69</v>
      </c>
    </row>
    <row r="4003" spans="1:19" x14ac:dyDescent="0.35">
      <c r="A4003">
        <v>132498</v>
      </c>
      <c r="B4003" t="str">
        <f>"132498"</f>
        <v>132498</v>
      </c>
      <c r="C4003" t="s">
        <v>12008</v>
      </c>
      <c r="D4003" t="s">
        <v>3394</v>
      </c>
      <c r="E4003" t="s">
        <v>9538</v>
      </c>
      <c r="F4003" t="s">
        <v>3396</v>
      </c>
      <c r="G4003" t="s">
        <v>600</v>
      </c>
      <c r="H4003" t="s">
        <v>12009</v>
      </c>
      <c r="I4003" t="s">
        <v>12010</v>
      </c>
      <c r="J4003" t="s">
        <v>2536</v>
      </c>
      <c r="K4003" t="s">
        <v>55</v>
      </c>
      <c r="L4003" t="s">
        <v>2537</v>
      </c>
      <c r="M4003" t="s">
        <v>57</v>
      </c>
      <c r="N4003" t="str">
        <f>"132498"</f>
        <v>132498</v>
      </c>
      <c r="O4003" t="s">
        <v>12008</v>
      </c>
      <c r="P4003" t="s">
        <v>68</v>
      </c>
      <c r="Q4003" t="s">
        <v>68</v>
      </c>
      <c r="R4003" t="s">
        <v>68</v>
      </c>
      <c r="S4003" t="s">
        <v>60</v>
      </c>
    </row>
    <row r="4004" spans="1:19" x14ac:dyDescent="0.35">
      <c r="A4004">
        <v>132506</v>
      </c>
      <c r="B4004" t="str">
        <f>"132506"</f>
        <v>132506</v>
      </c>
      <c r="C4004" t="s">
        <v>12011</v>
      </c>
      <c r="D4004" t="s">
        <v>3398</v>
      </c>
      <c r="E4004" t="s">
        <v>9538</v>
      </c>
      <c r="F4004" t="s">
        <v>3396</v>
      </c>
      <c r="G4004" t="s">
        <v>212</v>
      </c>
      <c r="H4004" t="s">
        <v>12012</v>
      </c>
      <c r="I4004" t="s">
        <v>12013</v>
      </c>
      <c r="J4004" t="s">
        <v>215</v>
      </c>
      <c r="K4004" t="s">
        <v>55</v>
      </c>
      <c r="L4004" t="s">
        <v>954</v>
      </c>
      <c r="M4004" t="s">
        <v>57</v>
      </c>
      <c r="N4004" t="str">
        <f>"132506"</f>
        <v>132506</v>
      </c>
      <c r="O4004" t="s">
        <v>12011</v>
      </c>
      <c r="P4004" t="s">
        <v>68</v>
      </c>
      <c r="Q4004" t="s">
        <v>68</v>
      </c>
      <c r="R4004" t="s">
        <v>68</v>
      </c>
      <c r="S4004" t="s">
        <v>217</v>
      </c>
    </row>
    <row r="4005" spans="1:19" x14ac:dyDescent="0.35">
      <c r="A4005">
        <v>132506</v>
      </c>
      <c r="B4005" t="str">
        <f>"132506"</f>
        <v>132506</v>
      </c>
      <c r="C4005" t="s">
        <v>12011</v>
      </c>
      <c r="D4005" t="s">
        <v>9541</v>
      </c>
      <c r="E4005" t="s">
        <v>9538</v>
      </c>
      <c r="F4005" t="s">
        <v>3396</v>
      </c>
      <c r="G4005" t="s">
        <v>212</v>
      </c>
      <c r="H4005" t="s">
        <v>12012</v>
      </c>
      <c r="I4005" t="s">
        <v>12013</v>
      </c>
      <c r="J4005" t="s">
        <v>215</v>
      </c>
      <c r="K4005" t="s">
        <v>55</v>
      </c>
      <c r="L4005" t="s">
        <v>954</v>
      </c>
      <c r="M4005" t="s">
        <v>57</v>
      </c>
      <c r="N4005" t="str">
        <f>"132506"</f>
        <v>132506</v>
      </c>
      <c r="O4005" t="s">
        <v>12011</v>
      </c>
      <c r="P4005" t="s">
        <v>68</v>
      </c>
      <c r="Q4005" t="s">
        <v>68</v>
      </c>
      <c r="R4005" t="s">
        <v>68</v>
      </c>
      <c r="S4005" t="s">
        <v>217</v>
      </c>
    </row>
    <row r="4006" spans="1:19" x14ac:dyDescent="0.35">
      <c r="A4006">
        <v>132530</v>
      </c>
      <c r="B4006" t="str">
        <f>"132530"</f>
        <v>132530</v>
      </c>
      <c r="C4006" t="s">
        <v>12014</v>
      </c>
      <c r="D4006" t="s">
        <v>3398</v>
      </c>
      <c r="E4006" t="s">
        <v>9538</v>
      </c>
      <c r="F4006" t="s">
        <v>3396</v>
      </c>
      <c r="G4006" t="s">
        <v>200</v>
      </c>
      <c r="H4006" t="s">
        <v>12015</v>
      </c>
      <c r="I4006" t="s">
        <v>12016</v>
      </c>
      <c r="J4006" t="s">
        <v>304</v>
      </c>
      <c r="K4006" t="s">
        <v>55</v>
      </c>
      <c r="L4006" t="s">
        <v>6788</v>
      </c>
      <c r="M4006" t="s">
        <v>57</v>
      </c>
      <c r="N4006" t="str">
        <f>"000129"</f>
        <v>000129</v>
      </c>
      <c r="O4006" t="s">
        <v>1284</v>
      </c>
      <c r="P4006" t="s">
        <v>68</v>
      </c>
      <c r="Q4006" t="s">
        <v>68</v>
      </c>
      <c r="R4006" t="s">
        <v>68</v>
      </c>
      <c r="S4006" t="s">
        <v>156</v>
      </c>
    </row>
    <row r="4007" spans="1:19" x14ac:dyDescent="0.35">
      <c r="A4007">
        <v>132571</v>
      </c>
      <c r="B4007" t="str">
        <f>"132571"</f>
        <v>132571</v>
      </c>
      <c r="C4007" t="s">
        <v>12017</v>
      </c>
      <c r="D4007" t="s">
        <v>3394</v>
      </c>
      <c r="E4007" t="s">
        <v>9538</v>
      </c>
      <c r="F4007" t="s">
        <v>3396</v>
      </c>
      <c r="G4007" t="s">
        <v>212</v>
      </c>
      <c r="H4007" t="s">
        <v>12018</v>
      </c>
      <c r="I4007" t="s">
        <v>12019</v>
      </c>
      <c r="J4007" t="s">
        <v>215</v>
      </c>
      <c r="K4007" t="s">
        <v>55</v>
      </c>
      <c r="L4007" t="s">
        <v>2419</v>
      </c>
      <c r="M4007" t="s">
        <v>57</v>
      </c>
      <c r="N4007" t="str">
        <f>"132571"</f>
        <v>132571</v>
      </c>
      <c r="O4007" t="s">
        <v>12017</v>
      </c>
      <c r="P4007" t="s">
        <v>68</v>
      </c>
      <c r="Q4007" t="s">
        <v>68</v>
      </c>
      <c r="R4007" t="s">
        <v>68</v>
      </c>
      <c r="S4007" t="s">
        <v>217</v>
      </c>
    </row>
    <row r="4008" spans="1:19" x14ac:dyDescent="0.35">
      <c r="A4008">
        <v>132597</v>
      </c>
      <c r="B4008" t="str">
        <f>"132597"</f>
        <v>132597</v>
      </c>
      <c r="C4008" t="s">
        <v>12020</v>
      </c>
      <c r="D4008" t="s">
        <v>3394</v>
      </c>
      <c r="E4008" t="s">
        <v>9538</v>
      </c>
      <c r="F4008" t="s">
        <v>3396</v>
      </c>
      <c r="G4008" t="s">
        <v>212</v>
      </c>
      <c r="H4008" t="s">
        <v>12021</v>
      </c>
      <c r="I4008" t="s">
        <v>12022</v>
      </c>
      <c r="J4008" t="s">
        <v>215</v>
      </c>
      <c r="K4008" t="s">
        <v>55</v>
      </c>
      <c r="L4008" t="s">
        <v>4346</v>
      </c>
      <c r="M4008" t="s">
        <v>57</v>
      </c>
      <c r="N4008" t="str">
        <f>"132597"</f>
        <v>132597</v>
      </c>
      <c r="O4008" t="s">
        <v>12020</v>
      </c>
      <c r="P4008" t="s">
        <v>68</v>
      </c>
      <c r="Q4008" t="s">
        <v>68</v>
      </c>
      <c r="R4008" t="s">
        <v>68</v>
      </c>
      <c r="S4008" t="s">
        <v>217</v>
      </c>
    </row>
    <row r="4009" spans="1:19" x14ac:dyDescent="0.35">
      <c r="A4009">
        <v>132597</v>
      </c>
      <c r="B4009" t="str">
        <f>"132597"</f>
        <v>132597</v>
      </c>
      <c r="C4009" t="s">
        <v>12020</v>
      </c>
      <c r="D4009" t="s">
        <v>9541</v>
      </c>
      <c r="E4009" t="s">
        <v>9538</v>
      </c>
      <c r="F4009" t="s">
        <v>3396</v>
      </c>
      <c r="G4009" t="s">
        <v>212</v>
      </c>
      <c r="H4009" t="s">
        <v>12021</v>
      </c>
      <c r="I4009" t="s">
        <v>12022</v>
      </c>
      <c r="J4009" t="s">
        <v>215</v>
      </c>
      <c r="K4009" t="s">
        <v>55</v>
      </c>
      <c r="L4009" t="s">
        <v>4346</v>
      </c>
      <c r="M4009" t="s">
        <v>57</v>
      </c>
      <c r="N4009" t="str">
        <f>"132597"</f>
        <v>132597</v>
      </c>
      <c r="O4009" t="s">
        <v>12020</v>
      </c>
      <c r="P4009" t="s">
        <v>68</v>
      </c>
      <c r="Q4009" t="s">
        <v>68</v>
      </c>
      <c r="R4009" t="s">
        <v>68</v>
      </c>
      <c r="S4009" t="s">
        <v>217</v>
      </c>
    </row>
    <row r="4010" spans="1:19" x14ac:dyDescent="0.35">
      <c r="A4010">
        <v>132621</v>
      </c>
      <c r="B4010" t="str">
        <f>"132621"</f>
        <v>132621</v>
      </c>
      <c r="C4010" t="s">
        <v>12023</v>
      </c>
      <c r="D4010" t="s">
        <v>3394</v>
      </c>
      <c r="E4010" t="s">
        <v>9538</v>
      </c>
      <c r="F4010" t="s">
        <v>3396</v>
      </c>
      <c r="G4010" t="s">
        <v>1041</v>
      </c>
      <c r="H4010" t="s">
        <v>12024</v>
      </c>
      <c r="I4010" t="s">
        <v>12025</v>
      </c>
      <c r="J4010" t="s">
        <v>3371</v>
      </c>
      <c r="K4010" t="s">
        <v>55</v>
      </c>
      <c r="L4010" t="s">
        <v>3372</v>
      </c>
      <c r="M4010" t="s">
        <v>57</v>
      </c>
      <c r="N4010" t="str">
        <f>"132621"</f>
        <v>132621</v>
      </c>
      <c r="O4010" t="s">
        <v>12023</v>
      </c>
      <c r="P4010" t="s">
        <v>68</v>
      </c>
      <c r="Q4010" t="s">
        <v>68</v>
      </c>
      <c r="R4010" t="s">
        <v>68</v>
      </c>
      <c r="S4010" t="s">
        <v>217</v>
      </c>
    </row>
    <row r="4011" spans="1:19" x14ac:dyDescent="0.35">
      <c r="A4011">
        <v>132621</v>
      </c>
      <c r="B4011" t="str">
        <f>"132621"</f>
        <v>132621</v>
      </c>
      <c r="C4011" t="s">
        <v>12023</v>
      </c>
      <c r="D4011" t="s">
        <v>9541</v>
      </c>
      <c r="E4011" t="s">
        <v>9538</v>
      </c>
      <c r="F4011" t="s">
        <v>3396</v>
      </c>
      <c r="G4011" t="s">
        <v>1041</v>
      </c>
      <c r="H4011" t="s">
        <v>12024</v>
      </c>
      <c r="I4011" t="s">
        <v>12025</v>
      </c>
      <c r="J4011" t="s">
        <v>3371</v>
      </c>
      <c r="K4011" t="s">
        <v>55</v>
      </c>
      <c r="L4011" t="s">
        <v>3372</v>
      </c>
      <c r="M4011" t="s">
        <v>57</v>
      </c>
      <c r="N4011" t="str">
        <f>"132621"</f>
        <v>132621</v>
      </c>
      <c r="O4011" t="s">
        <v>12023</v>
      </c>
      <c r="P4011" t="s">
        <v>68</v>
      </c>
      <c r="Q4011" t="s">
        <v>68</v>
      </c>
      <c r="R4011" t="s">
        <v>68</v>
      </c>
      <c r="S4011" t="s">
        <v>217</v>
      </c>
    </row>
    <row r="4012" spans="1:19" x14ac:dyDescent="0.35">
      <c r="A4012">
        <v>132647</v>
      </c>
      <c r="B4012" t="str">
        <f>"132647"</f>
        <v>132647</v>
      </c>
      <c r="C4012" t="s">
        <v>12026</v>
      </c>
      <c r="D4012" t="s">
        <v>3398</v>
      </c>
      <c r="E4012" t="s">
        <v>9538</v>
      </c>
      <c r="F4012" t="s">
        <v>3396</v>
      </c>
      <c r="G4012" t="s">
        <v>172</v>
      </c>
      <c r="H4012" t="s">
        <v>12027</v>
      </c>
      <c r="I4012" t="s">
        <v>12028</v>
      </c>
      <c r="J4012" t="s">
        <v>2604</v>
      </c>
      <c r="K4012" t="s">
        <v>55</v>
      </c>
      <c r="L4012" t="s">
        <v>2605</v>
      </c>
      <c r="M4012" t="s">
        <v>57</v>
      </c>
      <c r="N4012" t="str">
        <f>"052514"</f>
        <v>052514</v>
      </c>
      <c r="O4012" t="s">
        <v>2465</v>
      </c>
      <c r="P4012" t="s">
        <v>68</v>
      </c>
      <c r="Q4012" t="s">
        <v>68</v>
      </c>
      <c r="R4012" t="s">
        <v>68</v>
      </c>
      <c r="S4012" t="s">
        <v>217</v>
      </c>
    </row>
    <row r="4013" spans="1:19" x14ac:dyDescent="0.35">
      <c r="A4013">
        <v>132662</v>
      </c>
      <c r="B4013" t="str">
        <f>"132662"</f>
        <v>132662</v>
      </c>
      <c r="C4013" t="s">
        <v>12029</v>
      </c>
      <c r="D4013" t="s">
        <v>3394</v>
      </c>
      <c r="E4013" t="s">
        <v>9538</v>
      </c>
      <c r="F4013" t="s">
        <v>3396</v>
      </c>
      <c r="G4013" t="s">
        <v>52</v>
      </c>
      <c r="H4013" t="s">
        <v>12030</v>
      </c>
      <c r="I4013" t="s">
        <v>12031</v>
      </c>
      <c r="J4013" t="s">
        <v>2690</v>
      </c>
      <c r="K4013" t="s">
        <v>55</v>
      </c>
      <c r="L4013" t="s">
        <v>10334</v>
      </c>
      <c r="M4013" t="s">
        <v>57</v>
      </c>
      <c r="N4013" t="str">
        <f>"132662"</f>
        <v>132662</v>
      </c>
      <c r="O4013" t="s">
        <v>12029</v>
      </c>
      <c r="P4013" t="s">
        <v>68</v>
      </c>
      <c r="Q4013" t="s">
        <v>68</v>
      </c>
      <c r="R4013" t="s">
        <v>68</v>
      </c>
      <c r="S4013" t="s">
        <v>60</v>
      </c>
    </row>
    <row r="4014" spans="1:19" x14ac:dyDescent="0.35">
      <c r="A4014">
        <v>132662</v>
      </c>
      <c r="B4014" t="str">
        <f>"132662"</f>
        <v>132662</v>
      </c>
      <c r="C4014" t="s">
        <v>12029</v>
      </c>
      <c r="D4014" t="s">
        <v>9541</v>
      </c>
      <c r="E4014" t="s">
        <v>9538</v>
      </c>
      <c r="F4014" t="s">
        <v>3396</v>
      </c>
      <c r="G4014" t="s">
        <v>52</v>
      </c>
      <c r="H4014" t="s">
        <v>12030</v>
      </c>
      <c r="I4014" t="s">
        <v>12031</v>
      </c>
      <c r="J4014" t="s">
        <v>2690</v>
      </c>
      <c r="K4014" t="s">
        <v>55</v>
      </c>
      <c r="L4014" t="s">
        <v>10334</v>
      </c>
      <c r="M4014" t="s">
        <v>57</v>
      </c>
      <c r="N4014" t="str">
        <f>"132662"</f>
        <v>132662</v>
      </c>
      <c r="O4014" t="s">
        <v>12029</v>
      </c>
      <c r="P4014" t="s">
        <v>68</v>
      </c>
      <c r="Q4014" t="s">
        <v>68</v>
      </c>
      <c r="R4014" t="s">
        <v>68</v>
      </c>
      <c r="S4014" t="s">
        <v>60</v>
      </c>
    </row>
    <row r="4015" spans="1:19" x14ac:dyDescent="0.35">
      <c r="A4015">
        <v>132688</v>
      </c>
      <c r="B4015" t="str">
        <f>"132688"</f>
        <v>132688</v>
      </c>
      <c r="C4015" t="s">
        <v>12032</v>
      </c>
      <c r="D4015" t="s">
        <v>3394</v>
      </c>
      <c r="E4015" t="s">
        <v>9538</v>
      </c>
      <c r="F4015" t="s">
        <v>3396</v>
      </c>
      <c r="G4015" t="s">
        <v>212</v>
      </c>
      <c r="H4015" t="s">
        <v>12033</v>
      </c>
      <c r="I4015" t="s">
        <v>12034</v>
      </c>
      <c r="J4015" t="s">
        <v>215</v>
      </c>
      <c r="K4015" t="s">
        <v>55</v>
      </c>
      <c r="L4015" t="s">
        <v>6589</v>
      </c>
      <c r="M4015" t="s">
        <v>57</v>
      </c>
      <c r="N4015" t="str">
        <f>"132688"</f>
        <v>132688</v>
      </c>
      <c r="O4015" t="s">
        <v>12032</v>
      </c>
      <c r="P4015" t="s">
        <v>68</v>
      </c>
      <c r="Q4015" t="s">
        <v>68</v>
      </c>
      <c r="R4015" t="s">
        <v>68</v>
      </c>
      <c r="S4015" t="s">
        <v>217</v>
      </c>
    </row>
    <row r="4016" spans="1:19" x14ac:dyDescent="0.35">
      <c r="A4016">
        <v>132696</v>
      </c>
      <c r="B4016" t="str">
        <f>"132696"</f>
        <v>132696</v>
      </c>
      <c r="C4016" t="s">
        <v>12035</v>
      </c>
      <c r="D4016" t="s">
        <v>3398</v>
      </c>
      <c r="E4016" t="s">
        <v>9538</v>
      </c>
      <c r="F4016" t="s">
        <v>3396</v>
      </c>
      <c r="G4016" t="s">
        <v>511</v>
      </c>
      <c r="H4016" t="s">
        <v>12036</v>
      </c>
      <c r="I4016" t="s">
        <v>12037</v>
      </c>
      <c r="J4016" t="s">
        <v>12038</v>
      </c>
      <c r="K4016" t="s">
        <v>55</v>
      </c>
      <c r="L4016" t="s">
        <v>12039</v>
      </c>
      <c r="M4016" t="s">
        <v>57</v>
      </c>
      <c r="N4016" t="str">
        <f>"132696"</f>
        <v>132696</v>
      </c>
      <c r="O4016" t="s">
        <v>12035</v>
      </c>
      <c r="P4016" t="s">
        <v>68</v>
      </c>
      <c r="Q4016" t="s">
        <v>68</v>
      </c>
      <c r="R4016" t="s">
        <v>68</v>
      </c>
      <c r="S4016" t="s">
        <v>69</v>
      </c>
    </row>
    <row r="4017" spans="1:19" x14ac:dyDescent="0.35">
      <c r="A4017">
        <v>132696</v>
      </c>
      <c r="B4017" t="str">
        <f>"132696"</f>
        <v>132696</v>
      </c>
      <c r="C4017" t="s">
        <v>12035</v>
      </c>
      <c r="D4017" t="s">
        <v>9541</v>
      </c>
      <c r="E4017" t="s">
        <v>9538</v>
      </c>
      <c r="F4017" t="s">
        <v>3396</v>
      </c>
      <c r="G4017" t="s">
        <v>511</v>
      </c>
      <c r="H4017" t="s">
        <v>12036</v>
      </c>
      <c r="I4017" t="s">
        <v>12037</v>
      </c>
      <c r="J4017" t="s">
        <v>12038</v>
      </c>
      <c r="K4017" t="s">
        <v>55</v>
      </c>
      <c r="L4017" t="s">
        <v>12039</v>
      </c>
      <c r="M4017" t="s">
        <v>57</v>
      </c>
      <c r="N4017" t="str">
        <f>"132696"</f>
        <v>132696</v>
      </c>
      <c r="O4017" t="s">
        <v>12035</v>
      </c>
      <c r="P4017" t="s">
        <v>68</v>
      </c>
      <c r="Q4017" t="s">
        <v>68</v>
      </c>
      <c r="R4017" t="s">
        <v>68</v>
      </c>
      <c r="S4017" t="s">
        <v>69</v>
      </c>
    </row>
    <row r="4018" spans="1:19" x14ac:dyDescent="0.35">
      <c r="A4018">
        <v>132704</v>
      </c>
      <c r="B4018" t="str">
        <f>"132704"</f>
        <v>132704</v>
      </c>
      <c r="C4018" t="s">
        <v>12040</v>
      </c>
      <c r="D4018" t="s">
        <v>3394</v>
      </c>
      <c r="E4018" t="s">
        <v>9538</v>
      </c>
      <c r="F4018" t="s">
        <v>3396</v>
      </c>
      <c r="G4018" t="s">
        <v>1041</v>
      </c>
      <c r="H4018" t="s">
        <v>12041</v>
      </c>
      <c r="I4018" t="s">
        <v>12042</v>
      </c>
      <c r="J4018" t="s">
        <v>1115</v>
      </c>
      <c r="K4018" t="s">
        <v>55</v>
      </c>
      <c r="L4018" t="s">
        <v>1116</v>
      </c>
      <c r="M4018" t="s">
        <v>57</v>
      </c>
      <c r="N4018" t="str">
        <f>"052597"</f>
        <v>052597</v>
      </c>
      <c r="O4018" t="s">
        <v>2565</v>
      </c>
      <c r="P4018" t="s">
        <v>68</v>
      </c>
      <c r="Q4018" t="s">
        <v>68</v>
      </c>
      <c r="R4018" t="s">
        <v>68</v>
      </c>
      <c r="S4018" t="s">
        <v>217</v>
      </c>
    </row>
    <row r="4019" spans="1:19" x14ac:dyDescent="0.35">
      <c r="A4019">
        <v>132712</v>
      </c>
      <c r="B4019" t="str">
        <f>"132712"</f>
        <v>132712</v>
      </c>
      <c r="C4019" t="s">
        <v>12043</v>
      </c>
      <c r="D4019" t="s">
        <v>3394</v>
      </c>
      <c r="E4019" t="s">
        <v>9538</v>
      </c>
      <c r="F4019" t="s">
        <v>3396</v>
      </c>
      <c r="G4019" t="s">
        <v>244</v>
      </c>
      <c r="H4019" t="s">
        <v>12044</v>
      </c>
      <c r="I4019" t="s">
        <v>12045</v>
      </c>
      <c r="J4019" t="s">
        <v>5918</v>
      </c>
      <c r="K4019" t="s">
        <v>55</v>
      </c>
      <c r="L4019" t="s">
        <v>5919</v>
      </c>
      <c r="M4019" t="s">
        <v>57</v>
      </c>
      <c r="N4019" t="str">
        <f>"132712"</f>
        <v>132712</v>
      </c>
      <c r="O4019" t="s">
        <v>12046</v>
      </c>
      <c r="P4019" t="s">
        <v>68</v>
      </c>
      <c r="Q4019" t="s">
        <v>68</v>
      </c>
      <c r="R4019" t="s">
        <v>68</v>
      </c>
      <c r="S4019" t="s">
        <v>217</v>
      </c>
    </row>
    <row r="4020" spans="1:19" x14ac:dyDescent="0.35">
      <c r="A4020">
        <v>132746</v>
      </c>
      <c r="B4020" t="str">
        <f>"132746"</f>
        <v>132746</v>
      </c>
      <c r="C4020" t="s">
        <v>12047</v>
      </c>
      <c r="D4020" t="s">
        <v>3394</v>
      </c>
      <c r="E4020" t="s">
        <v>12048</v>
      </c>
      <c r="F4020" t="s">
        <v>3396</v>
      </c>
      <c r="G4020" t="s">
        <v>244</v>
      </c>
      <c r="H4020" t="s">
        <v>12049</v>
      </c>
      <c r="I4020" t="s">
        <v>12050</v>
      </c>
      <c r="J4020" t="s">
        <v>1179</v>
      </c>
      <c r="K4020" t="s">
        <v>55</v>
      </c>
      <c r="L4020" t="s">
        <v>3475</v>
      </c>
      <c r="M4020" t="s">
        <v>57</v>
      </c>
      <c r="N4020" t="str">
        <f t="shared" ref="N4020:N4025" si="12">"014992"</f>
        <v>014992</v>
      </c>
      <c r="O4020" t="s">
        <v>12051</v>
      </c>
      <c r="P4020" t="s">
        <v>68</v>
      </c>
      <c r="Q4020">
        <v>100</v>
      </c>
      <c r="R4020">
        <v>20.200000000000003</v>
      </c>
      <c r="S4020" t="s">
        <v>217</v>
      </c>
    </row>
    <row r="4021" spans="1:19" x14ac:dyDescent="0.35">
      <c r="A4021">
        <v>132746</v>
      </c>
      <c r="B4021" t="str">
        <f>"132746"</f>
        <v>132746</v>
      </c>
      <c r="C4021" t="s">
        <v>12047</v>
      </c>
      <c r="D4021" t="s">
        <v>12052</v>
      </c>
      <c r="E4021" t="s">
        <v>12048</v>
      </c>
      <c r="F4021" t="s">
        <v>3396</v>
      </c>
      <c r="G4021" t="s">
        <v>244</v>
      </c>
      <c r="H4021" t="s">
        <v>12049</v>
      </c>
      <c r="I4021" t="s">
        <v>12050</v>
      </c>
      <c r="J4021" t="s">
        <v>1179</v>
      </c>
      <c r="K4021" t="s">
        <v>55</v>
      </c>
      <c r="L4021" t="s">
        <v>3475</v>
      </c>
      <c r="M4021" t="s">
        <v>57</v>
      </c>
      <c r="N4021" t="str">
        <f t="shared" si="12"/>
        <v>014992</v>
      </c>
      <c r="O4021" t="s">
        <v>12051</v>
      </c>
      <c r="P4021" t="s">
        <v>68</v>
      </c>
      <c r="Q4021">
        <v>100</v>
      </c>
      <c r="R4021">
        <v>20.200000000000003</v>
      </c>
      <c r="S4021" t="s">
        <v>217</v>
      </c>
    </row>
    <row r="4022" spans="1:19" x14ac:dyDescent="0.35">
      <c r="A4022">
        <v>132761</v>
      </c>
      <c r="B4022" t="str">
        <f>"132761"</f>
        <v>132761</v>
      </c>
      <c r="C4022" t="s">
        <v>12053</v>
      </c>
      <c r="D4022" t="s">
        <v>3394</v>
      </c>
      <c r="E4022" t="s">
        <v>12048</v>
      </c>
      <c r="F4022" t="s">
        <v>3396</v>
      </c>
      <c r="G4022" t="s">
        <v>642</v>
      </c>
      <c r="H4022" t="s">
        <v>12054</v>
      </c>
      <c r="I4022" t="s">
        <v>12055</v>
      </c>
      <c r="J4022" t="s">
        <v>1469</v>
      </c>
      <c r="K4022" t="s">
        <v>55</v>
      </c>
      <c r="L4022" t="s">
        <v>1470</v>
      </c>
      <c r="M4022" t="s">
        <v>57</v>
      </c>
      <c r="N4022" t="str">
        <f t="shared" si="12"/>
        <v>014992</v>
      </c>
      <c r="O4022" t="s">
        <v>12051</v>
      </c>
      <c r="P4022" t="s">
        <v>68</v>
      </c>
      <c r="Q4022">
        <v>100</v>
      </c>
      <c r="R4022">
        <v>17.799999999999997</v>
      </c>
      <c r="S4022" t="s">
        <v>180</v>
      </c>
    </row>
    <row r="4023" spans="1:19" x14ac:dyDescent="0.35">
      <c r="A4023">
        <v>132761</v>
      </c>
      <c r="B4023" t="str">
        <f>"132761"</f>
        <v>132761</v>
      </c>
      <c r="C4023" t="s">
        <v>12053</v>
      </c>
      <c r="D4023" t="s">
        <v>12052</v>
      </c>
      <c r="E4023" t="s">
        <v>12048</v>
      </c>
      <c r="F4023" t="s">
        <v>3396</v>
      </c>
      <c r="G4023" t="s">
        <v>642</v>
      </c>
      <c r="H4023" t="s">
        <v>12054</v>
      </c>
      <c r="I4023" t="s">
        <v>12055</v>
      </c>
      <c r="J4023" t="s">
        <v>1469</v>
      </c>
      <c r="K4023" t="s">
        <v>55</v>
      </c>
      <c r="L4023" t="s">
        <v>1470</v>
      </c>
      <c r="M4023" t="s">
        <v>57</v>
      </c>
      <c r="N4023" t="str">
        <f t="shared" si="12"/>
        <v>014992</v>
      </c>
      <c r="O4023" t="s">
        <v>12051</v>
      </c>
      <c r="P4023" t="s">
        <v>68</v>
      </c>
      <c r="Q4023">
        <v>100</v>
      </c>
      <c r="R4023">
        <v>17.799999999999997</v>
      </c>
      <c r="S4023" t="s">
        <v>180</v>
      </c>
    </row>
    <row r="4024" spans="1:19" x14ac:dyDescent="0.35">
      <c r="A4024">
        <v>132779</v>
      </c>
      <c r="B4024" t="str">
        <f>"132779"</f>
        <v>132779</v>
      </c>
      <c r="C4024" t="s">
        <v>12056</v>
      </c>
      <c r="D4024" t="s">
        <v>3400</v>
      </c>
      <c r="E4024" t="s">
        <v>12048</v>
      </c>
      <c r="F4024" t="s">
        <v>3396</v>
      </c>
      <c r="G4024" t="s">
        <v>264</v>
      </c>
      <c r="H4024" t="s">
        <v>12057</v>
      </c>
      <c r="I4024" t="s">
        <v>12058</v>
      </c>
      <c r="J4024" t="s">
        <v>267</v>
      </c>
      <c r="K4024" t="s">
        <v>55</v>
      </c>
      <c r="L4024" t="s">
        <v>268</v>
      </c>
      <c r="M4024" t="s">
        <v>57</v>
      </c>
      <c r="N4024" t="str">
        <f t="shared" si="12"/>
        <v>014992</v>
      </c>
      <c r="O4024" t="s">
        <v>12051</v>
      </c>
      <c r="P4024" t="s">
        <v>68</v>
      </c>
      <c r="Q4024">
        <v>100</v>
      </c>
      <c r="R4024">
        <v>42.3</v>
      </c>
      <c r="S4024" t="s">
        <v>77</v>
      </c>
    </row>
    <row r="4025" spans="1:19" x14ac:dyDescent="0.35">
      <c r="A4025">
        <v>132779</v>
      </c>
      <c r="B4025" t="str">
        <f>"132779"</f>
        <v>132779</v>
      </c>
      <c r="C4025" t="s">
        <v>12056</v>
      </c>
      <c r="D4025" t="s">
        <v>12052</v>
      </c>
      <c r="E4025" t="s">
        <v>12048</v>
      </c>
      <c r="F4025" t="s">
        <v>3396</v>
      </c>
      <c r="G4025" t="s">
        <v>264</v>
      </c>
      <c r="H4025" t="s">
        <v>12057</v>
      </c>
      <c r="I4025" t="s">
        <v>12058</v>
      </c>
      <c r="J4025" t="s">
        <v>267</v>
      </c>
      <c r="K4025" t="s">
        <v>55</v>
      </c>
      <c r="L4025" t="s">
        <v>268</v>
      </c>
      <c r="M4025" t="s">
        <v>57</v>
      </c>
      <c r="N4025" t="str">
        <f t="shared" si="12"/>
        <v>014992</v>
      </c>
      <c r="O4025" t="s">
        <v>12051</v>
      </c>
      <c r="P4025" t="s">
        <v>68</v>
      </c>
      <c r="Q4025">
        <v>100</v>
      </c>
      <c r="R4025">
        <v>42.3</v>
      </c>
      <c r="S4025" t="s">
        <v>77</v>
      </c>
    </row>
    <row r="4026" spans="1:19" x14ac:dyDescent="0.35">
      <c r="A4026">
        <v>132795</v>
      </c>
      <c r="B4026" t="str">
        <f>"132795"</f>
        <v>132795</v>
      </c>
      <c r="C4026" t="s">
        <v>12059</v>
      </c>
      <c r="D4026" t="s">
        <v>3398</v>
      </c>
      <c r="E4026" t="s">
        <v>12048</v>
      </c>
      <c r="F4026" t="s">
        <v>3396</v>
      </c>
      <c r="G4026" t="s">
        <v>777</v>
      </c>
      <c r="H4026" t="s">
        <v>12060</v>
      </c>
      <c r="I4026" t="s">
        <v>12061</v>
      </c>
      <c r="J4026" t="s">
        <v>780</v>
      </c>
      <c r="K4026" t="s">
        <v>55</v>
      </c>
      <c r="L4026" t="s">
        <v>6175</v>
      </c>
      <c r="M4026" t="s">
        <v>57</v>
      </c>
      <c r="N4026" t="str">
        <f t="shared" ref="N4026:N4031" si="13">"017297"</f>
        <v>017297</v>
      </c>
      <c r="O4026" t="s">
        <v>12062</v>
      </c>
      <c r="P4026" t="s">
        <v>68</v>
      </c>
      <c r="Q4026">
        <v>100</v>
      </c>
      <c r="R4026">
        <v>44.1</v>
      </c>
      <c r="S4026" t="s">
        <v>180</v>
      </c>
    </row>
    <row r="4027" spans="1:19" x14ac:dyDescent="0.35">
      <c r="A4027">
        <v>132795</v>
      </c>
      <c r="B4027" t="str">
        <f>"132795"</f>
        <v>132795</v>
      </c>
      <c r="C4027" t="s">
        <v>12059</v>
      </c>
      <c r="D4027" t="s">
        <v>12052</v>
      </c>
      <c r="E4027" t="s">
        <v>12048</v>
      </c>
      <c r="F4027" t="s">
        <v>3396</v>
      </c>
      <c r="G4027" t="s">
        <v>777</v>
      </c>
      <c r="H4027" t="s">
        <v>12060</v>
      </c>
      <c r="I4027" t="s">
        <v>12061</v>
      </c>
      <c r="J4027" t="s">
        <v>780</v>
      </c>
      <c r="K4027" t="s">
        <v>55</v>
      </c>
      <c r="L4027" t="s">
        <v>6175</v>
      </c>
      <c r="M4027" t="s">
        <v>57</v>
      </c>
      <c r="N4027" t="str">
        <f t="shared" si="13"/>
        <v>017297</v>
      </c>
      <c r="O4027" t="s">
        <v>12062</v>
      </c>
      <c r="P4027" t="s">
        <v>68</v>
      </c>
      <c r="Q4027">
        <v>100</v>
      </c>
      <c r="R4027">
        <v>44.1</v>
      </c>
      <c r="S4027" t="s">
        <v>180</v>
      </c>
    </row>
    <row r="4028" spans="1:19" x14ac:dyDescent="0.35">
      <c r="A4028">
        <v>132795</v>
      </c>
      <c r="B4028" t="str">
        <f>"132795"</f>
        <v>132795</v>
      </c>
      <c r="C4028" t="s">
        <v>12059</v>
      </c>
      <c r="D4028" t="s">
        <v>12063</v>
      </c>
      <c r="E4028" t="s">
        <v>12048</v>
      </c>
      <c r="F4028" t="s">
        <v>3396</v>
      </c>
      <c r="G4028" t="s">
        <v>777</v>
      </c>
      <c r="H4028" t="s">
        <v>12060</v>
      </c>
      <c r="I4028" t="s">
        <v>12061</v>
      </c>
      <c r="J4028" t="s">
        <v>780</v>
      </c>
      <c r="K4028" t="s">
        <v>55</v>
      </c>
      <c r="L4028" t="s">
        <v>6175</v>
      </c>
      <c r="M4028" t="s">
        <v>57</v>
      </c>
      <c r="N4028" t="str">
        <f t="shared" si="13"/>
        <v>017297</v>
      </c>
      <c r="O4028" t="s">
        <v>12062</v>
      </c>
      <c r="P4028" t="s">
        <v>68</v>
      </c>
      <c r="Q4028">
        <v>100</v>
      </c>
      <c r="R4028">
        <v>44.1</v>
      </c>
      <c r="S4028" t="s">
        <v>180</v>
      </c>
    </row>
    <row r="4029" spans="1:19" x14ac:dyDescent="0.35">
      <c r="A4029">
        <v>132803</v>
      </c>
      <c r="B4029" t="str">
        <f>"132803"</f>
        <v>132803</v>
      </c>
      <c r="C4029" t="s">
        <v>12064</v>
      </c>
      <c r="D4029" t="s">
        <v>3398</v>
      </c>
      <c r="E4029" t="s">
        <v>12048</v>
      </c>
      <c r="F4029" t="s">
        <v>3396</v>
      </c>
      <c r="G4029" t="s">
        <v>244</v>
      </c>
      <c r="H4029" t="s">
        <v>12065</v>
      </c>
      <c r="I4029" t="s">
        <v>12066</v>
      </c>
      <c r="J4029" t="s">
        <v>1179</v>
      </c>
      <c r="K4029" t="s">
        <v>55</v>
      </c>
      <c r="L4029" t="s">
        <v>3475</v>
      </c>
      <c r="M4029" t="s">
        <v>57</v>
      </c>
      <c r="N4029" t="str">
        <f t="shared" si="13"/>
        <v>017297</v>
      </c>
      <c r="O4029" t="s">
        <v>12062</v>
      </c>
      <c r="P4029" t="s">
        <v>68</v>
      </c>
      <c r="Q4029">
        <v>100</v>
      </c>
      <c r="R4029">
        <v>34.900000000000006</v>
      </c>
      <c r="S4029" t="s">
        <v>217</v>
      </c>
    </row>
    <row r="4030" spans="1:19" x14ac:dyDescent="0.35">
      <c r="A4030">
        <v>132803</v>
      </c>
      <c r="B4030" t="str">
        <f>"132803"</f>
        <v>132803</v>
      </c>
      <c r="C4030" t="s">
        <v>12064</v>
      </c>
      <c r="D4030" t="s">
        <v>12052</v>
      </c>
      <c r="E4030" t="s">
        <v>12048</v>
      </c>
      <c r="F4030" t="s">
        <v>3396</v>
      </c>
      <c r="G4030" t="s">
        <v>244</v>
      </c>
      <c r="H4030" t="s">
        <v>12065</v>
      </c>
      <c r="I4030" t="s">
        <v>12066</v>
      </c>
      <c r="J4030" t="s">
        <v>1179</v>
      </c>
      <c r="K4030" t="s">
        <v>55</v>
      </c>
      <c r="L4030" t="s">
        <v>3475</v>
      </c>
      <c r="M4030" t="s">
        <v>57</v>
      </c>
      <c r="N4030" t="str">
        <f t="shared" si="13"/>
        <v>017297</v>
      </c>
      <c r="O4030" t="s">
        <v>12062</v>
      </c>
      <c r="P4030" t="s">
        <v>68</v>
      </c>
      <c r="Q4030">
        <v>100</v>
      </c>
      <c r="R4030">
        <v>34.900000000000006</v>
      </c>
      <c r="S4030" t="s">
        <v>217</v>
      </c>
    </row>
    <row r="4031" spans="1:19" x14ac:dyDescent="0.35">
      <c r="A4031">
        <v>132803</v>
      </c>
      <c r="B4031" t="str">
        <f>"132803"</f>
        <v>132803</v>
      </c>
      <c r="C4031" t="s">
        <v>12064</v>
      </c>
      <c r="D4031" t="s">
        <v>12063</v>
      </c>
      <c r="E4031" t="s">
        <v>12048</v>
      </c>
      <c r="F4031" t="s">
        <v>3396</v>
      </c>
      <c r="G4031" t="s">
        <v>244</v>
      </c>
      <c r="H4031" t="s">
        <v>12065</v>
      </c>
      <c r="I4031" t="s">
        <v>12066</v>
      </c>
      <c r="J4031" t="s">
        <v>1179</v>
      </c>
      <c r="K4031" t="s">
        <v>55</v>
      </c>
      <c r="L4031" t="s">
        <v>3475</v>
      </c>
      <c r="M4031" t="s">
        <v>57</v>
      </c>
      <c r="N4031" t="str">
        <f t="shared" si="13"/>
        <v>017297</v>
      </c>
      <c r="O4031" t="s">
        <v>12062</v>
      </c>
      <c r="P4031" t="s">
        <v>68</v>
      </c>
      <c r="Q4031">
        <v>100</v>
      </c>
      <c r="R4031">
        <v>34.900000000000006</v>
      </c>
      <c r="S4031" t="s">
        <v>217</v>
      </c>
    </row>
    <row r="4032" spans="1:19" x14ac:dyDescent="0.35">
      <c r="A4032">
        <v>132829</v>
      </c>
      <c r="B4032" t="str">
        <f>"132829"</f>
        <v>132829</v>
      </c>
      <c r="C4032" t="s">
        <v>12067</v>
      </c>
      <c r="D4032" t="s">
        <v>3394</v>
      </c>
      <c r="E4032" t="s">
        <v>9538</v>
      </c>
      <c r="F4032" t="s">
        <v>3396</v>
      </c>
      <c r="G4032" t="s">
        <v>187</v>
      </c>
      <c r="H4032" t="s">
        <v>12068</v>
      </c>
      <c r="I4032" t="s">
        <v>12069</v>
      </c>
      <c r="J4032" t="s">
        <v>309</v>
      </c>
      <c r="K4032" t="s">
        <v>55</v>
      </c>
      <c r="L4032" t="s">
        <v>310</v>
      </c>
      <c r="M4032" t="s">
        <v>57</v>
      </c>
      <c r="N4032" t="str">
        <f>"132829"</f>
        <v>132829</v>
      </c>
      <c r="O4032" t="s">
        <v>12067</v>
      </c>
      <c r="P4032" t="s">
        <v>68</v>
      </c>
      <c r="Q4032" t="s">
        <v>68</v>
      </c>
      <c r="R4032" t="s">
        <v>68</v>
      </c>
      <c r="S4032" t="s">
        <v>77</v>
      </c>
    </row>
    <row r="4033" spans="1:19" x14ac:dyDescent="0.35">
      <c r="A4033">
        <v>132829</v>
      </c>
      <c r="B4033" t="str">
        <f>"132829"</f>
        <v>132829</v>
      </c>
      <c r="C4033" t="s">
        <v>12067</v>
      </c>
      <c r="D4033" t="s">
        <v>9541</v>
      </c>
      <c r="E4033" t="s">
        <v>9538</v>
      </c>
      <c r="F4033" t="s">
        <v>3396</v>
      </c>
      <c r="G4033" t="s">
        <v>187</v>
      </c>
      <c r="H4033" t="s">
        <v>12068</v>
      </c>
      <c r="I4033" t="s">
        <v>12069</v>
      </c>
      <c r="J4033" t="s">
        <v>309</v>
      </c>
      <c r="K4033" t="s">
        <v>55</v>
      </c>
      <c r="L4033" t="s">
        <v>310</v>
      </c>
      <c r="M4033" t="s">
        <v>57</v>
      </c>
      <c r="N4033" t="str">
        <f>"132829"</f>
        <v>132829</v>
      </c>
      <c r="O4033" t="s">
        <v>12067</v>
      </c>
      <c r="P4033" t="s">
        <v>68</v>
      </c>
      <c r="Q4033" t="s">
        <v>68</v>
      </c>
      <c r="R4033" t="s">
        <v>68</v>
      </c>
      <c r="S4033" t="s">
        <v>77</v>
      </c>
    </row>
    <row r="4034" spans="1:19" x14ac:dyDescent="0.35">
      <c r="A4034">
        <v>132837</v>
      </c>
      <c r="B4034" t="str">
        <f>"132837"</f>
        <v>132837</v>
      </c>
      <c r="C4034" t="s">
        <v>12070</v>
      </c>
      <c r="D4034" t="s">
        <v>3394</v>
      </c>
      <c r="E4034" t="s">
        <v>9538</v>
      </c>
      <c r="F4034" t="s">
        <v>3396</v>
      </c>
      <c r="G4034" t="s">
        <v>264</v>
      </c>
      <c r="H4034" t="s">
        <v>12071</v>
      </c>
      <c r="I4034" t="s">
        <v>12072</v>
      </c>
      <c r="J4034" t="s">
        <v>160</v>
      </c>
      <c r="K4034" t="s">
        <v>55</v>
      </c>
      <c r="L4034" t="s">
        <v>161</v>
      </c>
      <c r="M4034" t="s">
        <v>57</v>
      </c>
      <c r="N4034" t="str">
        <f>"132837"</f>
        <v>132837</v>
      </c>
      <c r="O4034" t="s">
        <v>12070</v>
      </c>
      <c r="P4034" t="s">
        <v>68</v>
      </c>
      <c r="Q4034" t="s">
        <v>68</v>
      </c>
      <c r="R4034" t="s">
        <v>68</v>
      </c>
      <c r="S4034" t="s">
        <v>77</v>
      </c>
    </row>
    <row r="4035" spans="1:19" x14ac:dyDescent="0.35">
      <c r="A4035">
        <v>132837</v>
      </c>
      <c r="B4035" t="str">
        <f>"132837"</f>
        <v>132837</v>
      </c>
      <c r="C4035" t="s">
        <v>12070</v>
      </c>
      <c r="D4035" t="s">
        <v>9541</v>
      </c>
      <c r="E4035" t="s">
        <v>9538</v>
      </c>
      <c r="F4035" t="s">
        <v>3396</v>
      </c>
      <c r="G4035" t="s">
        <v>264</v>
      </c>
      <c r="H4035" t="s">
        <v>12071</v>
      </c>
      <c r="I4035" t="s">
        <v>12072</v>
      </c>
      <c r="J4035" t="s">
        <v>160</v>
      </c>
      <c r="K4035" t="s">
        <v>55</v>
      </c>
      <c r="L4035" t="s">
        <v>161</v>
      </c>
      <c r="M4035" t="s">
        <v>57</v>
      </c>
      <c r="N4035" t="str">
        <f>"132837"</f>
        <v>132837</v>
      </c>
      <c r="O4035" t="s">
        <v>12070</v>
      </c>
      <c r="P4035" t="s">
        <v>68</v>
      </c>
      <c r="Q4035" t="s">
        <v>68</v>
      </c>
      <c r="R4035" t="s">
        <v>68</v>
      </c>
      <c r="S4035" t="s">
        <v>77</v>
      </c>
    </row>
    <row r="4036" spans="1:19" x14ac:dyDescent="0.35">
      <c r="A4036">
        <v>132878</v>
      </c>
      <c r="B4036" t="str">
        <f>"132878"</f>
        <v>132878</v>
      </c>
      <c r="C4036" t="s">
        <v>12073</v>
      </c>
      <c r="D4036" t="s">
        <v>3543</v>
      </c>
      <c r="E4036" t="s">
        <v>9538</v>
      </c>
      <c r="F4036" t="s">
        <v>3396</v>
      </c>
      <c r="G4036" t="s">
        <v>383</v>
      </c>
      <c r="H4036" t="s">
        <v>12074</v>
      </c>
      <c r="I4036" t="s">
        <v>12075</v>
      </c>
      <c r="J4036" t="s">
        <v>1215</v>
      </c>
      <c r="K4036" t="s">
        <v>55</v>
      </c>
      <c r="L4036" t="s">
        <v>9578</v>
      </c>
      <c r="M4036" t="s">
        <v>57</v>
      </c>
      <c r="N4036" t="str">
        <f>"132878"</f>
        <v>132878</v>
      </c>
      <c r="O4036" t="s">
        <v>12073</v>
      </c>
      <c r="P4036" t="s">
        <v>68</v>
      </c>
      <c r="Q4036" t="s">
        <v>68</v>
      </c>
      <c r="R4036" t="s">
        <v>68</v>
      </c>
      <c r="S4036" t="s">
        <v>77</v>
      </c>
    </row>
    <row r="4037" spans="1:19" x14ac:dyDescent="0.35">
      <c r="A4037">
        <v>132878</v>
      </c>
      <c r="B4037" t="str">
        <f>"132878"</f>
        <v>132878</v>
      </c>
      <c r="C4037" t="s">
        <v>12073</v>
      </c>
      <c r="D4037" t="s">
        <v>9541</v>
      </c>
      <c r="E4037" t="s">
        <v>9538</v>
      </c>
      <c r="F4037" t="s">
        <v>3396</v>
      </c>
      <c r="G4037" t="s">
        <v>383</v>
      </c>
      <c r="H4037" t="s">
        <v>12074</v>
      </c>
      <c r="I4037" t="s">
        <v>12075</v>
      </c>
      <c r="J4037" t="s">
        <v>1215</v>
      </c>
      <c r="K4037" t="s">
        <v>55</v>
      </c>
      <c r="L4037" t="s">
        <v>9578</v>
      </c>
      <c r="M4037" t="s">
        <v>57</v>
      </c>
      <c r="N4037" t="str">
        <f>"132878"</f>
        <v>132878</v>
      </c>
      <c r="O4037" t="s">
        <v>12073</v>
      </c>
      <c r="P4037" t="s">
        <v>68</v>
      </c>
      <c r="Q4037" t="s">
        <v>68</v>
      </c>
      <c r="R4037" t="s">
        <v>68</v>
      </c>
      <c r="S4037" t="s">
        <v>77</v>
      </c>
    </row>
    <row r="4038" spans="1:19" x14ac:dyDescent="0.35">
      <c r="A4038">
        <v>132928</v>
      </c>
      <c r="B4038" t="str">
        <f>"132928"</f>
        <v>132928</v>
      </c>
      <c r="C4038" t="s">
        <v>12076</v>
      </c>
      <c r="D4038" t="s">
        <v>3394</v>
      </c>
      <c r="E4038" t="s">
        <v>9538</v>
      </c>
      <c r="F4038" t="s">
        <v>3396</v>
      </c>
      <c r="G4038" t="s">
        <v>351</v>
      </c>
      <c r="H4038" t="s">
        <v>12077</v>
      </c>
      <c r="I4038" t="s">
        <v>12078</v>
      </c>
      <c r="J4038" t="s">
        <v>351</v>
      </c>
      <c r="K4038" t="s">
        <v>55</v>
      </c>
      <c r="L4038" t="s">
        <v>2771</v>
      </c>
      <c r="M4038" t="s">
        <v>57</v>
      </c>
      <c r="N4038" t="str">
        <f>"132928"</f>
        <v>132928</v>
      </c>
      <c r="O4038" t="s">
        <v>12076</v>
      </c>
      <c r="P4038" t="s">
        <v>68</v>
      </c>
      <c r="Q4038" t="s">
        <v>68</v>
      </c>
      <c r="R4038" t="s">
        <v>68</v>
      </c>
      <c r="S4038" t="s">
        <v>130</v>
      </c>
    </row>
    <row r="4039" spans="1:19" x14ac:dyDescent="0.35">
      <c r="A4039">
        <v>132936</v>
      </c>
      <c r="B4039" t="str">
        <f>"132936"</f>
        <v>132936</v>
      </c>
      <c r="C4039" t="s">
        <v>12079</v>
      </c>
      <c r="D4039" t="s">
        <v>3394</v>
      </c>
      <c r="E4039" t="s">
        <v>9538</v>
      </c>
      <c r="F4039" t="s">
        <v>3396</v>
      </c>
      <c r="G4039" t="s">
        <v>642</v>
      </c>
      <c r="H4039" t="s">
        <v>12080</v>
      </c>
      <c r="I4039" t="s">
        <v>12081</v>
      </c>
      <c r="J4039" t="s">
        <v>2447</v>
      </c>
      <c r="K4039" t="s">
        <v>55</v>
      </c>
      <c r="L4039" t="s">
        <v>3742</v>
      </c>
      <c r="M4039" t="s">
        <v>57</v>
      </c>
      <c r="N4039" t="str">
        <f>"132936"</f>
        <v>132936</v>
      </c>
      <c r="O4039" t="s">
        <v>12079</v>
      </c>
      <c r="P4039" t="s">
        <v>68</v>
      </c>
      <c r="Q4039" t="s">
        <v>68</v>
      </c>
      <c r="R4039" t="s">
        <v>68</v>
      </c>
      <c r="S4039" t="s">
        <v>180</v>
      </c>
    </row>
    <row r="4040" spans="1:19" x14ac:dyDescent="0.35">
      <c r="A4040">
        <v>132944</v>
      </c>
      <c r="B4040" t="str">
        <f>"132944"</f>
        <v>132944</v>
      </c>
      <c r="C4040" t="s">
        <v>12082</v>
      </c>
      <c r="D4040" t="s">
        <v>3400</v>
      </c>
      <c r="E4040" t="s">
        <v>12048</v>
      </c>
      <c r="F4040" t="s">
        <v>3396</v>
      </c>
      <c r="G4040" t="s">
        <v>543</v>
      </c>
      <c r="H4040" t="s">
        <v>12083</v>
      </c>
      <c r="I4040" t="s">
        <v>12084</v>
      </c>
      <c r="J4040" t="s">
        <v>687</v>
      </c>
      <c r="K4040" t="s">
        <v>55</v>
      </c>
      <c r="L4040" t="s">
        <v>3205</v>
      </c>
      <c r="M4040" t="s">
        <v>57</v>
      </c>
      <c r="N4040" t="str">
        <f>"017101"</f>
        <v>017101</v>
      </c>
      <c r="O4040" t="s">
        <v>12085</v>
      </c>
      <c r="P4040" t="s">
        <v>68</v>
      </c>
      <c r="Q4040">
        <v>100</v>
      </c>
      <c r="R4040">
        <v>58.1</v>
      </c>
      <c r="S4040" t="s">
        <v>180</v>
      </c>
    </row>
    <row r="4041" spans="1:19" x14ac:dyDescent="0.35">
      <c r="A4041">
        <v>132944</v>
      </c>
      <c r="B4041" t="str">
        <f>"132944"</f>
        <v>132944</v>
      </c>
      <c r="C4041" t="s">
        <v>12082</v>
      </c>
      <c r="D4041" t="s">
        <v>12052</v>
      </c>
      <c r="E4041" t="s">
        <v>12048</v>
      </c>
      <c r="F4041" t="s">
        <v>3396</v>
      </c>
      <c r="G4041" t="s">
        <v>543</v>
      </c>
      <c r="H4041" t="s">
        <v>12083</v>
      </c>
      <c r="I4041" t="s">
        <v>12084</v>
      </c>
      <c r="J4041" t="s">
        <v>687</v>
      </c>
      <c r="K4041" t="s">
        <v>55</v>
      </c>
      <c r="L4041" t="s">
        <v>3205</v>
      </c>
      <c r="M4041" t="s">
        <v>57</v>
      </c>
      <c r="N4041" t="str">
        <f>"017101"</f>
        <v>017101</v>
      </c>
      <c r="O4041" t="s">
        <v>12085</v>
      </c>
      <c r="P4041" t="s">
        <v>68</v>
      </c>
      <c r="Q4041">
        <v>100</v>
      </c>
      <c r="R4041">
        <v>58.1</v>
      </c>
      <c r="S4041" t="s">
        <v>180</v>
      </c>
    </row>
    <row r="4042" spans="1:19" x14ac:dyDescent="0.35">
      <c r="A4042">
        <v>132951</v>
      </c>
      <c r="B4042" t="str">
        <f>"132951"</f>
        <v>132951</v>
      </c>
      <c r="C4042" t="s">
        <v>12086</v>
      </c>
      <c r="D4042" t="s">
        <v>3394</v>
      </c>
      <c r="E4042" t="s">
        <v>12048</v>
      </c>
      <c r="F4042" t="s">
        <v>3396</v>
      </c>
      <c r="G4042" t="s">
        <v>143</v>
      </c>
      <c r="H4042" t="s">
        <v>12087</v>
      </c>
      <c r="I4042" t="s">
        <v>12088</v>
      </c>
      <c r="J4042" t="s">
        <v>143</v>
      </c>
      <c r="K4042" t="s">
        <v>55</v>
      </c>
      <c r="L4042" t="s">
        <v>1033</v>
      </c>
      <c r="M4042" t="s">
        <v>57</v>
      </c>
      <c r="N4042" t="str">
        <f>"020912"</f>
        <v>020912</v>
      </c>
      <c r="O4042" t="s">
        <v>12089</v>
      </c>
      <c r="P4042" t="s">
        <v>68</v>
      </c>
      <c r="Q4042">
        <v>100</v>
      </c>
      <c r="R4042">
        <v>74.599999999999994</v>
      </c>
      <c r="S4042" t="s">
        <v>69</v>
      </c>
    </row>
    <row r="4043" spans="1:19" x14ac:dyDescent="0.35">
      <c r="A4043">
        <v>132951</v>
      </c>
      <c r="B4043" t="str">
        <f>"132951"</f>
        <v>132951</v>
      </c>
      <c r="C4043" t="s">
        <v>12086</v>
      </c>
      <c r="D4043" t="s">
        <v>12052</v>
      </c>
      <c r="E4043" t="s">
        <v>12048</v>
      </c>
      <c r="F4043" t="s">
        <v>3396</v>
      </c>
      <c r="G4043" t="s">
        <v>143</v>
      </c>
      <c r="H4043" t="s">
        <v>12087</v>
      </c>
      <c r="I4043" t="s">
        <v>12088</v>
      </c>
      <c r="J4043" t="s">
        <v>143</v>
      </c>
      <c r="K4043" t="s">
        <v>55</v>
      </c>
      <c r="L4043" t="s">
        <v>1033</v>
      </c>
      <c r="M4043" t="s">
        <v>57</v>
      </c>
      <c r="N4043" t="str">
        <f>"020912"</f>
        <v>020912</v>
      </c>
      <c r="O4043" t="s">
        <v>12089</v>
      </c>
      <c r="P4043" t="s">
        <v>68</v>
      </c>
      <c r="Q4043">
        <v>100</v>
      </c>
      <c r="R4043">
        <v>74.599999999999994</v>
      </c>
      <c r="S4043" t="s">
        <v>69</v>
      </c>
    </row>
    <row r="4044" spans="1:19" x14ac:dyDescent="0.35">
      <c r="A4044">
        <v>132969</v>
      </c>
      <c r="B4044" t="str">
        <f>"132969"</f>
        <v>132969</v>
      </c>
      <c r="C4044" t="s">
        <v>12090</v>
      </c>
      <c r="D4044" t="s">
        <v>3400</v>
      </c>
      <c r="E4044" t="s">
        <v>12048</v>
      </c>
      <c r="F4044" t="s">
        <v>3396</v>
      </c>
      <c r="G4044" t="s">
        <v>143</v>
      </c>
      <c r="H4044" t="s">
        <v>12091</v>
      </c>
      <c r="I4044" t="s">
        <v>12092</v>
      </c>
      <c r="J4044" t="s">
        <v>528</v>
      </c>
      <c r="K4044" t="s">
        <v>55</v>
      </c>
      <c r="L4044" t="s">
        <v>529</v>
      </c>
      <c r="M4044" t="s">
        <v>57</v>
      </c>
      <c r="N4044" t="str">
        <f>"020912"</f>
        <v>020912</v>
      </c>
      <c r="O4044" t="s">
        <v>12089</v>
      </c>
      <c r="P4044" t="s">
        <v>68</v>
      </c>
      <c r="Q4044">
        <v>66.099999999999994</v>
      </c>
      <c r="R4044">
        <v>53.1</v>
      </c>
      <c r="S4044" t="s">
        <v>69</v>
      </c>
    </row>
    <row r="4045" spans="1:19" x14ac:dyDescent="0.35">
      <c r="A4045">
        <v>132969</v>
      </c>
      <c r="B4045" t="str">
        <f>"132969"</f>
        <v>132969</v>
      </c>
      <c r="C4045" t="s">
        <v>12090</v>
      </c>
      <c r="D4045" t="s">
        <v>12052</v>
      </c>
      <c r="E4045" t="s">
        <v>12048</v>
      </c>
      <c r="F4045" t="s">
        <v>3396</v>
      </c>
      <c r="G4045" t="s">
        <v>143</v>
      </c>
      <c r="H4045" t="s">
        <v>12091</v>
      </c>
      <c r="I4045" t="s">
        <v>12092</v>
      </c>
      <c r="J4045" t="s">
        <v>528</v>
      </c>
      <c r="K4045" t="s">
        <v>55</v>
      </c>
      <c r="L4045" t="s">
        <v>529</v>
      </c>
      <c r="M4045" t="s">
        <v>57</v>
      </c>
      <c r="N4045" t="str">
        <f>"020912"</f>
        <v>020912</v>
      </c>
      <c r="O4045" t="s">
        <v>12089</v>
      </c>
      <c r="P4045" t="s">
        <v>68</v>
      </c>
      <c r="Q4045">
        <v>66.099999999999994</v>
      </c>
      <c r="R4045">
        <v>53.1</v>
      </c>
      <c r="S4045" t="s">
        <v>69</v>
      </c>
    </row>
    <row r="4046" spans="1:19" x14ac:dyDescent="0.35">
      <c r="A4046">
        <v>132985</v>
      </c>
      <c r="B4046" t="str">
        <f>"132985"</f>
        <v>132985</v>
      </c>
      <c r="C4046" t="s">
        <v>12093</v>
      </c>
      <c r="D4046" t="s">
        <v>3398</v>
      </c>
      <c r="E4046" t="s">
        <v>12048</v>
      </c>
      <c r="F4046" t="s">
        <v>3396</v>
      </c>
      <c r="G4046" t="s">
        <v>600</v>
      </c>
      <c r="H4046" t="s">
        <v>12094</v>
      </c>
      <c r="I4046" t="s">
        <v>12095</v>
      </c>
      <c r="J4046" t="s">
        <v>1348</v>
      </c>
      <c r="K4046" t="s">
        <v>55</v>
      </c>
      <c r="L4046" t="s">
        <v>9099</v>
      </c>
      <c r="M4046" t="s">
        <v>57</v>
      </c>
      <c r="N4046" t="str">
        <f>"017297"</f>
        <v>017297</v>
      </c>
      <c r="O4046" t="s">
        <v>12062</v>
      </c>
      <c r="P4046" t="s">
        <v>68</v>
      </c>
      <c r="Q4046">
        <v>100</v>
      </c>
      <c r="R4046">
        <v>89.2</v>
      </c>
      <c r="S4046" t="s">
        <v>60</v>
      </c>
    </row>
    <row r="4047" spans="1:19" x14ac:dyDescent="0.35">
      <c r="A4047">
        <v>132985</v>
      </c>
      <c r="B4047" t="str">
        <f>"132985"</f>
        <v>132985</v>
      </c>
      <c r="C4047" t="s">
        <v>12093</v>
      </c>
      <c r="D4047" t="s">
        <v>12052</v>
      </c>
      <c r="E4047" t="s">
        <v>12048</v>
      </c>
      <c r="F4047" t="s">
        <v>3396</v>
      </c>
      <c r="G4047" t="s">
        <v>600</v>
      </c>
      <c r="H4047" t="s">
        <v>12094</v>
      </c>
      <c r="I4047" t="s">
        <v>12095</v>
      </c>
      <c r="J4047" t="s">
        <v>1348</v>
      </c>
      <c r="K4047" t="s">
        <v>55</v>
      </c>
      <c r="L4047" t="s">
        <v>9099</v>
      </c>
      <c r="M4047" t="s">
        <v>57</v>
      </c>
      <c r="N4047" t="str">
        <f>"017297"</f>
        <v>017297</v>
      </c>
      <c r="O4047" t="s">
        <v>12062</v>
      </c>
      <c r="P4047" t="s">
        <v>68</v>
      </c>
      <c r="Q4047">
        <v>100</v>
      </c>
      <c r="R4047">
        <v>89.2</v>
      </c>
      <c r="S4047" t="s">
        <v>60</v>
      </c>
    </row>
    <row r="4048" spans="1:19" x14ac:dyDescent="0.35">
      <c r="A4048">
        <v>132985</v>
      </c>
      <c r="B4048" t="str">
        <f>"132985"</f>
        <v>132985</v>
      </c>
      <c r="C4048" t="s">
        <v>12093</v>
      </c>
      <c r="D4048" t="s">
        <v>12063</v>
      </c>
      <c r="E4048" t="s">
        <v>12048</v>
      </c>
      <c r="F4048" t="s">
        <v>3396</v>
      </c>
      <c r="G4048" t="s">
        <v>600</v>
      </c>
      <c r="H4048" t="s">
        <v>12094</v>
      </c>
      <c r="I4048" t="s">
        <v>12095</v>
      </c>
      <c r="J4048" t="s">
        <v>1348</v>
      </c>
      <c r="K4048" t="s">
        <v>55</v>
      </c>
      <c r="L4048" t="s">
        <v>9099</v>
      </c>
      <c r="M4048" t="s">
        <v>57</v>
      </c>
      <c r="N4048" t="str">
        <f>"017297"</f>
        <v>017297</v>
      </c>
      <c r="O4048" t="s">
        <v>12062</v>
      </c>
      <c r="P4048" t="s">
        <v>68</v>
      </c>
      <c r="Q4048">
        <v>100</v>
      </c>
      <c r="R4048">
        <v>89.2</v>
      </c>
      <c r="S4048" t="s">
        <v>60</v>
      </c>
    </row>
    <row r="4049" spans="1:19" x14ac:dyDescent="0.35">
      <c r="A4049">
        <v>132993</v>
      </c>
      <c r="B4049" t="str">
        <f>"132993"</f>
        <v>132993</v>
      </c>
      <c r="C4049" t="s">
        <v>12096</v>
      </c>
      <c r="D4049" t="s">
        <v>3394</v>
      </c>
      <c r="E4049" t="s">
        <v>12048</v>
      </c>
      <c r="F4049" t="s">
        <v>3396</v>
      </c>
      <c r="G4049" t="s">
        <v>63</v>
      </c>
      <c r="H4049" t="s">
        <v>12097</v>
      </c>
      <c r="I4049" t="s">
        <v>12098</v>
      </c>
      <c r="J4049" t="s">
        <v>285</v>
      </c>
      <c r="K4049" t="s">
        <v>55</v>
      </c>
      <c r="L4049" t="s">
        <v>5375</v>
      </c>
      <c r="M4049" t="s">
        <v>57</v>
      </c>
      <c r="N4049" t="str">
        <f>"020912"</f>
        <v>020912</v>
      </c>
      <c r="O4049" t="s">
        <v>12089</v>
      </c>
      <c r="P4049" t="s">
        <v>68</v>
      </c>
      <c r="Q4049">
        <v>60.5</v>
      </c>
      <c r="R4049">
        <v>61</v>
      </c>
      <c r="S4049" t="s">
        <v>69</v>
      </c>
    </row>
    <row r="4050" spans="1:19" x14ac:dyDescent="0.35">
      <c r="A4050">
        <v>132993</v>
      </c>
      <c r="B4050" t="str">
        <f>"132993"</f>
        <v>132993</v>
      </c>
      <c r="C4050" t="s">
        <v>12096</v>
      </c>
      <c r="D4050" t="s">
        <v>12052</v>
      </c>
      <c r="E4050" t="s">
        <v>12048</v>
      </c>
      <c r="F4050" t="s">
        <v>3396</v>
      </c>
      <c r="G4050" t="s">
        <v>63</v>
      </c>
      <c r="H4050" t="s">
        <v>12097</v>
      </c>
      <c r="I4050" t="s">
        <v>12098</v>
      </c>
      <c r="J4050" t="s">
        <v>285</v>
      </c>
      <c r="K4050" t="s">
        <v>55</v>
      </c>
      <c r="L4050" t="s">
        <v>5375</v>
      </c>
      <c r="M4050" t="s">
        <v>57</v>
      </c>
      <c r="N4050" t="str">
        <f>"020912"</f>
        <v>020912</v>
      </c>
      <c r="O4050" t="s">
        <v>12089</v>
      </c>
      <c r="P4050" t="s">
        <v>68</v>
      </c>
      <c r="Q4050">
        <v>60.5</v>
      </c>
      <c r="R4050">
        <v>61</v>
      </c>
      <c r="S4050" t="s">
        <v>69</v>
      </c>
    </row>
    <row r="4051" spans="1:19" x14ac:dyDescent="0.35">
      <c r="A4051">
        <v>133033</v>
      </c>
      <c r="B4051" t="str">
        <f>"133033"</f>
        <v>133033</v>
      </c>
      <c r="C4051" t="s">
        <v>12099</v>
      </c>
      <c r="D4051" t="s">
        <v>3543</v>
      </c>
      <c r="E4051" t="s">
        <v>9538</v>
      </c>
      <c r="F4051" t="s">
        <v>3396</v>
      </c>
      <c r="G4051" t="s">
        <v>63</v>
      </c>
      <c r="H4051" t="s">
        <v>12100</v>
      </c>
      <c r="I4051" t="s">
        <v>12101</v>
      </c>
      <c r="J4051" t="s">
        <v>285</v>
      </c>
      <c r="K4051" t="s">
        <v>55</v>
      </c>
      <c r="L4051" t="s">
        <v>3525</v>
      </c>
      <c r="M4051" t="s">
        <v>57</v>
      </c>
      <c r="N4051" t="str">
        <f>"133033"</f>
        <v>133033</v>
      </c>
      <c r="O4051" t="s">
        <v>12099</v>
      </c>
      <c r="P4051" t="s">
        <v>68</v>
      </c>
      <c r="Q4051" t="s">
        <v>68</v>
      </c>
      <c r="R4051" t="s">
        <v>68</v>
      </c>
      <c r="S4051" t="s">
        <v>69</v>
      </c>
    </row>
    <row r="4052" spans="1:19" x14ac:dyDescent="0.35">
      <c r="A4052">
        <v>133033</v>
      </c>
      <c r="B4052" t="str">
        <f>"133033"</f>
        <v>133033</v>
      </c>
      <c r="C4052" t="s">
        <v>12099</v>
      </c>
      <c r="D4052" t="s">
        <v>9541</v>
      </c>
      <c r="E4052" t="s">
        <v>9538</v>
      </c>
      <c r="F4052" t="s">
        <v>3396</v>
      </c>
      <c r="G4052" t="s">
        <v>63</v>
      </c>
      <c r="H4052" t="s">
        <v>12100</v>
      </c>
      <c r="I4052" t="s">
        <v>12101</v>
      </c>
      <c r="J4052" t="s">
        <v>285</v>
      </c>
      <c r="K4052" t="s">
        <v>55</v>
      </c>
      <c r="L4052" t="s">
        <v>3525</v>
      </c>
      <c r="M4052" t="s">
        <v>57</v>
      </c>
      <c r="N4052" t="str">
        <f>"133033"</f>
        <v>133033</v>
      </c>
      <c r="O4052" t="s">
        <v>12099</v>
      </c>
      <c r="P4052" t="s">
        <v>68</v>
      </c>
      <c r="Q4052" t="s">
        <v>68</v>
      </c>
      <c r="R4052" t="s">
        <v>68</v>
      </c>
      <c r="S4052" t="s">
        <v>69</v>
      </c>
    </row>
    <row r="4053" spans="1:19" x14ac:dyDescent="0.35">
      <c r="A4053">
        <v>133041</v>
      </c>
      <c r="B4053" t="str">
        <f>"133041"</f>
        <v>133041</v>
      </c>
      <c r="C4053" t="s">
        <v>12102</v>
      </c>
      <c r="D4053" t="s">
        <v>3394</v>
      </c>
      <c r="E4053" t="s">
        <v>9538</v>
      </c>
      <c r="F4053" t="s">
        <v>3396</v>
      </c>
      <c r="G4053" t="s">
        <v>117</v>
      </c>
      <c r="H4053" t="s">
        <v>12103</v>
      </c>
      <c r="I4053" t="s">
        <v>12104</v>
      </c>
      <c r="J4053" t="s">
        <v>1409</v>
      </c>
      <c r="K4053" t="s">
        <v>55</v>
      </c>
      <c r="L4053" t="s">
        <v>4339</v>
      </c>
      <c r="M4053" t="s">
        <v>57</v>
      </c>
      <c r="N4053" t="str">
        <f>"133041"</f>
        <v>133041</v>
      </c>
      <c r="O4053" t="s">
        <v>12102</v>
      </c>
      <c r="P4053" t="s">
        <v>68</v>
      </c>
      <c r="Q4053" t="s">
        <v>68</v>
      </c>
      <c r="R4053" t="s">
        <v>68</v>
      </c>
      <c r="S4053" t="s">
        <v>77</v>
      </c>
    </row>
    <row r="4054" spans="1:19" x14ac:dyDescent="0.35">
      <c r="A4054">
        <v>133082</v>
      </c>
      <c r="B4054" t="str">
        <f>"133082"</f>
        <v>133082</v>
      </c>
      <c r="C4054" t="s">
        <v>12105</v>
      </c>
      <c r="D4054" t="s">
        <v>3543</v>
      </c>
      <c r="E4054" t="s">
        <v>9538</v>
      </c>
      <c r="F4054" t="s">
        <v>3396</v>
      </c>
      <c r="G4054" t="s">
        <v>63</v>
      </c>
      <c r="H4054" t="s">
        <v>12106</v>
      </c>
      <c r="I4054" t="s">
        <v>12107</v>
      </c>
      <c r="J4054" t="s">
        <v>101</v>
      </c>
      <c r="K4054" t="s">
        <v>55</v>
      </c>
      <c r="L4054" t="s">
        <v>1636</v>
      </c>
      <c r="M4054" t="s">
        <v>57</v>
      </c>
      <c r="N4054" t="str">
        <f>"133082"</f>
        <v>133082</v>
      </c>
      <c r="O4054" t="s">
        <v>12105</v>
      </c>
      <c r="P4054" t="s">
        <v>68</v>
      </c>
      <c r="Q4054" t="s">
        <v>68</v>
      </c>
      <c r="R4054" t="s">
        <v>68</v>
      </c>
      <c r="S4054" t="s">
        <v>69</v>
      </c>
    </row>
    <row r="4055" spans="1:19" x14ac:dyDescent="0.35">
      <c r="A4055">
        <v>133082</v>
      </c>
      <c r="B4055" t="str">
        <f>"133082"</f>
        <v>133082</v>
      </c>
      <c r="C4055" t="s">
        <v>12105</v>
      </c>
      <c r="D4055" t="s">
        <v>9541</v>
      </c>
      <c r="E4055" t="s">
        <v>9538</v>
      </c>
      <c r="F4055" t="s">
        <v>3396</v>
      </c>
      <c r="G4055" t="s">
        <v>63</v>
      </c>
      <c r="H4055" t="s">
        <v>12106</v>
      </c>
      <c r="I4055" t="s">
        <v>12107</v>
      </c>
      <c r="J4055" t="s">
        <v>101</v>
      </c>
      <c r="K4055" t="s">
        <v>55</v>
      </c>
      <c r="L4055" t="s">
        <v>1636</v>
      </c>
      <c r="M4055" t="s">
        <v>57</v>
      </c>
      <c r="N4055" t="str">
        <f>"133082"</f>
        <v>133082</v>
      </c>
      <c r="O4055" t="s">
        <v>12105</v>
      </c>
      <c r="P4055" t="s">
        <v>68</v>
      </c>
      <c r="Q4055" t="s">
        <v>68</v>
      </c>
      <c r="R4055" t="s">
        <v>68</v>
      </c>
      <c r="S4055" t="s">
        <v>69</v>
      </c>
    </row>
    <row r="4056" spans="1:19" x14ac:dyDescent="0.35">
      <c r="A4056">
        <v>133090</v>
      </c>
      <c r="B4056" t="str">
        <f>"133090"</f>
        <v>133090</v>
      </c>
      <c r="C4056" t="s">
        <v>12108</v>
      </c>
      <c r="D4056" t="s">
        <v>3394</v>
      </c>
      <c r="E4056" t="s">
        <v>9538</v>
      </c>
      <c r="F4056" t="s">
        <v>3396</v>
      </c>
      <c r="G4056" t="s">
        <v>172</v>
      </c>
      <c r="H4056" t="s">
        <v>12109</v>
      </c>
      <c r="I4056" t="s">
        <v>12110</v>
      </c>
      <c r="J4056" t="s">
        <v>2604</v>
      </c>
      <c r="K4056" t="s">
        <v>55</v>
      </c>
      <c r="L4056" t="s">
        <v>2605</v>
      </c>
      <c r="M4056" t="s">
        <v>57</v>
      </c>
      <c r="N4056" t="str">
        <f>"133090"</f>
        <v>133090</v>
      </c>
      <c r="O4056" t="s">
        <v>12108</v>
      </c>
      <c r="P4056" t="s">
        <v>68</v>
      </c>
      <c r="Q4056" t="s">
        <v>68</v>
      </c>
      <c r="R4056" t="s">
        <v>68</v>
      </c>
      <c r="S4056" t="s">
        <v>217</v>
      </c>
    </row>
    <row r="4057" spans="1:19" x14ac:dyDescent="0.35">
      <c r="A4057">
        <v>133090</v>
      </c>
      <c r="B4057" t="str">
        <f>"133090"</f>
        <v>133090</v>
      </c>
      <c r="C4057" t="s">
        <v>12108</v>
      </c>
      <c r="D4057" t="s">
        <v>9541</v>
      </c>
      <c r="E4057" t="s">
        <v>9538</v>
      </c>
      <c r="F4057" t="s">
        <v>3396</v>
      </c>
      <c r="G4057" t="s">
        <v>172</v>
      </c>
      <c r="H4057" t="s">
        <v>12109</v>
      </c>
      <c r="I4057" t="s">
        <v>12110</v>
      </c>
      <c r="J4057" t="s">
        <v>2604</v>
      </c>
      <c r="K4057" t="s">
        <v>55</v>
      </c>
      <c r="L4057" t="s">
        <v>2605</v>
      </c>
      <c r="M4057" t="s">
        <v>57</v>
      </c>
      <c r="N4057" t="str">
        <f>"133090"</f>
        <v>133090</v>
      </c>
      <c r="O4057" t="s">
        <v>12108</v>
      </c>
      <c r="P4057" t="s">
        <v>68</v>
      </c>
      <c r="Q4057" t="s">
        <v>68</v>
      </c>
      <c r="R4057" t="s">
        <v>68</v>
      </c>
      <c r="S4057" t="s">
        <v>217</v>
      </c>
    </row>
    <row r="4058" spans="1:19" x14ac:dyDescent="0.35">
      <c r="A4058">
        <v>133116</v>
      </c>
      <c r="B4058" t="str">
        <f>"133116"</f>
        <v>133116</v>
      </c>
      <c r="C4058" t="s">
        <v>12111</v>
      </c>
      <c r="D4058" t="s">
        <v>3394</v>
      </c>
      <c r="E4058" t="s">
        <v>9538</v>
      </c>
      <c r="F4058" t="s">
        <v>3396</v>
      </c>
      <c r="G4058" t="s">
        <v>52</v>
      </c>
      <c r="H4058" t="s">
        <v>12112</v>
      </c>
      <c r="I4058" t="s">
        <v>12113</v>
      </c>
      <c r="J4058" t="s">
        <v>2690</v>
      </c>
      <c r="K4058" t="s">
        <v>55</v>
      </c>
      <c r="L4058" t="s">
        <v>10334</v>
      </c>
      <c r="M4058" t="s">
        <v>57</v>
      </c>
      <c r="N4058" t="str">
        <f>"133116"</f>
        <v>133116</v>
      </c>
      <c r="O4058" t="s">
        <v>12111</v>
      </c>
      <c r="P4058" t="s">
        <v>68</v>
      </c>
      <c r="Q4058" t="s">
        <v>68</v>
      </c>
      <c r="R4058" t="s">
        <v>68</v>
      </c>
      <c r="S4058" t="s">
        <v>60</v>
      </c>
    </row>
    <row r="4059" spans="1:19" x14ac:dyDescent="0.35">
      <c r="A4059">
        <v>133140</v>
      </c>
      <c r="B4059" t="str">
        <f>"133140"</f>
        <v>133140</v>
      </c>
      <c r="C4059" t="s">
        <v>12114</v>
      </c>
      <c r="D4059" t="s">
        <v>3398</v>
      </c>
      <c r="E4059" t="s">
        <v>9538</v>
      </c>
      <c r="F4059" t="s">
        <v>3396</v>
      </c>
      <c r="G4059" t="s">
        <v>481</v>
      </c>
      <c r="H4059" t="s">
        <v>12115</v>
      </c>
      <c r="I4059" t="s">
        <v>12116</v>
      </c>
      <c r="J4059" t="s">
        <v>4970</v>
      </c>
      <c r="K4059" t="s">
        <v>55</v>
      </c>
      <c r="L4059" t="s">
        <v>1822</v>
      </c>
      <c r="M4059" t="s">
        <v>57</v>
      </c>
      <c r="N4059" t="str">
        <f>"133140"</f>
        <v>133140</v>
      </c>
      <c r="O4059" t="s">
        <v>12114</v>
      </c>
      <c r="P4059" t="s">
        <v>68</v>
      </c>
      <c r="Q4059" t="s">
        <v>68</v>
      </c>
      <c r="R4059" t="s">
        <v>68</v>
      </c>
      <c r="S4059" t="s">
        <v>69</v>
      </c>
    </row>
    <row r="4060" spans="1:19" x14ac:dyDescent="0.35">
      <c r="A4060">
        <v>133165</v>
      </c>
      <c r="B4060" t="str">
        <f>"133165"</f>
        <v>133165</v>
      </c>
      <c r="C4060" t="s">
        <v>12117</v>
      </c>
      <c r="D4060" t="s">
        <v>3394</v>
      </c>
      <c r="E4060" t="s">
        <v>9538</v>
      </c>
      <c r="F4060" t="s">
        <v>3396</v>
      </c>
      <c r="G4060" t="s">
        <v>117</v>
      </c>
      <c r="H4060" t="s">
        <v>12118</v>
      </c>
      <c r="I4060" t="s">
        <v>12119</v>
      </c>
      <c r="J4060" t="s">
        <v>3230</v>
      </c>
      <c r="K4060" t="s">
        <v>55</v>
      </c>
      <c r="L4060" t="s">
        <v>3231</v>
      </c>
      <c r="M4060" t="s">
        <v>57</v>
      </c>
      <c r="N4060" t="str">
        <f>"133165"</f>
        <v>133165</v>
      </c>
      <c r="O4060" t="s">
        <v>12117</v>
      </c>
      <c r="P4060" t="s">
        <v>68</v>
      </c>
      <c r="Q4060" t="s">
        <v>68</v>
      </c>
      <c r="R4060" t="s">
        <v>68</v>
      </c>
      <c r="S4060" t="s">
        <v>77</v>
      </c>
    </row>
    <row r="4061" spans="1:19" x14ac:dyDescent="0.35">
      <c r="A4061">
        <v>133207</v>
      </c>
      <c r="B4061" t="str">
        <f>"133207"</f>
        <v>133207</v>
      </c>
      <c r="C4061" t="s">
        <v>12120</v>
      </c>
      <c r="D4061" t="s">
        <v>3394</v>
      </c>
      <c r="E4061" t="s">
        <v>9538</v>
      </c>
      <c r="F4061" t="s">
        <v>3396</v>
      </c>
      <c r="G4061" t="s">
        <v>212</v>
      </c>
      <c r="H4061" t="s">
        <v>12121</v>
      </c>
      <c r="I4061" t="s">
        <v>12122</v>
      </c>
      <c r="J4061" t="s">
        <v>215</v>
      </c>
      <c r="K4061" t="s">
        <v>55</v>
      </c>
      <c r="L4061" t="s">
        <v>2468</v>
      </c>
      <c r="M4061" t="s">
        <v>57</v>
      </c>
      <c r="N4061" t="str">
        <f>"000136"</f>
        <v>000136</v>
      </c>
      <c r="O4061" t="s">
        <v>2853</v>
      </c>
      <c r="P4061" t="s">
        <v>68</v>
      </c>
      <c r="Q4061" t="s">
        <v>68</v>
      </c>
      <c r="R4061" t="s">
        <v>68</v>
      </c>
      <c r="S4061" t="s">
        <v>217</v>
      </c>
    </row>
    <row r="4062" spans="1:19" x14ac:dyDescent="0.35">
      <c r="A4062">
        <v>133215</v>
      </c>
      <c r="B4062" t="str">
        <f>"133215"</f>
        <v>133215</v>
      </c>
      <c r="C4062" t="s">
        <v>12123</v>
      </c>
      <c r="D4062" t="s">
        <v>3394</v>
      </c>
      <c r="E4062" t="s">
        <v>12048</v>
      </c>
      <c r="F4062" t="s">
        <v>3396</v>
      </c>
      <c r="G4062" t="s">
        <v>63</v>
      </c>
      <c r="H4062" t="s">
        <v>12124</v>
      </c>
      <c r="I4062" t="s">
        <v>12125</v>
      </c>
      <c r="J4062" t="s">
        <v>285</v>
      </c>
      <c r="K4062" t="s">
        <v>55</v>
      </c>
      <c r="L4062" t="s">
        <v>3525</v>
      </c>
      <c r="M4062" t="s">
        <v>57</v>
      </c>
      <c r="N4062" t="str">
        <f>"N/A"</f>
        <v>N/A</v>
      </c>
      <c r="O4062" t="s">
        <v>49</v>
      </c>
      <c r="P4062" t="s">
        <v>68</v>
      </c>
      <c r="Q4062">
        <v>100</v>
      </c>
      <c r="R4062">
        <v>100</v>
      </c>
      <c r="S4062" t="s">
        <v>69</v>
      </c>
    </row>
    <row r="4063" spans="1:19" x14ac:dyDescent="0.35">
      <c r="A4063">
        <v>133215</v>
      </c>
      <c r="B4063" t="str">
        <f>"133215"</f>
        <v>133215</v>
      </c>
      <c r="C4063" t="s">
        <v>12123</v>
      </c>
      <c r="D4063" t="s">
        <v>12052</v>
      </c>
      <c r="E4063" t="s">
        <v>12048</v>
      </c>
      <c r="F4063" t="s">
        <v>3396</v>
      </c>
      <c r="G4063" t="s">
        <v>63</v>
      </c>
      <c r="H4063" t="s">
        <v>12124</v>
      </c>
      <c r="I4063" t="s">
        <v>12125</v>
      </c>
      <c r="J4063" t="s">
        <v>285</v>
      </c>
      <c r="K4063" t="s">
        <v>55</v>
      </c>
      <c r="L4063" t="s">
        <v>3525</v>
      </c>
      <c r="M4063" t="s">
        <v>57</v>
      </c>
      <c r="N4063" t="str">
        <f>"N/A"</f>
        <v>N/A</v>
      </c>
      <c r="O4063" t="s">
        <v>49</v>
      </c>
      <c r="P4063" t="s">
        <v>68</v>
      </c>
      <c r="Q4063">
        <v>100</v>
      </c>
      <c r="R4063">
        <v>100</v>
      </c>
      <c r="S4063" t="s">
        <v>69</v>
      </c>
    </row>
    <row r="4064" spans="1:19" x14ac:dyDescent="0.35">
      <c r="A4064">
        <v>133215</v>
      </c>
      <c r="B4064" t="str">
        <f>"133215"</f>
        <v>133215</v>
      </c>
      <c r="C4064" t="s">
        <v>12123</v>
      </c>
      <c r="D4064" t="s">
        <v>12126</v>
      </c>
      <c r="E4064" t="s">
        <v>12048</v>
      </c>
      <c r="F4064" t="s">
        <v>3396</v>
      </c>
      <c r="G4064" t="s">
        <v>63</v>
      </c>
      <c r="H4064" t="s">
        <v>12124</v>
      </c>
      <c r="I4064" t="s">
        <v>12125</v>
      </c>
      <c r="J4064" t="s">
        <v>285</v>
      </c>
      <c r="K4064" t="s">
        <v>55</v>
      </c>
      <c r="L4064" t="s">
        <v>3525</v>
      </c>
      <c r="M4064" t="s">
        <v>57</v>
      </c>
      <c r="N4064" t="str">
        <f>"N/A"</f>
        <v>N/A</v>
      </c>
      <c r="O4064" t="s">
        <v>49</v>
      </c>
      <c r="P4064" t="s">
        <v>68</v>
      </c>
      <c r="Q4064">
        <v>100</v>
      </c>
      <c r="R4064">
        <v>100</v>
      </c>
      <c r="S4064" t="s">
        <v>69</v>
      </c>
    </row>
    <row r="4065" spans="1:19" x14ac:dyDescent="0.35">
      <c r="A4065">
        <v>133256</v>
      </c>
      <c r="B4065" t="str">
        <f>"133256"</f>
        <v>133256</v>
      </c>
      <c r="C4065" t="s">
        <v>12127</v>
      </c>
      <c r="D4065" t="s">
        <v>3398</v>
      </c>
      <c r="E4065" t="s">
        <v>12048</v>
      </c>
      <c r="F4065" t="s">
        <v>3396</v>
      </c>
      <c r="G4065" t="s">
        <v>63</v>
      </c>
      <c r="H4065" t="s">
        <v>12128</v>
      </c>
      <c r="I4065" t="s">
        <v>12129</v>
      </c>
      <c r="J4065" t="s">
        <v>66</v>
      </c>
      <c r="K4065" t="s">
        <v>55</v>
      </c>
      <c r="L4065" t="s">
        <v>7937</v>
      </c>
      <c r="M4065" t="s">
        <v>57</v>
      </c>
      <c r="N4065" t="str">
        <f>"020912"</f>
        <v>020912</v>
      </c>
      <c r="O4065" t="s">
        <v>12089</v>
      </c>
      <c r="P4065" t="s">
        <v>68</v>
      </c>
      <c r="Q4065">
        <v>51.7</v>
      </c>
      <c r="R4065">
        <v>41.3</v>
      </c>
      <c r="S4065" t="s">
        <v>69</v>
      </c>
    </row>
    <row r="4066" spans="1:19" x14ac:dyDescent="0.35">
      <c r="A4066">
        <v>133256</v>
      </c>
      <c r="B4066" t="str">
        <f>"133256"</f>
        <v>133256</v>
      </c>
      <c r="C4066" t="s">
        <v>12127</v>
      </c>
      <c r="D4066" t="s">
        <v>12052</v>
      </c>
      <c r="E4066" t="s">
        <v>12048</v>
      </c>
      <c r="F4066" t="s">
        <v>3396</v>
      </c>
      <c r="G4066" t="s">
        <v>63</v>
      </c>
      <c r="H4066" t="s">
        <v>12128</v>
      </c>
      <c r="I4066" t="s">
        <v>12129</v>
      </c>
      <c r="J4066" t="s">
        <v>66</v>
      </c>
      <c r="K4066" t="s">
        <v>55</v>
      </c>
      <c r="L4066" t="s">
        <v>7937</v>
      </c>
      <c r="M4066" t="s">
        <v>57</v>
      </c>
      <c r="N4066" t="str">
        <f>"020912"</f>
        <v>020912</v>
      </c>
      <c r="O4066" t="s">
        <v>12089</v>
      </c>
      <c r="P4066" t="s">
        <v>68</v>
      </c>
      <c r="Q4066">
        <v>51.7</v>
      </c>
      <c r="R4066">
        <v>41.3</v>
      </c>
      <c r="S4066" t="s">
        <v>69</v>
      </c>
    </row>
    <row r="4067" spans="1:19" x14ac:dyDescent="0.35">
      <c r="A4067">
        <v>133264</v>
      </c>
      <c r="B4067" t="str">
        <f>"133264"</f>
        <v>133264</v>
      </c>
      <c r="C4067" t="s">
        <v>12130</v>
      </c>
      <c r="D4067" t="s">
        <v>3398</v>
      </c>
      <c r="E4067" t="s">
        <v>12048</v>
      </c>
      <c r="F4067" t="s">
        <v>3396</v>
      </c>
      <c r="G4067" t="s">
        <v>212</v>
      </c>
      <c r="H4067" t="s">
        <v>12131</v>
      </c>
      <c r="I4067" t="s">
        <v>12132</v>
      </c>
      <c r="J4067" t="s">
        <v>215</v>
      </c>
      <c r="K4067" t="s">
        <v>55</v>
      </c>
      <c r="L4067" t="s">
        <v>4767</v>
      </c>
      <c r="M4067" t="s">
        <v>57</v>
      </c>
      <c r="N4067" t="str">
        <f>"019070"</f>
        <v>019070</v>
      </c>
      <c r="O4067" t="s">
        <v>12133</v>
      </c>
      <c r="P4067" t="s">
        <v>68</v>
      </c>
      <c r="Q4067">
        <v>95.3</v>
      </c>
      <c r="R4067">
        <v>98</v>
      </c>
      <c r="S4067" t="s">
        <v>217</v>
      </c>
    </row>
    <row r="4068" spans="1:19" x14ac:dyDescent="0.35">
      <c r="A4068">
        <v>133264</v>
      </c>
      <c r="B4068" t="str">
        <f>"133264"</f>
        <v>133264</v>
      </c>
      <c r="C4068" t="s">
        <v>12130</v>
      </c>
      <c r="D4068" t="s">
        <v>12052</v>
      </c>
      <c r="E4068" t="s">
        <v>12048</v>
      </c>
      <c r="F4068" t="s">
        <v>3396</v>
      </c>
      <c r="G4068" t="s">
        <v>212</v>
      </c>
      <c r="H4068" t="s">
        <v>12131</v>
      </c>
      <c r="I4068" t="s">
        <v>12132</v>
      </c>
      <c r="J4068" t="s">
        <v>215</v>
      </c>
      <c r="K4068" t="s">
        <v>55</v>
      </c>
      <c r="L4068" t="s">
        <v>4767</v>
      </c>
      <c r="M4068" t="s">
        <v>57</v>
      </c>
      <c r="N4068" t="str">
        <f>"019070"</f>
        <v>019070</v>
      </c>
      <c r="O4068" t="s">
        <v>12133</v>
      </c>
      <c r="P4068" t="s">
        <v>68</v>
      </c>
      <c r="Q4068">
        <v>95.3</v>
      </c>
      <c r="R4068">
        <v>98</v>
      </c>
      <c r="S4068" t="s">
        <v>217</v>
      </c>
    </row>
    <row r="4069" spans="1:19" x14ac:dyDescent="0.35">
      <c r="A4069">
        <v>133264</v>
      </c>
      <c r="B4069" t="str">
        <f>"133264"</f>
        <v>133264</v>
      </c>
      <c r="C4069" t="s">
        <v>12130</v>
      </c>
      <c r="D4069" t="s">
        <v>12063</v>
      </c>
      <c r="E4069" t="s">
        <v>12048</v>
      </c>
      <c r="F4069" t="s">
        <v>3396</v>
      </c>
      <c r="G4069" t="s">
        <v>212</v>
      </c>
      <c r="H4069" t="s">
        <v>12131</v>
      </c>
      <c r="I4069" t="s">
        <v>12132</v>
      </c>
      <c r="J4069" t="s">
        <v>215</v>
      </c>
      <c r="K4069" t="s">
        <v>55</v>
      </c>
      <c r="L4069" t="s">
        <v>4767</v>
      </c>
      <c r="M4069" t="s">
        <v>57</v>
      </c>
      <c r="N4069" t="str">
        <f>"019070"</f>
        <v>019070</v>
      </c>
      <c r="O4069" t="s">
        <v>12133</v>
      </c>
      <c r="P4069" t="s">
        <v>68</v>
      </c>
      <c r="Q4069">
        <v>95.3</v>
      </c>
      <c r="R4069">
        <v>98</v>
      </c>
      <c r="S4069" t="s">
        <v>217</v>
      </c>
    </row>
    <row r="4070" spans="1:19" x14ac:dyDescent="0.35">
      <c r="A4070">
        <v>133280</v>
      </c>
      <c r="B4070" t="str">
        <f>"133280"</f>
        <v>133280</v>
      </c>
      <c r="C4070" t="s">
        <v>12134</v>
      </c>
      <c r="D4070" t="s">
        <v>3394</v>
      </c>
      <c r="E4070" t="s">
        <v>12048</v>
      </c>
      <c r="F4070" t="s">
        <v>3396</v>
      </c>
      <c r="G4070" t="s">
        <v>63</v>
      </c>
      <c r="H4070" t="s">
        <v>12135</v>
      </c>
      <c r="I4070" t="s">
        <v>12136</v>
      </c>
      <c r="J4070" t="s">
        <v>12137</v>
      </c>
      <c r="K4070" t="s">
        <v>55</v>
      </c>
      <c r="L4070" t="s">
        <v>4335</v>
      </c>
      <c r="M4070" t="s">
        <v>57</v>
      </c>
      <c r="N4070" t="str">
        <f>"N/A"</f>
        <v>N/A</v>
      </c>
      <c r="O4070" t="s">
        <v>49</v>
      </c>
      <c r="P4070" t="s">
        <v>68</v>
      </c>
      <c r="Q4070">
        <v>93.8</v>
      </c>
      <c r="R4070">
        <v>38.4</v>
      </c>
      <c r="S4070" t="s">
        <v>69</v>
      </c>
    </row>
    <row r="4071" spans="1:19" x14ac:dyDescent="0.35">
      <c r="A4071">
        <v>133280</v>
      </c>
      <c r="B4071" t="str">
        <f>"133280"</f>
        <v>133280</v>
      </c>
      <c r="C4071" t="s">
        <v>12134</v>
      </c>
      <c r="D4071" t="s">
        <v>12052</v>
      </c>
      <c r="E4071" t="s">
        <v>12048</v>
      </c>
      <c r="F4071" t="s">
        <v>3396</v>
      </c>
      <c r="G4071" t="s">
        <v>63</v>
      </c>
      <c r="H4071" t="s">
        <v>12135</v>
      </c>
      <c r="I4071" t="s">
        <v>12136</v>
      </c>
      <c r="J4071" t="s">
        <v>12137</v>
      </c>
      <c r="K4071" t="s">
        <v>55</v>
      </c>
      <c r="L4071" t="s">
        <v>4335</v>
      </c>
      <c r="M4071" t="s">
        <v>57</v>
      </c>
      <c r="N4071" t="str">
        <f>"N/A"</f>
        <v>N/A</v>
      </c>
      <c r="O4071" t="s">
        <v>49</v>
      </c>
      <c r="P4071" t="s">
        <v>68</v>
      </c>
      <c r="Q4071">
        <v>93.8</v>
      </c>
      <c r="R4071">
        <v>38.4</v>
      </c>
      <c r="S4071" t="s">
        <v>69</v>
      </c>
    </row>
    <row r="4072" spans="1:19" x14ac:dyDescent="0.35">
      <c r="A4072">
        <v>133306</v>
      </c>
      <c r="B4072" t="str">
        <f>"133306"</f>
        <v>133306</v>
      </c>
      <c r="C4072" t="s">
        <v>12138</v>
      </c>
      <c r="D4072" t="s">
        <v>3394</v>
      </c>
      <c r="E4072" t="s">
        <v>12048</v>
      </c>
      <c r="F4072" t="s">
        <v>3396</v>
      </c>
      <c r="G4072" t="s">
        <v>117</v>
      </c>
      <c r="H4072" t="s">
        <v>12139</v>
      </c>
      <c r="I4072" t="s">
        <v>12140</v>
      </c>
      <c r="J4072" t="s">
        <v>1409</v>
      </c>
      <c r="K4072" t="s">
        <v>55</v>
      </c>
      <c r="L4072" t="s">
        <v>1986</v>
      </c>
      <c r="M4072" t="s">
        <v>57</v>
      </c>
      <c r="N4072" t="str">
        <f>"014992"</f>
        <v>014992</v>
      </c>
      <c r="O4072" t="s">
        <v>12051</v>
      </c>
      <c r="P4072" t="s">
        <v>68</v>
      </c>
      <c r="Q4072">
        <v>99</v>
      </c>
      <c r="R4072">
        <v>40.799999999999997</v>
      </c>
      <c r="S4072" t="s">
        <v>77</v>
      </c>
    </row>
    <row r="4073" spans="1:19" x14ac:dyDescent="0.35">
      <c r="A4073">
        <v>133306</v>
      </c>
      <c r="B4073" t="str">
        <f>"133306"</f>
        <v>133306</v>
      </c>
      <c r="C4073" t="s">
        <v>12138</v>
      </c>
      <c r="D4073" t="s">
        <v>12052</v>
      </c>
      <c r="E4073" t="s">
        <v>12048</v>
      </c>
      <c r="F4073" t="s">
        <v>3396</v>
      </c>
      <c r="G4073" t="s">
        <v>117</v>
      </c>
      <c r="H4073" t="s">
        <v>12139</v>
      </c>
      <c r="I4073" t="s">
        <v>12140</v>
      </c>
      <c r="J4073" t="s">
        <v>1409</v>
      </c>
      <c r="K4073" t="s">
        <v>55</v>
      </c>
      <c r="L4073" t="s">
        <v>1986</v>
      </c>
      <c r="M4073" t="s">
        <v>57</v>
      </c>
      <c r="N4073" t="str">
        <f>"014992"</f>
        <v>014992</v>
      </c>
      <c r="O4073" t="s">
        <v>12051</v>
      </c>
      <c r="P4073" t="s">
        <v>68</v>
      </c>
      <c r="Q4073">
        <v>99</v>
      </c>
      <c r="R4073">
        <v>40.799999999999997</v>
      </c>
      <c r="S4073" t="s">
        <v>77</v>
      </c>
    </row>
    <row r="4074" spans="1:19" x14ac:dyDescent="0.35">
      <c r="A4074">
        <v>133322</v>
      </c>
      <c r="B4074" t="str">
        <f>"133322"</f>
        <v>133322</v>
      </c>
      <c r="C4074" t="s">
        <v>12141</v>
      </c>
      <c r="D4074" t="s">
        <v>3394</v>
      </c>
      <c r="E4074" t="s">
        <v>12048</v>
      </c>
      <c r="F4074" t="s">
        <v>3396</v>
      </c>
      <c r="G4074" t="s">
        <v>143</v>
      </c>
      <c r="H4074" t="s">
        <v>12142</v>
      </c>
      <c r="I4074" t="s">
        <v>12143</v>
      </c>
      <c r="J4074" t="s">
        <v>143</v>
      </c>
      <c r="K4074" t="s">
        <v>55</v>
      </c>
      <c r="L4074" t="s">
        <v>5382</v>
      </c>
      <c r="M4074" t="s">
        <v>57</v>
      </c>
      <c r="N4074" t="str">
        <f>"014992"</f>
        <v>014992</v>
      </c>
      <c r="O4074" t="s">
        <v>12051</v>
      </c>
      <c r="P4074" t="s">
        <v>68</v>
      </c>
      <c r="Q4074">
        <v>100</v>
      </c>
      <c r="R4074">
        <v>45</v>
      </c>
      <c r="S4074" t="s">
        <v>69</v>
      </c>
    </row>
    <row r="4075" spans="1:19" x14ac:dyDescent="0.35">
      <c r="A4075">
        <v>133322</v>
      </c>
      <c r="B4075" t="str">
        <f>"133322"</f>
        <v>133322</v>
      </c>
      <c r="C4075" t="s">
        <v>12141</v>
      </c>
      <c r="D4075" t="s">
        <v>12052</v>
      </c>
      <c r="E4075" t="s">
        <v>12048</v>
      </c>
      <c r="F4075" t="s">
        <v>3396</v>
      </c>
      <c r="G4075" t="s">
        <v>143</v>
      </c>
      <c r="H4075" t="s">
        <v>12142</v>
      </c>
      <c r="I4075" t="s">
        <v>12143</v>
      </c>
      <c r="J4075" t="s">
        <v>143</v>
      </c>
      <c r="K4075" t="s">
        <v>55</v>
      </c>
      <c r="L4075" t="s">
        <v>5382</v>
      </c>
      <c r="M4075" t="s">
        <v>57</v>
      </c>
      <c r="N4075" t="str">
        <f>"014992"</f>
        <v>014992</v>
      </c>
      <c r="O4075" t="s">
        <v>12051</v>
      </c>
      <c r="P4075" t="s">
        <v>68</v>
      </c>
      <c r="Q4075">
        <v>100</v>
      </c>
      <c r="R4075">
        <v>45</v>
      </c>
      <c r="S4075" t="s">
        <v>69</v>
      </c>
    </row>
    <row r="4076" spans="1:19" x14ac:dyDescent="0.35">
      <c r="A4076">
        <v>133330</v>
      </c>
      <c r="B4076" t="str">
        <f>"133330"</f>
        <v>133330</v>
      </c>
      <c r="C4076" t="s">
        <v>12144</v>
      </c>
      <c r="D4076" t="s">
        <v>3394</v>
      </c>
      <c r="E4076" t="s">
        <v>12048</v>
      </c>
      <c r="F4076" t="s">
        <v>3396</v>
      </c>
      <c r="G4076" t="s">
        <v>212</v>
      </c>
      <c r="H4076" t="s">
        <v>12145</v>
      </c>
      <c r="I4076" t="s">
        <v>12146</v>
      </c>
      <c r="J4076" t="s">
        <v>215</v>
      </c>
      <c r="K4076" t="s">
        <v>55</v>
      </c>
      <c r="L4076" t="s">
        <v>7782</v>
      </c>
      <c r="M4076" t="s">
        <v>57</v>
      </c>
      <c r="N4076" t="str">
        <f>"N/A"</f>
        <v>N/A</v>
      </c>
      <c r="O4076" t="s">
        <v>49</v>
      </c>
      <c r="P4076" t="s">
        <v>68</v>
      </c>
      <c r="Q4076">
        <v>74.7</v>
      </c>
      <c r="R4076">
        <v>100</v>
      </c>
      <c r="S4076" t="s">
        <v>217</v>
      </c>
    </row>
    <row r="4077" spans="1:19" x14ac:dyDescent="0.35">
      <c r="A4077">
        <v>133330</v>
      </c>
      <c r="B4077" t="str">
        <f>"133330"</f>
        <v>133330</v>
      </c>
      <c r="C4077" t="s">
        <v>12144</v>
      </c>
      <c r="D4077" t="s">
        <v>12052</v>
      </c>
      <c r="E4077" t="s">
        <v>12048</v>
      </c>
      <c r="F4077" t="s">
        <v>3396</v>
      </c>
      <c r="G4077" t="s">
        <v>212</v>
      </c>
      <c r="H4077" t="s">
        <v>12145</v>
      </c>
      <c r="I4077" t="s">
        <v>12146</v>
      </c>
      <c r="J4077" t="s">
        <v>215</v>
      </c>
      <c r="K4077" t="s">
        <v>55</v>
      </c>
      <c r="L4077" t="s">
        <v>7782</v>
      </c>
      <c r="M4077" t="s">
        <v>57</v>
      </c>
      <c r="N4077" t="str">
        <f>"N/A"</f>
        <v>N/A</v>
      </c>
      <c r="O4077" t="s">
        <v>49</v>
      </c>
      <c r="P4077" t="s">
        <v>68</v>
      </c>
      <c r="Q4077">
        <v>74.7</v>
      </c>
      <c r="R4077">
        <v>100</v>
      </c>
      <c r="S4077" t="s">
        <v>217</v>
      </c>
    </row>
    <row r="4078" spans="1:19" x14ac:dyDescent="0.35">
      <c r="A4078">
        <v>133348</v>
      </c>
      <c r="B4078" t="str">
        <f>"133348"</f>
        <v>133348</v>
      </c>
      <c r="C4078" t="s">
        <v>12147</v>
      </c>
      <c r="D4078" t="s">
        <v>3394</v>
      </c>
      <c r="E4078" t="s">
        <v>12048</v>
      </c>
      <c r="F4078" t="s">
        <v>3396</v>
      </c>
      <c r="G4078" t="s">
        <v>543</v>
      </c>
      <c r="H4078" t="s">
        <v>12148</v>
      </c>
      <c r="I4078" t="s">
        <v>12149</v>
      </c>
      <c r="J4078" t="s">
        <v>687</v>
      </c>
      <c r="K4078" t="s">
        <v>55</v>
      </c>
      <c r="L4078" t="s">
        <v>5260</v>
      </c>
      <c r="M4078" t="s">
        <v>57</v>
      </c>
      <c r="N4078" t="str">
        <f>"017398"</f>
        <v>017398</v>
      </c>
      <c r="O4078" t="s">
        <v>12150</v>
      </c>
      <c r="P4078" t="s">
        <v>68</v>
      </c>
      <c r="Q4078">
        <v>100</v>
      </c>
      <c r="R4078">
        <v>100</v>
      </c>
      <c r="S4078" t="s">
        <v>180</v>
      </c>
    </row>
    <row r="4079" spans="1:19" x14ac:dyDescent="0.35">
      <c r="A4079">
        <v>133348</v>
      </c>
      <c r="B4079" t="str">
        <f>"133348"</f>
        <v>133348</v>
      </c>
      <c r="C4079" t="s">
        <v>12147</v>
      </c>
      <c r="D4079" t="s">
        <v>12052</v>
      </c>
      <c r="E4079" t="s">
        <v>12048</v>
      </c>
      <c r="F4079" t="s">
        <v>3396</v>
      </c>
      <c r="G4079" t="s">
        <v>543</v>
      </c>
      <c r="H4079" t="s">
        <v>12148</v>
      </c>
      <c r="I4079" t="s">
        <v>12149</v>
      </c>
      <c r="J4079" t="s">
        <v>687</v>
      </c>
      <c r="K4079" t="s">
        <v>55</v>
      </c>
      <c r="L4079" t="s">
        <v>5260</v>
      </c>
      <c r="M4079" t="s">
        <v>57</v>
      </c>
      <c r="N4079" t="str">
        <f>"017398"</f>
        <v>017398</v>
      </c>
      <c r="O4079" t="s">
        <v>12150</v>
      </c>
      <c r="P4079" t="s">
        <v>68</v>
      </c>
      <c r="Q4079">
        <v>100</v>
      </c>
      <c r="R4079">
        <v>100</v>
      </c>
      <c r="S4079" t="s">
        <v>180</v>
      </c>
    </row>
    <row r="4080" spans="1:19" x14ac:dyDescent="0.35">
      <c r="A4080">
        <v>133421</v>
      </c>
      <c r="B4080" t="str">
        <f>"133421"</f>
        <v>133421</v>
      </c>
      <c r="C4080" t="s">
        <v>12151</v>
      </c>
      <c r="D4080" t="s">
        <v>3398</v>
      </c>
      <c r="E4080" t="s">
        <v>12048</v>
      </c>
      <c r="F4080" t="s">
        <v>3396</v>
      </c>
      <c r="G4080" t="s">
        <v>600</v>
      </c>
      <c r="H4080" t="s">
        <v>12152</v>
      </c>
      <c r="I4080" t="s">
        <v>12153</v>
      </c>
      <c r="J4080" t="s">
        <v>1348</v>
      </c>
      <c r="K4080" t="s">
        <v>55</v>
      </c>
      <c r="L4080" t="s">
        <v>4473</v>
      </c>
      <c r="M4080" t="s">
        <v>57</v>
      </c>
      <c r="N4080" t="str">
        <f>"N/A"</f>
        <v>N/A</v>
      </c>
      <c r="O4080" t="s">
        <v>49</v>
      </c>
      <c r="P4080" t="s">
        <v>68</v>
      </c>
      <c r="Q4080">
        <v>68.3</v>
      </c>
      <c r="R4080">
        <v>62.6</v>
      </c>
      <c r="S4080" t="s">
        <v>60</v>
      </c>
    </row>
    <row r="4081" spans="1:19" x14ac:dyDescent="0.35">
      <c r="A4081">
        <v>133421</v>
      </c>
      <c r="B4081" t="str">
        <f>"133421"</f>
        <v>133421</v>
      </c>
      <c r="C4081" t="s">
        <v>12151</v>
      </c>
      <c r="D4081" t="s">
        <v>12052</v>
      </c>
      <c r="E4081" t="s">
        <v>12048</v>
      </c>
      <c r="F4081" t="s">
        <v>3396</v>
      </c>
      <c r="G4081" t="s">
        <v>600</v>
      </c>
      <c r="H4081" t="s">
        <v>12152</v>
      </c>
      <c r="I4081" t="s">
        <v>12153</v>
      </c>
      <c r="J4081" t="s">
        <v>1348</v>
      </c>
      <c r="K4081" t="s">
        <v>55</v>
      </c>
      <c r="L4081" t="s">
        <v>4473</v>
      </c>
      <c r="M4081" t="s">
        <v>57</v>
      </c>
      <c r="N4081" t="str">
        <f>"N/A"</f>
        <v>N/A</v>
      </c>
      <c r="O4081" t="s">
        <v>49</v>
      </c>
      <c r="P4081" t="s">
        <v>68</v>
      </c>
      <c r="Q4081">
        <v>68.3</v>
      </c>
      <c r="R4081">
        <v>62.6</v>
      </c>
      <c r="S4081" t="s">
        <v>60</v>
      </c>
    </row>
    <row r="4082" spans="1:19" x14ac:dyDescent="0.35">
      <c r="A4082">
        <v>133439</v>
      </c>
      <c r="B4082" t="str">
        <f>"133439"</f>
        <v>133439</v>
      </c>
      <c r="C4082" t="s">
        <v>12154</v>
      </c>
      <c r="D4082" t="s">
        <v>3398</v>
      </c>
      <c r="E4082" t="s">
        <v>12048</v>
      </c>
      <c r="F4082" t="s">
        <v>3396</v>
      </c>
      <c r="G4082" t="s">
        <v>600</v>
      </c>
      <c r="H4082" t="s">
        <v>12155</v>
      </c>
      <c r="I4082" t="s">
        <v>12156</v>
      </c>
      <c r="J4082" t="s">
        <v>2690</v>
      </c>
      <c r="K4082" t="s">
        <v>55</v>
      </c>
      <c r="L4082" t="s">
        <v>2691</v>
      </c>
      <c r="M4082" t="s">
        <v>57</v>
      </c>
      <c r="N4082" t="str">
        <f>"015427"</f>
        <v>015427</v>
      </c>
      <c r="O4082" t="s">
        <v>12157</v>
      </c>
      <c r="P4082" t="s">
        <v>68</v>
      </c>
      <c r="Q4082">
        <v>58.8</v>
      </c>
      <c r="R4082">
        <v>85.9</v>
      </c>
      <c r="S4082" t="s">
        <v>60</v>
      </c>
    </row>
    <row r="4083" spans="1:19" x14ac:dyDescent="0.35">
      <c r="A4083">
        <v>133439</v>
      </c>
      <c r="B4083" t="str">
        <f>"133439"</f>
        <v>133439</v>
      </c>
      <c r="C4083" t="s">
        <v>12154</v>
      </c>
      <c r="D4083" t="s">
        <v>12052</v>
      </c>
      <c r="E4083" t="s">
        <v>12048</v>
      </c>
      <c r="F4083" t="s">
        <v>3396</v>
      </c>
      <c r="G4083" t="s">
        <v>600</v>
      </c>
      <c r="H4083" t="s">
        <v>12155</v>
      </c>
      <c r="I4083" t="s">
        <v>12156</v>
      </c>
      <c r="J4083" t="s">
        <v>2690</v>
      </c>
      <c r="K4083" t="s">
        <v>55</v>
      </c>
      <c r="L4083" t="s">
        <v>2691</v>
      </c>
      <c r="M4083" t="s">
        <v>57</v>
      </c>
      <c r="N4083" t="str">
        <f>"015427"</f>
        <v>015427</v>
      </c>
      <c r="O4083" t="s">
        <v>12157</v>
      </c>
      <c r="P4083" t="s">
        <v>68</v>
      </c>
      <c r="Q4083">
        <v>58.8</v>
      </c>
      <c r="R4083">
        <v>85.9</v>
      </c>
      <c r="S4083" t="s">
        <v>60</v>
      </c>
    </row>
    <row r="4084" spans="1:19" x14ac:dyDescent="0.35">
      <c r="A4084">
        <v>133454</v>
      </c>
      <c r="B4084" t="str">
        <f>"133454"</f>
        <v>133454</v>
      </c>
      <c r="C4084" t="s">
        <v>12158</v>
      </c>
      <c r="D4084" t="s">
        <v>3394</v>
      </c>
      <c r="E4084" t="s">
        <v>12048</v>
      </c>
      <c r="F4084" t="s">
        <v>3396</v>
      </c>
      <c r="G4084" t="s">
        <v>543</v>
      </c>
      <c r="H4084" t="s">
        <v>12159</v>
      </c>
      <c r="I4084" t="s">
        <v>12160</v>
      </c>
      <c r="J4084" t="s">
        <v>687</v>
      </c>
      <c r="K4084" t="s">
        <v>55</v>
      </c>
      <c r="L4084" t="s">
        <v>786</v>
      </c>
      <c r="M4084" t="s">
        <v>57</v>
      </c>
      <c r="N4084" t="str">
        <f t="shared" ref="N4084:N4096" si="14">"N/A"</f>
        <v>N/A</v>
      </c>
      <c r="O4084" t="s">
        <v>49</v>
      </c>
      <c r="P4084" t="s">
        <v>68</v>
      </c>
      <c r="Q4084">
        <v>100</v>
      </c>
      <c r="R4084">
        <v>100</v>
      </c>
      <c r="S4084" t="s">
        <v>180</v>
      </c>
    </row>
    <row r="4085" spans="1:19" x14ac:dyDescent="0.35">
      <c r="A4085">
        <v>133454</v>
      </c>
      <c r="B4085" t="str">
        <f>"133454"</f>
        <v>133454</v>
      </c>
      <c r="C4085" t="s">
        <v>12158</v>
      </c>
      <c r="D4085" t="s">
        <v>12052</v>
      </c>
      <c r="E4085" t="s">
        <v>12048</v>
      </c>
      <c r="F4085" t="s">
        <v>3396</v>
      </c>
      <c r="G4085" t="s">
        <v>543</v>
      </c>
      <c r="H4085" t="s">
        <v>12159</v>
      </c>
      <c r="I4085" t="s">
        <v>12160</v>
      </c>
      <c r="J4085" t="s">
        <v>687</v>
      </c>
      <c r="K4085" t="s">
        <v>55</v>
      </c>
      <c r="L4085" t="s">
        <v>786</v>
      </c>
      <c r="M4085" t="s">
        <v>57</v>
      </c>
      <c r="N4085" t="str">
        <f t="shared" si="14"/>
        <v>N/A</v>
      </c>
      <c r="O4085" t="s">
        <v>49</v>
      </c>
      <c r="P4085" t="s">
        <v>68</v>
      </c>
      <c r="Q4085">
        <v>100</v>
      </c>
      <c r="R4085">
        <v>100</v>
      </c>
      <c r="S4085" t="s">
        <v>180</v>
      </c>
    </row>
    <row r="4086" spans="1:19" x14ac:dyDescent="0.35">
      <c r="A4086">
        <v>133488</v>
      </c>
      <c r="B4086" t="str">
        <f>"133488"</f>
        <v>133488</v>
      </c>
      <c r="C4086" t="s">
        <v>12161</v>
      </c>
      <c r="D4086" t="s">
        <v>3398</v>
      </c>
      <c r="E4086" t="s">
        <v>12048</v>
      </c>
      <c r="F4086" t="s">
        <v>3396</v>
      </c>
      <c r="G4086" t="s">
        <v>169</v>
      </c>
      <c r="H4086" t="s">
        <v>12162</v>
      </c>
      <c r="I4086" t="s">
        <v>12163</v>
      </c>
      <c r="J4086" t="s">
        <v>172</v>
      </c>
      <c r="K4086" t="s">
        <v>55</v>
      </c>
      <c r="L4086" t="s">
        <v>173</v>
      </c>
      <c r="M4086" t="s">
        <v>57</v>
      </c>
      <c r="N4086" t="str">
        <f t="shared" si="14"/>
        <v>N/A</v>
      </c>
      <c r="O4086" t="s">
        <v>49</v>
      </c>
      <c r="P4086" t="s">
        <v>68</v>
      </c>
      <c r="Q4086">
        <v>100</v>
      </c>
      <c r="R4086">
        <v>46.5</v>
      </c>
      <c r="S4086" t="s">
        <v>77</v>
      </c>
    </row>
    <row r="4087" spans="1:19" x14ac:dyDescent="0.35">
      <c r="A4087">
        <v>133488</v>
      </c>
      <c r="B4087" t="str">
        <f>"133488"</f>
        <v>133488</v>
      </c>
      <c r="C4087" t="s">
        <v>12161</v>
      </c>
      <c r="D4087" t="s">
        <v>12052</v>
      </c>
      <c r="E4087" t="s">
        <v>12048</v>
      </c>
      <c r="F4087" t="s">
        <v>3396</v>
      </c>
      <c r="G4087" t="s">
        <v>169</v>
      </c>
      <c r="H4087" t="s">
        <v>12162</v>
      </c>
      <c r="I4087" t="s">
        <v>12163</v>
      </c>
      <c r="J4087" t="s">
        <v>172</v>
      </c>
      <c r="K4087" t="s">
        <v>55</v>
      </c>
      <c r="L4087" t="s">
        <v>173</v>
      </c>
      <c r="M4087" t="s">
        <v>57</v>
      </c>
      <c r="N4087" t="str">
        <f t="shared" si="14"/>
        <v>N/A</v>
      </c>
      <c r="O4087" t="s">
        <v>49</v>
      </c>
      <c r="P4087" t="s">
        <v>68</v>
      </c>
      <c r="Q4087">
        <v>100</v>
      </c>
      <c r="R4087">
        <v>46.5</v>
      </c>
      <c r="S4087" t="s">
        <v>77</v>
      </c>
    </row>
    <row r="4088" spans="1:19" x14ac:dyDescent="0.35">
      <c r="A4088">
        <v>133488</v>
      </c>
      <c r="B4088" t="str">
        <f>"133488"</f>
        <v>133488</v>
      </c>
      <c r="C4088" t="s">
        <v>12161</v>
      </c>
      <c r="D4088" t="s">
        <v>12063</v>
      </c>
      <c r="E4088" t="s">
        <v>12048</v>
      </c>
      <c r="F4088" t="s">
        <v>3396</v>
      </c>
      <c r="G4088" t="s">
        <v>169</v>
      </c>
      <c r="H4088" t="s">
        <v>12162</v>
      </c>
      <c r="I4088" t="s">
        <v>12163</v>
      </c>
      <c r="J4088" t="s">
        <v>172</v>
      </c>
      <c r="K4088" t="s">
        <v>55</v>
      </c>
      <c r="L4088" t="s">
        <v>173</v>
      </c>
      <c r="M4088" t="s">
        <v>57</v>
      </c>
      <c r="N4088" t="str">
        <f t="shared" si="14"/>
        <v>N/A</v>
      </c>
      <c r="O4088" t="s">
        <v>49</v>
      </c>
      <c r="P4088" t="s">
        <v>68</v>
      </c>
      <c r="Q4088">
        <v>100</v>
      </c>
      <c r="R4088">
        <v>46.5</v>
      </c>
      <c r="S4088" t="s">
        <v>77</v>
      </c>
    </row>
    <row r="4089" spans="1:19" x14ac:dyDescent="0.35">
      <c r="A4089">
        <v>133504</v>
      </c>
      <c r="B4089" t="str">
        <f>"133504"</f>
        <v>133504</v>
      </c>
      <c r="C4089" t="s">
        <v>12164</v>
      </c>
      <c r="D4089" t="s">
        <v>3394</v>
      </c>
      <c r="E4089" t="s">
        <v>12048</v>
      </c>
      <c r="F4089" t="s">
        <v>3396</v>
      </c>
      <c r="G4089" t="s">
        <v>212</v>
      </c>
      <c r="H4089" t="s">
        <v>12165</v>
      </c>
      <c r="I4089" t="s">
        <v>12166</v>
      </c>
      <c r="J4089" t="s">
        <v>215</v>
      </c>
      <c r="K4089" t="s">
        <v>55</v>
      </c>
      <c r="L4089" t="s">
        <v>7168</v>
      </c>
      <c r="M4089" t="s">
        <v>57</v>
      </c>
      <c r="N4089" t="str">
        <f t="shared" si="14"/>
        <v>N/A</v>
      </c>
      <c r="O4089" t="s">
        <v>49</v>
      </c>
      <c r="P4089" t="s">
        <v>68</v>
      </c>
      <c r="Q4089">
        <v>99.4</v>
      </c>
      <c r="R4089">
        <v>100</v>
      </c>
      <c r="S4089" t="s">
        <v>217</v>
      </c>
    </row>
    <row r="4090" spans="1:19" x14ac:dyDescent="0.35">
      <c r="A4090">
        <v>133504</v>
      </c>
      <c r="B4090" t="str">
        <f>"133504"</f>
        <v>133504</v>
      </c>
      <c r="C4090" t="s">
        <v>12164</v>
      </c>
      <c r="D4090" t="s">
        <v>12052</v>
      </c>
      <c r="E4090" t="s">
        <v>12048</v>
      </c>
      <c r="F4090" t="s">
        <v>3396</v>
      </c>
      <c r="G4090" t="s">
        <v>212</v>
      </c>
      <c r="H4090" t="s">
        <v>12165</v>
      </c>
      <c r="I4090" t="s">
        <v>12166</v>
      </c>
      <c r="J4090" t="s">
        <v>215</v>
      </c>
      <c r="K4090" t="s">
        <v>55</v>
      </c>
      <c r="L4090" t="s">
        <v>7168</v>
      </c>
      <c r="M4090" t="s">
        <v>57</v>
      </c>
      <c r="N4090" t="str">
        <f t="shared" si="14"/>
        <v>N/A</v>
      </c>
      <c r="O4090" t="s">
        <v>49</v>
      </c>
      <c r="P4090" t="s">
        <v>68</v>
      </c>
      <c r="Q4090">
        <v>99.4</v>
      </c>
      <c r="R4090">
        <v>100</v>
      </c>
      <c r="S4090" t="s">
        <v>217</v>
      </c>
    </row>
    <row r="4091" spans="1:19" x14ac:dyDescent="0.35">
      <c r="A4091">
        <v>133512</v>
      </c>
      <c r="B4091" t="str">
        <f>"133512"</f>
        <v>133512</v>
      </c>
      <c r="C4091" t="s">
        <v>12167</v>
      </c>
      <c r="D4091" t="s">
        <v>3398</v>
      </c>
      <c r="E4091" t="s">
        <v>12048</v>
      </c>
      <c r="F4091" t="s">
        <v>3396</v>
      </c>
      <c r="G4091" t="s">
        <v>212</v>
      </c>
      <c r="H4091" t="s">
        <v>12168</v>
      </c>
      <c r="I4091" t="s">
        <v>12169</v>
      </c>
      <c r="J4091" t="s">
        <v>215</v>
      </c>
      <c r="K4091" t="s">
        <v>55</v>
      </c>
      <c r="L4091" t="s">
        <v>8002</v>
      </c>
      <c r="M4091" t="s">
        <v>57</v>
      </c>
      <c r="N4091" t="str">
        <f t="shared" si="14"/>
        <v>N/A</v>
      </c>
      <c r="O4091" t="s">
        <v>49</v>
      </c>
      <c r="P4091" t="s">
        <v>68</v>
      </c>
      <c r="Q4091">
        <v>100</v>
      </c>
      <c r="R4091">
        <v>100</v>
      </c>
      <c r="S4091" t="s">
        <v>217</v>
      </c>
    </row>
    <row r="4092" spans="1:19" x14ac:dyDescent="0.35">
      <c r="A4092">
        <v>133512</v>
      </c>
      <c r="B4092" t="str">
        <f>"133512"</f>
        <v>133512</v>
      </c>
      <c r="C4092" t="s">
        <v>12167</v>
      </c>
      <c r="D4092" t="s">
        <v>12052</v>
      </c>
      <c r="E4092" t="s">
        <v>12048</v>
      </c>
      <c r="F4092" t="s">
        <v>3396</v>
      </c>
      <c r="G4092" t="s">
        <v>212</v>
      </c>
      <c r="H4092" t="s">
        <v>12168</v>
      </c>
      <c r="I4092" t="s">
        <v>12169</v>
      </c>
      <c r="J4092" t="s">
        <v>215</v>
      </c>
      <c r="K4092" t="s">
        <v>55</v>
      </c>
      <c r="L4092" t="s">
        <v>8002</v>
      </c>
      <c r="M4092" t="s">
        <v>57</v>
      </c>
      <c r="N4092" t="str">
        <f t="shared" si="14"/>
        <v>N/A</v>
      </c>
      <c r="O4092" t="s">
        <v>49</v>
      </c>
      <c r="P4092" t="s">
        <v>68</v>
      </c>
      <c r="Q4092">
        <v>100</v>
      </c>
      <c r="R4092">
        <v>100</v>
      </c>
      <c r="S4092" t="s">
        <v>217</v>
      </c>
    </row>
    <row r="4093" spans="1:19" x14ac:dyDescent="0.35">
      <c r="A4093">
        <v>133538</v>
      </c>
      <c r="B4093" t="str">
        <f>"133538"</f>
        <v>133538</v>
      </c>
      <c r="C4093" t="s">
        <v>12170</v>
      </c>
      <c r="D4093" t="s">
        <v>3394</v>
      </c>
      <c r="E4093" t="s">
        <v>12048</v>
      </c>
      <c r="F4093" t="s">
        <v>3396</v>
      </c>
      <c r="G4093" t="s">
        <v>264</v>
      </c>
      <c r="H4093" t="s">
        <v>12171</v>
      </c>
      <c r="I4093" t="s">
        <v>12172</v>
      </c>
      <c r="J4093" t="s">
        <v>267</v>
      </c>
      <c r="K4093" t="s">
        <v>55</v>
      </c>
      <c r="L4093" t="s">
        <v>12173</v>
      </c>
      <c r="M4093" t="s">
        <v>57</v>
      </c>
      <c r="N4093" t="str">
        <f t="shared" si="14"/>
        <v>N/A</v>
      </c>
      <c r="O4093" t="s">
        <v>49</v>
      </c>
      <c r="P4093" t="s">
        <v>68</v>
      </c>
      <c r="Q4093">
        <v>100</v>
      </c>
      <c r="R4093">
        <v>100</v>
      </c>
      <c r="S4093" t="s">
        <v>77</v>
      </c>
    </row>
    <row r="4094" spans="1:19" x14ac:dyDescent="0.35">
      <c r="A4094">
        <v>133538</v>
      </c>
      <c r="B4094" t="str">
        <f>"133538"</f>
        <v>133538</v>
      </c>
      <c r="C4094" t="s">
        <v>12170</v>
      </c>
      <c r="D4094" t="s">
        <v>12052</v>
      </c>
      <c r="E4094" t="s">
        <v>12048</v>
      </c>
      <c r="F4094" t="s">
        <v>3396</v>
      </c>
      <c r="G4094" t="s">
        <v>264</v>
      </c>
      <c r="H4094" t="s">
        <v>12171</v>
      </c>
      <c r="I4094" t="s">
        <v>12172</v>
      </c>
      <c r="J4094" t="s">
        <v>267</v>
      </c>
      <c r="K4094" t="s">
        <v>55</v>
      </c>
      <c r="L4094" t="s">
        <v>12173</v>
      </c>
      <c r="M4094" t="s">
        <v>57</v>
      </c>
      <c r="N4094" t="str">
        <f t="shared" si="14"/>
        <v>N/A</v>
      </c>
      <c r="O4094" t="s">
        <v>49</v>
      </c>
      <c r="P4094" t="s">
        <v>68</v>
      </c>
      <c r="Q4094">
        <v>100</v>
      </c>
      <c r="R4094">
        <v>100</v>
      </c>
      <c r="S4094" t="s">
        <v>77</v>
      </c>
    </row>
    <row r="4095" spans="1:19" x14ac:dyDescent="0.35">
      <c r="A4095">
        <v>133561</v>
      </c>
      <c r="B4095" t="str">
        <f>"133561"</f>
        <v>133561</v>
      </c>
      <c r="C4095" t="s">
        <v>12174</v>
      </c>
      <c r="D4095" t="s">
        <v>3394</v>
      </c>
      <c r="E4095" t="s">
        <v>12048</v>
      </c>
      <c r="F4095" t="s">
        <v>3396</v>
      </c>
      <c r="G4095" t="s">
        <v>600</v>
      </c>
      <c r="H4095" t="s">
        <v>12175</v>
      </c>
      <c r="I4095" t="s">
        <v>12176</v>
      </c>
      <c r="J4095" t="s">
        <v>1348</v>
      </c>
      <c r="K4095" t="s">
        <v>55</v>
      </c>
      <c r="L4095" t="s">
        <v>3568</v>
      </c>
      <c r="M4095" t="s">
        <v>57</v>
      </c>
      <c r="N4095" t="str">
        <f t="shared" si="14"/>
        <v>N/A</v>
      </c>
      <c r="O4095" t="s">
        <v>49</v>
      </c>
      <c r="P4095" t="s">
        <v>68</v>
      </c>
      <c r="Q4095">
        <v>98.9</v>
      </c>
      <c r="R4095">
        <v>100</v>
      </c>
      <c r="S4095" t="s">
        <v>60</v>
      </c>
    </row>
    <row r="4096" spans="1:19" x14ac:dyDescent="0.35">
      <c r="A4096">
        <v>133561</v>
      </c>
      <c r="B4096" t="str">
        <f>"133561"</f>
        <v>133561</v>
      </c>
      <c r="C4096" t="s">
        <v>12174</v>
      </c>
      <c r="D4096" t="s">
        <v>12052</v>
      </c>
      <c r="E4096" t="s">
        <v>12048</v>
      </c>
      <c r="F4096" t="s">
        <v>3396</v>
      </c>
      <c r="G4096" t="s">
        <v>600</v>
      </c>
      <c r="H4096" t="s">
        <v>12175</v>
      </c>
      <c r="I4096" t="s">
        <v>12176</v>
      </c>
      <c r="J4096" t="s">
        <v>1348</v>
      </c>
      <c r="K4096" t="s">
        <v>55</v>
      </c>
      <c r="L4096" t="s">
        <v>3568</v>
      </c>
      <c r="M4096" t="s">
        <v>57</v>
      </c>
      <c r="N4096" t="str">
        <f t="shared" si="14"/>
        <v>N/A</v>
      </c>
      <c r="O4096" t="s">
        <v>49</v>
      </c>
      <c r="P4096" t="s">
        <v>68</v>
      </c>
      <c r="Q4096">
        <v>98.9</v>
      </c>
      <c r="R4096">
        <v>100</v>
      </c>
      <c r="S4096" t="s">
        <v>60</v>
      </c>
    </row>
    <row r="4097" spans="1:19" x14ac:dyDescent="0.35">
      <c r="A4097">
        <v>133587</v>
      </c>
      <c r="B4097" t="str">
        <f>"133587"</f>
        <v>133587</v>
      </c>
      <c r="C4097" t="s">
        <v>12177</v>
      </c>
      <c r="D4097" t="s">
        <v>3394</v>
      </c>
      <c r="E4097" t="s">
        <v>12048</v>
      </c>
      <c r="F4097" t="s">
        <v>3396</v>
      </c>
      <c r="G4097" t="s">
        <v>264</v>
      </c>
      <c r="H4097" t="s">
        <v>12178</v>
      </c>
      <c r="I4097" t="s">
        <v>12179</v>
      </c>
      <c r="J4097" t="s">
        <v>267</v>
      </c>
      <c r="K4097" t="s">
        <v>55</v>
      </c>
      <c r="L4097" t="s">
        <v>268</v>
      </c>
      <c r="M4097" t="s">
        <v>57</v>
      </c>
      <c r="N4097" t="str">
        <f>"014992"</f>
        <v>014992</v>
      </c>
      <c r="O4097" t="s">
        <v>12051</v>
      </c>
      <c r="P4097" t="s">
        <v>68</v>
      </c>
      <c r="Q4097">
        <v>100</v>
      </c>
      <c r="R4097">
        <v>50</v>
      </c>
      <c r="S4097" t="s">
        <v>77</v>
      </c>
    </row>
    <row r="4098" spans="1:19" x14ac:dyDescent="0.35">
      <c r="A4098">
        <v>133587</v>
      </c>
      <c r="B4098" t="str">
        <f>"133587"</f>
        <v>133587</v>
      </c>
      <c r="C4098" t="s">
        <v>12177</v>
      </c>
      <c r="D4098" t="s">
        <v>12052</v>
      </c>
      <c r="E4098" t="s">
        <v>12048</v>
      </c>
      <c r="F4098" t="s">
        <v>3396</v>
      </c>
      <c r="G4098" t="s">
        <v>264</v>
      </c>
      <c r="H4098" t="s">
        <v>12178</v>
      </c>
      <c r="I4098" t="s">
        <v>12179</v>
      </c>
      <c r="J4098" t="s">
        <v>267</v>
      </c>
      <c r="K4098" t="s">
        <v>55</v>
      </c>
      <c r="L4098" t="s">
        <v>268</v>
      </c>
      <c r="M4098" t="s">
        <v>57</v>
      </c>
      <c r="N4098" t="str">
        <f>"014992"</f>
        <v>014992</v>
      </c>
      <c r="O4098" t="s">
        <v>12051</v>
      </c>
      <c r="P4098" t="s">
        <v>68</v>
      </c>
      <c r="Q4098">
        <v>100</v>
      </c>
      <c r="R4098">
        <v>50</v>
      </c>
      <c r="S4098" t="s">
        <v>77</v>
      </c>
    </row>
    <row r="4099" spans="1:19" x14ac:dyDescent="0.35">
      <c r="A4099">
        <v>133603</v>
      </c>
      <c r="B4099" t="str">
        <f>"133603"</f>
        <v>133603</v>
      </c>
      <c r="C4099" t="s">
        <v>8032</v>
      </c>
      <c r="D4099" t="s">
        <v>3394</v>
      </c>
      <c r="E4099" t="s">
        <v>3395</v>
      </c>
      <c r="F4099" t="s">
        <v>3396</v>
      </c>
      <c r="G4099" t="s">
        <v>543</v>
      </c>
      <c r="H4099" t="s">
        <v>12180</v>
      </c>
      <c r="I4099" t="s">
        <v>12181</v>
      </c>
      <c r="J4099" t="s">
        <v>687</v>
      </c>
      <c r="K4099" t="s">
        <v>55</v>
      </c>
      <c r="L4099" t="s">
        <v>1990</v>
      </c>
      <c r="M4099" t="s">
        <v>57</v>
      </c>
      <c r="N4099" t="str">
        <f>"043844"</f>
        <v>043844</v>
      </c>
      <c r="O4099" t="s">
        <v>985</v>
      </c>
      <c r="P4099" t="s">
        <v>68</v>
      </c>
      <c r="Q4099">
        <v>96.2</v>
      </c>
      <c r="R4099">
        <v>94.9</v>
      </c>
      <c r="S4099" t="s">
        <v>180</v>
      </c>
    </row>
    <row r="4100" spans="1:19" x14ac:dyDescent="0.35">
      <c r="A4100">
        <v>133629</v>
      </c>
      <c r="B4100" t="str">
        <f>"133629"</f>
        <v>133629</v>
      </c>
      <c r="C4100" t="s">
        <v>12182</v>
      </c>
      <c r="D4100" t="s">
        <v>3398</v>
      </c>
      <c r="E4100" t="s">
        <v>12048</v>
      </c>
      <c r="F4100" t="s">
        <v>3396</v>
      </c>
      <c r="G4100" t="s">
        <v>63</v>
      </c>
      <c r="H4100" t="s">
        <v>12183</v>
      </c>
      <c r="I4100" t="s">
        <v>12184</v>
      </c>
      <c r="J4100" t="s">
        <v>285</v>
      </c>
      <c r="K4100" t="s">
        <v>55</v>
      </c>
      <c r="L4100" t="s">
        <v>5437</v>
      </c>
      <c r="M4100" t="s">
        <v>57</v>
      </c>
      <c r="N4100" t="str">
        <f>"014979"</f>
        <v>014979</v>
      </c>
      <c r="O4100" t="s">
        <v>12185</v>
      </c>
      <c r="P4100" t="s">
        <v>68</v>
      </c>
      <c r="Q4100">
        <v>79.3</v>
      </c>
      <c r="R4100">
        <v>100</v>
      </c>
      <c r="S4100" t="s">
        <v>69</v>
      </c>
    </row>
    <row r="4101" spans="1:19" x14ac:dyDescent="0.35">
      <c r="A4101">
        <v>133629</v>
      </c>
      <c r="B4101" t="str">
        <f>"133629"</f>
        <v>133629</v>
      </c>
      <c r="C4101" t="s">
        <v>12182</v>
      </c>
      <c r="D4101" t="s">
        <v>12052</v>
      </c>
      <c r="E4101" t="s">
        <v>12048</v>
      </c>
      <c r="F4101" t="s">
        <v>3396</v>
      </c>
      <c r="G4101" t="s">
        <v>63</v>
      </c>
      <c r="H4101" t="s">
        <v>12183</v>
      </c>
      <c r="I4101" t="s">
        <v>12184</v>
      </c>
      <c r="J4101" t="s">
        <v>285</v>
      </c>
      <c r="K4101" t="s">
        <v>55</v>
      </c>
      <c r="L4101" t="s">
        <v>5437</v>
      </c>
      <c r="M4101" t="s">
        <v>57</v>
      </c>
      <c r="N4101" t="str">
        <f>"014979"</f>
        <v>014979</v>
      </c>
      <c r="O4101" t="s">
        <v>12185</v>
      </c>
      <c r="P4101" t="s">
        <v>68</v>
      </c>
      <c r="Q4101">
        <v>79.3</v>
      </c>
      <c r="R4101">
        <v>100</v>
      </c>
      <c r="S4101" t="s">
        <v>69</v>
      </c>
    </row>
    <row r="4102" spans="1:19" x14ac:dyDescent="0.35">
      <c r="A4102">
        <v>133629</v>
      </c>
      <c r="B4102" t="str">
        <f>"133629"</f>
        <v>133629</v>
      </c>
      <c r="C4102" t="s">
        <v>12182</v>
      </c>
      <c r="D4102" t="s">
        <v>12126</v>
      </c>
      <c r="E4102" t="s">
        <v>12048</v>
      </c>
      <c r="F4102" t="s">
        <v>3396</v>
      </c>
      <c r="G4102" t="s">
        <v>63</v>
      </c>
      <c r="H4102" t="s">
        <v>12183</v>
      </c>
      <c r="I4102" t="s">
        <v>12184</v>
      </c>
      <c r="J4102" t="s">
        <v>285</v>
      </c>
      <c r="K4102" t="s">
        <v>55</v>
      </c>
      <c r="L4102" t="s">
        <v>5437</v>
      </c>
      <c r="M4102" t="s">
        <v>57</v>
      </c>
      <c r="N4102" t="str">
        <f>"014979"</f>
        <v>014979</v>
      </c>
      <c r="O4102" t="s">
        <v>12185</v>
      </c>
      <c r="P4102" t="s">
        <v>68</v>
      </c>
      <c r="Q4102">
        <v>79.3</v>
      </c>
      <c r="R4102">
        <v>100</v>
      </c>
      <c r="S4102" t="s">
        <v>69</v>
      </c>
    </row>
    <row r="4103" spans="1:19" x14ac:dyDescent="0.35">
      <c r="A4103">
        <v>133660</v>
      </c>
      <c r="B4103" t="str">
        <f>"133660"</f>
        <v>133660</v>
      </c>
      <c r="C4103" t="s">
        <v>12186</v>
      </c>
      <c r="D4103" t="s">
        <v>3398</v>
      </c>
      <c r="E4103" t="s">
        <v>12048</v>
      </c>
      <c r="F4103" t="s">
        <v>3396</v>
      </c>
      <c r="G4103" t="s">
        <v>600</v>
      </c>
      <c r="H4103" t="s">
        <v>12187</v>
      </c>
      <c r="I4103" t="s">
        <v>12188</v>
      </c>
      <c r="J4103" t="s">
        <v>1348</v>
      </c>
      <c r="K4103" t="s">
        <v>55</v>
      </c>
      <c r="L4103" t="s">
        <v>3462</v>
      </c>
      <c r="M4103" t="s">
        <v>57</v>
      </c>
      <c r="N4103" t="str">
        <f>"014979"</f>
        <v>014979</v>
      </c>
      <c r="O4103" t="s">
        <v>12185</v>
      </c>
      <c r="P4103" t="s">
        <v>68</v>
      </c>
      <c r="Q4103">
        <v>99.8</v>
      </c>
      <c r="R4103">
        <v>96.6</v>
      </c>
      <c r="S4103" t="s">
        <v>60</v>
      </c>
    </row>
    <row r="4104" spans="1:19" x14ac:dyDescent="0.35">
      <c r="A4104">
        <v>133660</v>
      </c>
      <c r="B4104" t="str">
        <f>"133660"</f>
        <v>133660</v>
      </c>
      <c r="C4104" t="s">
        <v>12186</v>
      </c>
      <c r="D4104" t="s">
        <v>12052</v>
      </c>
      <c r="E4104" t="s">
        <v>12048</v>
      </c>
      <c r="F4104" t="s">
        <v>3396</v>
      </c>
      <c r="G4104" t="s">
        <v>600</v>
      </c>
      <c r="H4104" t="s">
        <v>12187</v>
      </c>
      <c r="I4104" t="s">
        <v>12188</v>
      </c>
      <c r="J4104" t="s">
        <v>1348</v>
      </c>
      <c r="K4104" t="s">
        <v>55</v>
      </c>
      <c r="L4104" t="s">
        <v>3462</v>
      </c>
      <c r="M4104" t="s">
        <v>57</v>
      </c>
      <c r="N4104" t="str">
        <f>"014979"</f>
        <v>014979</v>
      </c>
      <c r="O4104" t="s">
        <v>12185</v>
      </c>
      <c r="P4104" t="s">
        <v>68</v>
      </c>
      <c r="Q4104">
        <v>99.8</v>
      </c>
      <c r="R4104">
        <v>96.6</v>
      </c>
      <c r="S4104" t="s">
        <v>60</v>
      </c>
    </row>
    <row r="4105" spans="1:19" x14ac:dyDescent="0.35">
      <c r="A4105">
        <v>133678</v>
      </c>
      <c r="B4105" t="str">
        <f>"133678"</f>
        <v>133678</v>
      </c>
      <c r="C4105" t="s">
        <v>12189</v>
      </c>
      <c r="D4105" t="s">
        <v>3394</v>
      </c>
      <c r="E4105" t="s">
        <v>12048</v>
      </c>
      <c r="F4105" t="s">
        <v>3396</v>
      </c>
      <c r="G4105" t="s">
        <v>212</v>
      </c>
      <c r="H4105" t="s">
        <v>12190</v>
      </c>
      <c r="I4105" t="s">
        <v>12191</v>
      </c>
      <c r="J4105" t="s">
        <v>215</v>
      </c>
      <c r="K4105" t="s">
        <v>55</v>
      </c>
      <c r="L4105" t="s">
        <v>7611</v>
      </c>
      <c r="M4105" t="s">
        <v>57</v>
      </c>
      <c r="N4105" t="str">
        <f>"015427"</f>
        <v>015427</v>
      </c>
      <c r="O4105" t="s">
        <v>12157</v>
      </c>
      <c r="P4105" t="s">
        <v>68</v>
      </c>
      <c r="Q4105">
        <v>99.4</v>
      </c>
      <c r="R4105">
        <v>70.8</v>
      </c>
      <c r="S4105" t="s">
        <v>217</v>
      </c>
    </row>
    <row r="4106" spans="1:19" x14ac:dyDescent="0.35">
      <c r="A4106">
        <v>133678</v>
      </c>
      <c r="B4106" t="str">
        <f>"133678"</f>
        <v>133678</v>
      </c>
      <c r="C4106" t="s">
        <v>12189</v>
      </c>
      <c r="D4106" t="s">
        <v>12052</v>
      </c>
      <c r="E4106" t="s">
        <v>12048</v>
      </c>
      <c r="F4106" t="s">
        <v>3396</v>
      </c>
      <c r="G4106" t="s">
        <v>212</v>
      </c>
      <c r="H4106" t="s">
        <v>12190</v>
      </c>
      <c r="I4106" t="s">
        <v>12191</v>
      </c>
      <c r="J4106" t="s">
        <v>215</v>
      </c>
      <c r="K4106" t="s">
        <v>55</v>
      </c>
      <c r="L4106" t="s">
        <v>7611</v>
      </c>
      <c r="M4106" t="s">
        <v>57</v>
      </c>
      <c r="N4106" t="str">
        <f>"015427"</f>
        <v>015427</v>
      </c>
      <c r="O4106" t="s">
        <v>12157</v>
      </c>
      <c r="P4106" t="s">
        <v>68</v>
      </c>
      <c r="Q4106">
        <v>99.4</v>
      </c>
      <c r="R4106">
        <v>70.8</v>
      </c>
      <c r="S4106" t="s">
        <v>217</v>
      </c>
    </row>
    <row r="4107" spans="1:19" x14ac:dyDescent="0.35">
      <c r="A4107">
        <v>133736</v>
      </c>
      <c r="B4107" t="str">
        <f>"133736"</f>
        <v>133736</v>
      </c>
      <c r="C4107" t="s">
        <v>12192</v>
      </c>
      <c r="D4107" t="s">
        <v>3394</v>
      </c>
      <c r="E4107" t="s">
        <v>12048</v>
      </c>
      <c r="F4107" t="s">
        <v>3396</v>
      </c>
      <c r="G4107" t="s">
        <v>244</v>
      </c>
      <c r="H4107" t="s">
        <v>12193</v>
      </c>
      <c r="I4107" t="s">
        <v>12194</v>
      </c>
      <c r="J4107" t="s">
        <v>212</v>
      </c>
      <c r="K4107" t="s">
        <v>55</v>
      </c>
      <c r="L4107" t="s">
        <v>374</v>
      </c>
      <c r="M4107" t="s">
        <v>57</v>
      </c>
      <c r="N4107" t="str">
        <f>"017398"</f>
        <v>017398</v>
      </c>
      <c r="O4107" t="s">
        <v>12150</v>
      </c>
      <c r="P4107" t="s">
        <v>68</v>
      </c>
      <c r="Q4107">
        <v>100</v>
      </c>
      <c r="R4107">
        <v>100</v>
      </c>
      <c r="S4107" t="s">
        <v>217</v>
      </c>
    </row>
    <row r="4108" spans="1:19" x14ac:dyDescent="0.35">
      <c r="A4108">
        <v>133736</v>
      </c>
      <c r="B4108" t="str">
        <f>"133736"</f>
        <v>133736</v>
      </c>
      <c r="C4108" t="s">
        <v>12192</v>
      </c>
      <c r="D4108" t="s">
        <v>12052</v>
      </c>
      <c r="E4108" t="s">
        <v>12048</v>
      </c>
      <c r="F4108" t="s">
        <v>3396</v>
      </c>
      <c r="G4108" t="s">
        <v>244</v>
      </c>
      <c r="H4108" t="s">
        <v>12193</v>
      </c>
      <c r="I4108" t="s">
        <v>12194</v>
      </c>
      <c r="J4108" t="s">
        <v>212</v>
      </c>
      <c r="K4108" t="s">
        <v>55</v>
      </c>
      <c r="L4108" t="s">
        <v>374</v>
      </c>
      <c r="M4108" t="s">
        <v>57</v>
      </c>
      <c r="N4108" t="str">
        <f>"017398"</f>
        <v>017398</v>
      </c>
      <c r="O4108" t="s">
        <v>12150</v>
      </c>
      <c r="P4108" t="s">
        <v>68</v>
      </c>
      <c r="Q4108">
        <v>100</v>
      </c>
      <c r="R4108">
        <v>100</v>
      </c>
      <c r="S4108" t="s">
        <v>217</v>
      </c>
    </row>
    <row r="4109" spans="1:19" x14ac:dyDescent="0.35">
      <c r="A4109">
        <v>133785</v>
      </c>
      <c r="B4109" t="str">
        <f>"133785"</f>
        <v>133785</v>
      </c>
      <c r="C4109" t="s">
        <v>12195</v>
      </c>
      <c r="D4109" t="s">
        <v>3398</v>
      </c>
      <c r="E4109" t="s">
        <v>12048</v>
      </c>
      <c r="F4109" t="s">
        <v>3396</v>
      </c>
      <c r="G4109" t="s">
        <v>212</v>
      </c>
      <c r="H4109" t="s">
        <v>12196</v>
      </c>
      <c r="I4109" t="s">
        <v>12197</v>
      </c>
      <c r="J4109" t="s">
        <v>215</v>
      </c>
      <c r="K4109" t="s">
        <v>55</v>
      </c>
      <c r="L4109" t="s">
        <v>4767</v>
      </c>
      <c r="M4109" t="s">
        <v>57</v>
      </c>
      <c r="N4109" t="str">
        <f>"016820"</f>
        <v>016820</v>
      </c>
      <c r="O4109" t="s">
        <v>12198</v>
      </c>
      <c r="P4109" t="s">
        <v>68</v>
      </c>
      <c r="Q4109">
        <v>100</v>
      </c>
      <c r="R4109">
        <v>100</v>
      </c>
      <c r="S4109" t="s">
        <v>217</v>
      </c>
    </row>
    <row r="4110" spans="1:19" x14ac:dyDescent="0.35">
      <c r="A4110">
        <v>133785</v>
      </c>
      <c r="B4110" t="str">
        <f>"133785"</f>
        <v>133785</v>
      </c>
      <c r="C4110" t="s">
        <v>12195</v>
      </c>
      <c r="D4110" t="s">
        <v>12052</v>
      </c>
      <c r="E4110" t="s">
        <v>12048</v>
      </c>
      <c r="F4110" t="s">
        <v>3396</v>
      </c>
      <c r="G4110" t="s">
        <v>212</v>
      </c>
      <c r="H4110" t="s">
        <v>12196</v>
      </c>
      <c r="I4110" t="s">
        <v>12197</v>
      </c>
      <c r="J4110" t="s">
        <v>215</v>
      </c>
      <c r="K4110" t="s">
        <v>55</v>
      </c>
      <c r="L4110" t="s">
        <v>4767</v>
      </c>
      <c r="M4110" t="s">
        <v>57</v>
      </c>
      <c r="N4110" t="str">
        <f>"016820"</f>
        <v>016820</v>
      </c>
      <c r="O4110" t="s">
        <v>12198</v>
      </c>
      <c r="P4110" t="s">
        <v>68</v>
      </c>
      <c r="Q4110">
        <v>100</v>
      </c>
      <c r="R4110">
        <v>100</v>
      </c>
      <c r="S4110" t="s">
        <v>217</v>
      </c>
    </row>
    <row r="4111" spans="1:19" x14ac:dyDescent="0.35">
      <c r="A4111">
        <v>133785</v>
      </c>
      <c r="B4111" t="str">
        <f>"133785"</f>
        <v>133785</v>
      </c>
      <c r="C4111" t="s">
        <v>12195</v>
      </c>
      <c r="D4111" t="s">
        <v>12063</v>
      </c>
      <c r="E4111" t="s">
        <v>12048</v>
      </c>
      <c r="F4111" t="s">
        <v>3396</v>
      </c>
      <c r="G4111" t="s">
        <v>212</v>
      </c>
      <c r="H4111" t="s">
        <v>12196</v>
      </c>
      <c r="I4111" t="s">
        <v>12197</v>
      </c>
      <c r="J4111" t="s">
        <v>215</v>
      </c>
      <c r="K4111" t="s">
        <v>55</v>
      </c>
      <c r="L4111" t="s">
        <v>4767</v>
      </c>
      <c r="M4111" t="s">
        <v>57</v>
      </c>
      <c r="N4111" t="str">
        <f>"016820"</f>
        <v>016820</v>
      </c>
      <c r="O4111" t="s">
        <v>12198</v>
      </c>
      <c r="P4111" t="s">
        <v>68</v>
      </c>
      <c r="Q4111">
        <v>100</v>
      </c>
      <c r="R4111">
        <v>100</v>
      </c>
      <c r="S4111" t="s">
        <v>217</v>
      </c>
    </row>
    <row r="4112" spans="1:19" x14ac:dyDescent="0.35">
      <c r="A4112">
        <v>133835</v>
      </c>
      <c r="B4112" t="str">
        <f>"133835"</f>
        <v>133835</v>
      </c>
      <c r="C4112" t="s">
        <v>12199</v>
      </c>
      <c r="D4112" t="s">
        <v>3398</v>
      </c>
      <c r="E4112" t="s">
        <v>12048</v>
      </c>
      <c r="F4112" t="s">
        <v>3396</v>
      </c>
      <c r="G4112" t="s">
        <v>63</v>
      </c>
      <c r="H4112" t="s">
        <v>12200</v>
      </c>
      <c r="I4112" t="s">
        <v>12201</v>
      </c>
      <c r="J4112" t="s">
        <v>285</v>
      </c>
      <c r="K4112" t="s">
        <v>55</v>
      </c>
      <c r="L4112" t="s">
        <v>10957</v>
      </c>
      <c r="M4112" t="s">
        <v>57</v>
      </c>
      <c r="N4112" t="str">
        <f>"N/A"</f>
        <v>N/A</v>
      </c>
      <c r="O4112" t="s">
        <v>49</v>
      </c>
      <c r="P4112" t="s">
        <v>68</v>
      </c>
      <c r="Q4112">
        <v>100</v>
      </c>
      <c r="R4112">
        <v>90.8</v>
      </c>
      <c r="S4112" t="s">
        <v>69</v>
      </c>
    </row>
    <row r="4113" spans="1:19" x14ac:dyDescent="0.35">
      <c r="A4113">
        <v>133835</v>
      </c>
      <c r="B4113" t="str">
        <f>"133835"</f>
        <v>133835</v>
      </c>
      <c r="C4113" t="s">
        <v>12199</v>
      </c>
      <c r="D4113" t="s">
        <v>12052</v>
      </c>
      <c r="E4113" t="s">
        <v>12048</v>
      </c>
      <c r="F4113" t="s">
        <v>3396</v>
      </c>
      <c r="G4113" t="s">
        <v>63</v>
      </c>
      <c r="H4113" t="s">
        <v>12200</v>
      </c>
      <c r="I4113" t="s">
        <v>12201</v>
      </c>
      <c r="J4113" t="s">
        <v>285</v>
      </c>
      <c r="K4113" t="s">
        <v>55</v>
      </c>
      <c r="L4113" t="s">
        <v>10957</v>
      </c>
      <c r="M4113" t="s">
        <v>57</v>
      </c>
      <c r="N4113" t="str">
        <f>"N/A"</f>
        <v>N/A</v>
      </c>
      <c r="O4113" t="s">
        <v>49</v>
      </c>
      <c r="P4113" t="s">
        <v>68</v>
      </c>
      <c r="Q4113">
        <v>100</v>
      </c>
      <c r="R4113">
        <v>90.8</v>
      </c>
      <c r="S4113" t="s">
        <v>69</v>
      </c>
    </row>
    <row r="4114" spans="1:19" x14ac:dyDescent="0.35">
      <c r="A4114">
        <v>133835</v>
      </c>
      <c r="B4114" t="str">
        <f>"133835"</f>
        <v>133835</v>
      </c>
      <c r="C4114" t="s">
        <v>12199</v>
      </c>
      <c r="D4114" t="s">
        <v>12063</v>
      </c>
      <c r="E4114" t="s">
        <v>12048</v>
      </c>
      <c r="F4114" t="s">
        <v>3396</v>
      </c>
      <c r="G4114" t="s">
        <v>63</v>
      </c>
      <c r="H4114" t="s">
        <v>12200</v>
      </c>
      <c r="I4114" t="s">
        <v>12201</v>
      </c>
      <c r="J4114" t="s">
        <v>285</v>
      </c>
      <c r="K4114" t="s">
        <v>55</v>
      </c>
      <c r="L4114" t="s">
        <v>10957</v>
      </c>
      <c r="M4114" t="s">
        <v>57</v>
      </c>
      <c r="N4114" t="str">
        <f>"N/A"</f>
        <v>N/A</v>
      </c>
      <c r="O4114" t="s">
        <v>49</v>
      </c>
      <c r="P4114" t="s">
        <v>68</v>
      </c>
      <c r="Q4114">
        <v>100</v>
      </c>
      <c r="R4114">
        <v>90.8</v>
      </c>
      <c r="S4114" t="s">
        <v>69</v>
      </c>
    </row>
    <row r="4115" spans="1:19" x14ac:dyDescent="0.35">
      <c r="A4115">
        <v>133868</v>
      </c>
      <c r="B4115" t="str">
        <f>"133868"</f>
        <v>133868</v>
      </c>
      <c r="C4115" t="s">
        <v>12202</v>
      </c>
      <c r="D4115" t="s">
        <v>3398</v>
      </c>
      <c r="E4115" t="s">
        <v>12048</v>
      </c>
      <c r="F4115" t="s">
        <v>3396</v>
      </c>
      <c r="G4115" t="s">
        <v>264</v>
      </c>
      <c r="H4115" t="s">
        <v>12203</v>
      </c>
      <c r="I4115" t="s">
        <v>12204</v>
      </c>
      <c r="J4115" t="s">
        <v>267</v>
      </c>
      <c r="K4115" t="s">
        <v>55</v>
      </c>
      <c r="L4115" t="s">
        <v>6222</v>
      </c>
      <c r="M4115" t="s">
        <v>57</v>
      </c>
      <c r="N4115" t="str">
        <f>"017297"</f>
        <v>017297</v>
      </c>
      <c r="O4115" t="s">
        <v>12062</v>
      </c>
      <c r="P4115" t="s">
        <v>68</v>
      </c>
      <c r="Q4115">
        <v>100</v>
      </c>
      <c r="R4115">
        <v>56.7</v>
      </c>
      <c r="S4115" t="s">
        <v>77</v>
      </c>
    </row>
    <row r="4116" spans="1:19" x14ac:dyDescent="0.35">
      <c r="A4116">
        <v>133868</v>
      </c>
      <c r="B4116" t="str">
        <f>"133868"</f>
        <v>133868</v>
      </c>
      <c r="C4116" t="s">
        <v>12202</v>
      </c>
      <c r="D4116" t="s">
        <v>12052</v>
      </c>
      <c r="E4116" t="s">
        <v>12048</v>
      </c>
      <c r="F4116" t="s">
        <v>3396</v>
      </c>
      <c r="G4116" t="s">
        <v>264</v>
      </c>
      <c r="H4116" t="s">
        <v>12203</v>
      </c>
      <c r="I4116" t="s">
        <v>12204</v>
      </c>
      <c r="J4116" t="s">
        <v>267</v>
      </c>
      <c r="K4116" t="s">
        <v>55</v>
      </c>
      <c r="L4116" t="s">
        <v>6222</v>
      </c>
      <c r="M4116" t="s">
        <v>57</v>
      </c>
      <c r="N4116" t="str">
        <f>"017297"</f>
        <v>017297</v>
      </c>
      <c r="O4116" t="s">
        <v>12062</v>
      </c>
      <c r="P4116" t="s">
        <v>68</v>
      </c>
      <c r="Q4116">
        <v>100</v>
      </c>
      <c r="R4116">
        <v>56.7</v>
      </c>
      <c r="S4116" t="s">
        <v>77</v>
      </c>
    </row>
    <row r="4117" spans="1:19" x14ac:dyDescent="0.35">
      <c r="A4117">
        <v>133868</v>
      </c>
      <c r="B4117" t="str">
        <f>"133868"</f>
        <v>133868</v>
      </c>
      <c r="C4117" t="s">
        <v>12202</v>
      </c>
      <c r="D4117" t="s">
        <v>12063</v>
      </c>
      <c r="E4117" t="s">
        <v>12048</v>
      </c>
      <c r="F4117" t="s">
        <v>3396</v>
      </c>
      <c r="G4117" t="s">
        <v>264</v>
      </c>
      <c r="H4117" t="s">
        <v>12203</v>
      </c>
      <c r="I4117" t="s">
        <v>12204</v>
      </c>
      <c r="J4117" t="s">
        <v>267</v>
      </c>
      <c r="K4117" t="s">
        <v>55</v>
      </c>
      <c r="L4117" t="s">
        <v>6222</v>
      </c>
      <c r="M4117" t="s">
        <v>57</v>
      </c>
      <c r="N4117" t="str">
        <f>"017297"</f>
        <v>017297</v>
      </c>
      <c r="O4117" t="s">
        <v>12062</v>
      </c>
      <c r="P4117" t="s">
        <v>68</v>
      </c>
      <c r="Q4117">
        <v>100</v>
      </c>
      <c r="R4117">
        <v>56.7</v>
      </c>
      <c r="S4117" t="s">
        <v>77</v>
      </c>
    </row>
    <row r="4118" spans="1:19" x14ac:dyDescent="0.35">
      <c r="A4118">
        <v>133942</v>
      </c>
      <c r="B4118" t="str">
        <f>"133942"</f>
        <v>133942</v>
      </c>
      <c r="C4118" t="s">
        <v>12205</v>
      </c>
      <c r="D4118" t="s">
        <v>3398</v>
      </c>
      <c r="E4118" t="s">
        <v>12048</v>
      </c>
      <c r="F4118" t="s">
        <v>3396</v>
      </c>
      <c r="G4118" t="s">
        <v>200</v>
      </c>
      <c r="H4118" t="s">
        <v>12206</v>
      </c>
      <c r="I4118" t="s">
        <v>12207</v>
      </c>
      <c r="J4118" t="s">
        <v>304</v>
      </c>
      <c r="K4118" t="s">
        <v>55</v>
      </c>
      <c r="L4118" t="s">
        <v>3170</v>
      </c>
      <c r="M4118" t="s">
        <v>57</v>
      </c>
      <c r="N4118" t="str">
        <f>"N/A"</f>
        <v>N/A</v>
      </c>
      <c r="O4118" t="s">
        <v>49</v>
      </c>
      <c r="P4118" t="s">
        <v>68</v>
      </c>
      <c r="Q4118">
        <v>37.4</v>
      </c>
      <c r="R4118">
        <v>43.2</v>
      </c>
      <c r="S4118" t="s">
        <v>156</v>
      </c>
    </row>
    <row r="4119" spans="1:19" x14ac:dyDescent="0.35">
      <c r="A4119">
        <v>133942</v>
      </c>
      <c r="B4119" t="str">
        <f>"133942"</f>
        <v>133942</v>
      </c>
      <c r="C4119" t="s">
        <v>12205</v>
      </c>
      <c r="D4119" t="s">
        <v>12052</v>
      </c>
      <c r="E4119" t="s">
        <v>12048</v>
      </c>
      <c r="F4119" t="s">
        <v>3396</v>
      </c>
      <c r="G4119" t="s">
        <v>200</v>
      </c>
      <c r="H4119" t="s">
        <v>12206</v>
      </c>
      <c r="I4119" t="s">
        <v>12207</v>
      </c>
      <c r="J4119" t="s">
        <v>304</v>
      </c>
      <c r="K4119" t="s">
        <v>55</v>
      </c>
      <c r="L4119" t="s">
        <v>3170</v>
      </c>
      <c r="M4119" t="s">
        <v>57</v>
      </c>
      <c r="N4119" t="str">
        <f>"N/A"</f>
        <v>N/A</v>
      </c>
      <c r="O4119" t="s">
        <v>49</v>
      </c>
      <c r="P4119" t="s">
        <v>68</v>
      </c>
      <c r="Q4119">
        <v>37.4</v>
      </c>
      <c r="R4119">
        <v>43.2</v>
      </c>
      <c r="S4119" t="s">
        <v>156</v>
      </c>
    </row>
    <row r="4120" spans="1:19" x14ac:dyDescent="0.35">
      <c r="A4120">
        <v>134072</v>
      </c>
      <c r="B4120" t="str">
        <f>"134072"</f>
        <v>134072</v>
      </c>
      <c r="C4120" t="s">
        <v>12208</v>
      </c>
      <c r="D4120" t="s">
        <v>3394</v>
      </c>
      <c r="E4120" t="s">
        <v>12048</v>
      </c>
      <c r="F4120" t="s">
        <v>3396</v>
      </c>
      <c r="G4120" t="s">
        <v>383</v>
      </c>
      <c r="H4120" t="s">
        <v>12209</v>
      </c>
      <c r="I4120" t="s">
        <v>12210</v>
      </c>
      <c r="J4120" t="s">
        <v>1215</v>
      </c>
      <c r="K4120" t="s">
        <v>55</v>
      </c>
      <c r="L4120" t="s">
        <v>8607</v>
      </c>
      <c r="M4120" t="s">
        <v>57</v>
      </c>
      <c r="N4120" t="str">
        <f>"N/A"</f>
        <v>N/A</v>
      </c>
      <c r="O4120" t="s">
        <v>49</v>
      </c>
      <c r="P4120" t="s">
        <v>68</v>
      </c>
      <c r="Q4120">
        <v>100</v>
      </c>
      <c r="R4120">
        <v>100</v>
      </c>
      <c r="S4120" t="s">
        <v>77</v>
      </c>
    </row>
    <row r="4121" spans="1:19" x14ac:dyDescent="0.35">
      <c r="A4121">
        <v>134072</v>
      </c>
      <c r="B4121" t="str">
        <f>"134072"</f>
        <v>134072</v>
      </c>
      <c r="C4121" t="s">
        <v>12208</v>
      </c>
      <c r="D4121" t="s">
        <v>12052</v>
      </c>
      <c r="E4121" t="s">
        <v>12048</v>
      </c>
      <c r="F4121" t="s">
        <v>3396</v>
      </c>
      <c r="G4121" t="s">
        <v>383</v>
      </c>
      <c r="H4121" t="s">
        <v>12209</v>
      </c>
      <c r="I4121" t="s">
        <v>12210</v>
      </c>
      <c r="J4121" t="s">
        <v>1215</v>
      </c>
      <c r="K4121" t="s">
        <v>55</v>
      </c>
      <c r="L4121" t="s">
        <v>8607</v>
      </c>
      <c r="M4121" t="s">
        <v>57</v>
      </c>
      <c r="N4121" t="str">
        <f>"N/A"</f>
        <v>N/A</v>
      </c>
      <c r="O4121" t="s">
        <v>49</v>
      </c>
      <c r="P4121" t="s">
        <v>68</v>
      </c>
      <c r="Q4121">
        <v>100</v>
      </c>
      <c r="R4121">
        <v>100</v>
      </c>
      <c r="S4121" t="s">
        <v>77</v>
      </c>
    </row>
    <row r="4122" spans="1:19" x14ac:dyDescent="0.35">
      <c r="A4122">
        <v>134098</v>
      </c>
      <c r="B4122" t="str">
        <f>"134098"</f>
        <v>134098</v>
      </c>
      <c r="C4122" t="s">
        <v>12211</v>
      </c>
      <c r="D4122" t="s">
        <v>3394</v>
      </c>
      <c r="E4122" t="s">
        <v>12048</v>
      </c>
      <c r="F4122" t="s">
        <v>3396</v>
      </c>
      <c r="G4122" t="s">
        <v>63</v>
      </c>
      <c r="H4122" t="s">
        <v>12212</v>
      </c>
      <c r="I4122" t="s">
        <v>12213</v>
      </c>
      <c r="J4122" t="s">
        <v>285</v>
      </c>
      <c r="K4122" t="s">
        <v>55</v>
      </c>
      <c r="L4122" t="s">
        <v>3798</v>
      </c>
      <c r="M4122" t="s">
        <v>57</v>
      </c>
      <c r="N4122" t="str">
        <f>"020912"</f>
        <v>020912</v>
      </c>
      <c r="O4122" t="s">
        <v>12089</v>
      </c>
      <c r="P4122" t="s">
        <v>68</v>
      </c>
      <c r="Q4122">
        <v>100</v>
      </c>
      <c r="R4122">
        <v>62.7</v>
      </c>
      <c r="S4122" t="s">
        <v>69</v>
      </c>
    </row>
    <row r="4123" spans="1:19" x14ac:dyDescent="0.35">
      <c r="A4123">
        <v>134098</v>
      </c>
      <c r="B4123" t="str">
        <f>"134098"</f>
        <v>134098</v>
      </c>
      <c r="C4123" t="s">
        <v>12211</v>
      </c>
      <c r="D4123" t="s">
        <v>12052</v>
      </c>
      <c r="E4123" t="s">
        <v>12048</v>
      </c>
      <c r="F4123" t="s">
        <v>3396</v>
      </c>
      <c r="G4123" t="s">
        <v>63</v>
      </c>
      <c r="H4123" t="s">
        <v>12212</v>
      </c>
      <c r="I4123" t="s">
        <v>12213</v>
      </c>
      <c r="J4123" t="s">
        <v>285</v>
      </c>
      <c r="K4123" t="s">
        <v>55</v>
      </c>
      <c r="L4123" t="s">
        <v>3798</v>
      </c>
      <c r="M4123" t="s">
        <v>57</v>
      </c>
      <c r="N4123" t="str">
        <f>"020912"</f>
        <v>020912</v>
      </c>
      <c r="O4123" t="s">
        <v>12089</v>
      </c>
      <c r="P4123" t="s">
        <v>68</v>
      </c>
      <c r="Q4123">
        <v>100</v>
      </c>
      <c r="R4123">
        <v>62.7</v>
      </c>
      <c r="S4123" t="s">
        <v>69</v>
      </c>
    </row>
    <row r="4124" spans="1:19" x14ac:dyDescent="0.35">
      <c r="A4124">
        <v>134122</v>
      </c>
      <c r="B4124" t="str">
        <f>"134122"</f>
        <v>134122</v>
      </c>
      <c r="C4124" t="s">
        <v>12214</v>
      </c>
      <c r="D4124" t="s">
        <v>3398</v>
      </c>
      <c r="E4124" t="s">
        <v>12048</v>
      </c>
      <c r="F4124" t="s">
        <v>3396</v>
      </c>
      <c r="G4124" t="s">
        <v>200</v>
      </c>
      <c r="H4124" t="s">
        <v>12215</v>
      </c>
      <c r="I4124" t="s">
        <v>12216</v>
      </c>
      <c r="J4124" t="s">
        <v>304</v>
      </c>
      <c r="K4124" t="s">
        <v>55</v>
      </c>
      <c r="L4124" t="s">
        <v>4721</v>
      </c>
      <c r="M4124" t="s">
        <v>57</v>
      </c>
      <c r="N4124" t="str">
        <f>"N/A"</f>
        <v>N/A</v>
      </c>
      <c r="O4124" t="s">
        <v>49</v>
      </c>
      <c r="P4124" t="s">
        <v>68</v>
      </c>
      <c r="Q4124">
        <v>63.2</v>
      </c>
      <c r="R4124">
        <v>41.1</v>
      </c>
      <c r="S4124" t="s">
        <v>156</v>
      </c>
    </row>
    <row r="4125" spans="1:19" x14ac:dyDescent="0.35">
      <c r="A4125">
        <v>134122</v>
      </c>
      <c r="B4125" t="str">
        <f>"134122"</f>
        <v>134122</v>
      </c>
      <c r="C4125" t="s">
        <v>12214</v>
      </c>
      <c r="D4125" t="s">
        <v>12052</v>
      </c>
      <c r="E4125" t="s">
        <v>12048</v>
      </c>
      <c r="F4125" t="s">
        <v>3396</v>
      </c>
      <c r="G4125" t="s">
        <v>200</v>
      </c>
      <c r="H4125" t="s">
        <v>12215</v>
      </c>
      <c r="I4125" t="s">
        <v>12216</v>
      </c>
      <c r="J4125" t="s">
        <v>304</v>
      </c>
      <c r="K4125" t="s">
        <v>55</v>
      </c>
      <c r="L4125" t="s">
        <v>4721</v>
      </c>
      <c r="M4125" t="s">
        <v>57</v>
      </c>
      <c r="N4125" t="str">
        <f>"N/A"</f>
        <v>N/A</v>
      </c>
      <c r="O4125" t="s">
        <v>49</v>
      </c>
      <c r="P4125" t="s">
        <v>68</v>
      </c>
      <c r="Q4125">
        <v>63.2</v>
      </c>
      <c r="R4125">
        <v>41.1</v>
      </c>
      <c r="S4125" t="s">
        <v>156</v>
      </c>
    </row>
    <row r="4126" spans="1:19" x14ac:dyDescent="0.35">
      <c r="A4126">
        <v>134197</v>
      </c>
      <c r="B4126" t="str">
        <f>"134197"</f>
        <v>134197</v>
      </c>
      <c r="C4126" t="s">
        <v>12217</v>
      </c>
      <c r="D4126" t="s">
        <v>3394</v>
      </c>
      <c r="E4126" t="s">
        <v>12048</v>
      </c>
      <c r="F4126" t="s">
        <v>3396</v>
      </c>
      <c r="G4126" t="s">
        <v>63</v>
      </c>
      <c r="H4126" t="s">
        <v>12218</v>
      </c>
      <c r="I4126" t="s">
        <v>12219</v>
      </c>
      <c r="J4126" t="s">
        <v>285</v>
      </c>
      <c r="K4126" t="s">
        <v>55</v>
      </c>
      <c r="L4126" t="s">
        <v>1711</v>
      </c>
      <c r="M4126" t="s">
        <v>57</v>
      </c>
      <c r="N4126" t="str">
        <f>"015588"</f>
        <v>015588</v>
      </c>
      <c r="O4126" t="s">
        <v>12220</v>
      </c>
      <c r="P4126" t="s">
        <v>68</v>
      </c>
      <c r="Q4126">
        <v>94.8</v>
      </c>
      <c r="R4126">
        <v>100</v>
      </c>
      <c r="S4126" t="s">
        <v>69</v>
      </c>
    </row>
    <row r="4127" spans="1:19" x14ac:dyDescent="0.35">
      <c r="A4127">
        <v>134197</v>
      </c>
      <c r="B4127" t="str">
        <f>"134197"</f>
        <v>134197</v>
      </c>
      <c r="C4127" t="s">
        <v>12217</v>
      </c>
      <c r="D4127" t="s">
        <v>12052</v>
      </c>
      <c r="E4127" t="s">
        <v>12048</v>
      </c>
      <c r="F4127" t="s">
        <v>3396</v>
      </c>
      <c r="G4127" t="s">
        <v>63</v>
      </c>
      <c r="H4127" t="s">
        <v>12218</v>
      </c>
      <c r="I4127" t="s">
        <v>12219</v>
      </c>
      <c r="J4127" t="s">
        <v>285</v>
      </c>
      <c r="K4127" t="s">
        <v>55</v>
      </c>
      <c r="L4127" t="s">
        <v>1711</v>
      </c>
      <c r="M4127" t="s">
        <v>57</v>
      </c>
      <c r="N4127" t="str">
        <f>"015588"</f>
        <v>015588</v>
      </c>
      <c r="O4127" t="s">
        <v>12220</v>
      </c>
      <c r="P4127" t="s">
        <v>68</v>
      </c>
      <c r="Q4127">
        <v>94.8</v>
      </c>
      <c r="R4127">
        <v>100</v>
      </c>
      <c r="S4127" t="s">
        <v>69</v>
      </c>
    </row>
    <row r="4128" spans="1:19" x14ac:dyDescent="0.35">
      <c r="A4128">
        <v>134213</v>
      </c>
      <c r="B4128" t="str">
        <f>"134213"</f>
        <v>134213</v>
      </c>
      <c r="C4128" t="s">
        <v>12221</v>
      </c>
      <c r="D4128" t="s">
        <v>3394</v>
      </c>
      <c r="E4128" t="s">
        <v>12048</v>
      </c>
      <c r="F4128" t="s">
        <v>3396</v>
      </c>
      <c r="G4128" t="s">
        <v>264</v>
      </c>
      <c r="H4128" t="s">
        <v>12222</v>
      </c>
      <c r="I4128" t="s">
        <v>12223</v>
      </c>
      <c r="J4128" t="s">
        <v>267</v>
      </c>
      <c r="K4128" t="s">
        <v>55</v>
      </c>
      <c r="L4128" t="s">
        <v>3658</v>
      </c>
      <c r="M4128" t="s">
        <v>57</v>
      </c>
      <c r="N4128" t="str">
        <f>"020269"</f>
        <v>020269</v>
      </c>
      <c r="O4128" t="s">
        <v>12224</v>
      </c>
      <c r="P4128" t="s">
        <v>68</v>
      </c>
      <c r="Q4128">
        <v>100</v>
      </c>
      <c r="R4128">
        <v>91.9</v>
      </c>
      <c r="S4128" t="s">
        <v>77</v>
      </c>
    </row>
    <row r="4129" spans="1:19" x14ac:dyDescent="0.35">
      <c r="A4129">
        <v>134213</v>
      </c>
      <c r="B4129" t="str">
        <f>"134213"</f>
        <v>134213</v>
      </c>
      <c r="C4129" t="s">
        <v>12221</v>
      </c>
      <c r="D4129" t="s">
        <v>12052</v>
      </c>
      <c r="E4129" t="s">
        <v>12048</v>
      </c>
      <c r="F4129" t="s">
        <v>3396</v>
      </c>
      <c r="G4129" t="s">
        <v>264</v>
      </c>
      <c r="H4129" t="s">
        <v>12222</v>
      </c>
      <c r="I4129" t="s">
        <v>12223</v>
      </c>
      <c r="J4129" t="s">
        <v>267</v>
      </c>
      <c r="K4129" t="s">
        <v>55</v>
      </c>
      <c r="L4129" t="s">
        <v>3658</v>
      </c>
      <c r="M4129" t="s">
        <v>57</v>
      </c>
      <c r="N4129" t="str">
        <f>"020269"</f>
        <v>020269</v>
      </c>
      <c r="O4129" t="s">
        <v>12224</v>
      </c>
      <c r="P4129" t="s">
        <v>68</v>
      </c>
      <c r="Q4129">
        <v>100</v>
      </c>
      <c r="R4129">
        <v>91.9</v>
      </c>
      <c r="S4129" t="s">
        <v>77</v>
      </c>
    </row>
    <row r="4130" spans="1:19" x14ac:dyDescent="0.35">
      <c r="A4130">
        <v>134247</v>
      </c>
      <c r="B4130" t="str">
        <f>"134247"</f>
        <v>134247</v>
      </c>
      <c r="C4130" t="s">
        <v>12225</v>
      </c>
      <c r="D4130" t="s">
        <v>3394</v>
      </c>
      <c r="E4130" t="s">
        <v>12048</v>
      </c>
      <c r="F4130" t="s">
        <v>3396</v>
      </c>
      <c r="G4130" t="s">
        <v>543</v>
      </c>
      <c r="H4130" t="s">
        <v>12226</v>
      </c>
      <c r="I4130" t="s">
        <v>12227</v>
      </c>
      <c r="J4130" t="s">
        <v>687</v>
      </c>
      <c r="K4130" t="s">
        <v>55</v>
      </c>
      <c r="L4130" t="s">
        <v>786</v>
      </c>
      <c r="M4130" t="s">
        <v>57</v>
      </c>
      <c r="N4130" t="str">
        <f>"N/A"</f>
        <v>N/A</v>
      </c>
      <c r="O4130" t="s">
        <v>49</v>
      </c>
      <c r="P4130" t="s">
        <v>68</v>
      </c>
      <c r="Q4130">
        <v>97.4</v>
      </c>
      <c r="R4130">
        <v>100</v>
      </c>
      <c r="S4130" t="s">
        <v>180</v>
      </c>
    </row>
    <row r="4131" spans="1:19" x14ac:dyDescent="0.35">
      <c r="A4131">
        <v>134247</v>
      </c>
      <c r="B4131" t="str">
        <f>"134247"</f>
        <v>134247</v>
      </c>
      <c r="C4131" t="s">
        <v>12225</v>
      </c>
      <c r="D4131" t="s">
        <v>12052</v>
      </c>
      <c r="E4131" t="s">
        <v>12048</v>
      </c>
      <c r="F4131" t="s">
        <v>3396</v>
      </c>
      <c r="G4131" t="s">
        <v>543</v>
      </c>
      <c r="H4131" t="s">
        <v>12226</v>
      </c>
      <c r="I4131" t="s">
        <v>12227</v>
      </c>
      <c r="J4131" t="s">
        <v>687</v>
      </c>
      <c r="K4131" t="s">
        <v>55</v>
      </c>
      <c r="L4131" t="s">
        <v>786</v>
      </c>
      <c r="M4131" t="s">
        <v>57</v>
      </c>
      <c r="N4131" t="str">
        <f>"N/A"</f>
        <v>N/A</v>
      </c>
      <c r="O4131" t="s">
        <v>49</v>
      </c>
      <c r="P4131" t="s">
        <v>68</v>
      </c>
      <c r="Q4131">
        <v>97.4</v>
      </c>
      <c r="R4131">
        <v>100</v>
      </c>
      <c r="S4131" t="s">
        <v>180</v>
      </c>
    </row>
    <row r="4132" spans="1:19" x14ac:dyDescent="0.35">
      <c r="A4132">
        <v>134304</v>
      </c>
      <c r="B4132" t="str">
        <f>"134304"</f>
        <v>134304</v>
      </c>
      <c r="C4132" t="s">
        <v>12228</v>
      </c>
      <c r="D4132" t="s">
        <v>3394</v>
      </c>
      <c r="E4132" t="s">
        <v>9538</v>
      </c>
      <c r="F4132" t="s">
        <v>3396</v>
      </c>
      <c r="G4132" t="s">
        <v>1543</v>
      </c>
      <c r="H4132" t="s">
        <v>12229</v>
      </c>
      <c r="I4132" t="s">
        <v>12230</v>
      </c>
      <c r="J4132" t="s">
        <v>288</v>
      </c>
      <c r="K4132" t="s">
        <v>55</v>
      </c>
      <c r="L4132" t="s">
        <v>1546</v>
      </c>
      <c r="M4132" t="s">
        <v>57</v>
      </c>
      <c r="N4132" t="str">
        <f>"134304"</f>
        <v>134304</v>
      </c>
      <c r="O4132" t="s">
        <v>12228</v>
      </c>
      <c r="P4132" t="s">
        <v>68</v>
      </c>
      <c r="Q4132" t="s">
        <v>68</v>
      </c>
      <c r="R4132" t="s">
        <v>68</v>
      </c>
      <c r="S4132" t="s">
        <v>130</v>
      </c>
    </row>
    <row r="4133" spans="1:19" x14ac:dyDescent="0.35">
      <c r="A4133">
        <v>134312</v>
      </c>
      <c r="B4133" t="str">
        <f>"134312"</f>
        <v>134312</v>
      </c>
      <c r="C4133" t="s">
        <v>12231</v>
      </c>
      <c r="D4133" t="s">
        <v>3394</v>
      </c>
      <c r="E4133" t="s">
        <v>9538</v>
      </c>
      <c r="F4133" t="s">
        <v>3396</v>
      </c>
      <c r="G4133" t="s">
        <v>244</v>
      </c>
      <c r="H4133" t="s">
        <v>12232</v>
      </c>
      <c r="I4133" t="s">
        <v>12233</v>
      </c>
      <c r="J4133" t="s">
        <v>2008</v>
      </c>
      <c r="K4133" t="s">
        <v>55</v>
      </c>
      <c r="L4133" t="s">
        <v>3475</v>
      </c>
      <c r="M4133" t="s">
        <v>57</v>
      </c>
      <c r="N4133" t="str">
        <f>"052514"</f>
        <v>052514</v>
      </c>
      <c r="O4133" t="s">
        <v>2465</v>
      </c>
      <c r="P4133" t="s">
        <v>68</v>
      </c>
      <c r="Q4133" t="s">
        <v>68</v>
      </c>
      <c r="R4133" t="s">
        <v>68</v>
      </c>
      <c r="S4133" t="s">
        <v>217</v>
      </c>
    </row>
    <row r="4134" spans="1:19" x14ac:dyDescent="0.35">
      <c r="A4134">
        <v>134338</v>
      </c>
      <c r="B4134" t="str">
        <f>"134338"</f>
        <v>134338</v>
      </c>
      <c r="C4134" t="s">
        <v>12234</v>
      </c>
      <c r="D4134" t="s">
        <v>3394</v>
      </c>
      <c r="E4134" t="s">
        <v>9538</v>
      </c>
      <c r="F4134" t="s">
        <v>3396</v>
      </c>
      <c r="G4134" t="s">
        <v>212</v>
      </c>
      <c r="H4134" t="s">
        <v>12235</v>
      </c>
      <c r="I4134" t="s">
        <v>12236</v>
      </c>
      <c r="J4134" t="s">
        <v>215</v>
      </c>
      <c r="K4134" t="s">
        <v>55</v>
      </c>
      <c r="L4134" t="s">
        <v>1693</v>
      </c>
      <c r="M4134" t="s">
        <v>57</v>
      </c>
      <c r="N4134" t="str">
        <f>"134338"</f>
        <v>134338</v>
      </c>
      <c r="O4134" t="s">
        <v>12234</v>
      </c>
      <c r="P4134" t="s">
        <v>68</v>
      </c>
      <c r="Q4134" t="s">
        <v>68</v>
      </c>
      <c r="R4134" t="s">
        <v>68</v>
      </c>
      <c r="S4134" t="s">
        <v>217</v>
      </c>
    </row>
    <row r="4135" spans="1:19" x14ac:dyDescent="0.35">
      <c r="A4135">
        <v>134338</v>
      </c>
      <c r="B4135" t="str">
        <f>"134338"</f>
        <v>134338</v>
      </c>
      <c r="C4135" t="s">
        <v>12234</v>
      </c>
      <c r="D4135" t="s">
        <v>9541</v>
      </c>
      <c r="E4135" t="s">
        <v>9538</v>
      </c>
      <c r="F4135" t="s">
        <v>3396</v>
      </c>
      <c r="G4135" t="s">
        <v>212</v>
      </c>
      <c r="H4135" t="s">
        <v>12235</v>
      </c>
      <c r="I4135" t="s">
        <v>12236</v>
      </c>
      <c r="J4135" t="s">
        <v>215</v>
      </c>
      <c r="K4135" t="s">
        <v>55</v>
      </c>
      <c r="L4135" t="s">
        <v>1693</v>
      </c>
      <c r="M4135" t="s">
        <v>57</v>
      </c>
      <c r="N4135" t="str">
        <f>"134338"</f>
        <v>134338</v>
      </c>
      <c r="O4135" t="s">
        <v>12234</v>
      </c>
      <c r="P4135" t="s">
        <v>68</v>
      </c>
      <c r="Q4135" t="s">
        <v>68</v>
      </c>
      <c r="R4135" t="s">
        <v>68</v>
      </c>
      <c r="S4135" t="s">
        <v>217</v>
      </c>
    </row>
    <row r="4136" spans="1:19" x14ac:dyDescent="0.35">
      <c r="A4136">
        <v>134353</v>
      </c>
      <c r="B4136" t="str">
        <f>"134353"</f>
        <v>134353</v>
      </c>
      <c r="C4136" t="s">
        <v>12237</v>
      </c>
      <c r="D4136" t="s">
        <v>3394</v>
      </c>
      <c r="E4136" t="s">
        <v>9538</v>
      </c>
      <c r="F4136" t="s">
        <v>3396</v>
      </c>
      <c r="G4136" t="s">
        <v>600</v>
      </c>
      <c r="H4136" t="s">
        <v>12238</v>
      </c>
      <c r="I4136" t="s">
        <v>12239</v>
      </c>
      <c r="J4136" t="s">
        <v>1348</v>
      </c>
      <c r="K4136" t="s">
        <v>55</v>
      </c>
      <c r="L4136" t="s">
        <v>4840</v>
      </c>
      <c r="M4136" t="s">
        <v>57</v>
      </c>
      <c r="N4136" t="str">
        <f>"134353"</f>
        <v>134353</v>
      </c>
      <c r="O4136" t="s">
        <v>12237</v>
      </c>
      <c r="P4136" t="s">
        <v>68</v>
      </c>
      <c r="Q4136" t="s">
        <v>68</v>
      </c>
      <c r="R4136" t="s">
        <v>68</v>
      </c>
      <c r="S4136" t="s">
        <v>60</v>
      </c>
    </row>
    <row r="4137" spans="1:19" x14ac:dyDescent="0.35">
      <c r="A4137">
        <v>134387</v>
      </c>
      <c r="B4137" t="str">
        <f>"134387"</f>
        <v>134387</v>
      </c>
      <c r="C4137" t="s">
        <v>12240</v>
      </c>
      <c r="D4137" t="s">
        <v>3394</v>
      </c>
      <c r="E4137" t="s">
        <v>9538</v>
      </c>
      <c r="F4137" t="s">
        <v>3396</v>
      </c>
      <c r="G4137" t="s">
        <v>600</v>
      </c>
      <c r="H4137" t="s">
        <v>12241</v>
      </c>
      <c r="I4137" t="s">
        <v>12242</v>
      </c>
      <c r="J4137" t="s">
        <v>2690</v>
      </c>
      <c r="K4137" t="s">
        <v>55</v>
      </c>
      <c r="L4137" t="s">
        <v>2691</v>
      </c>
      <c r="M4137" t="s">
        <v>57</v>
      </c>
      <c r="N4137" t="str">
        <f>"134387"</f>
        <v>134387</v>
      </c>
      <c r="O4137" t="s">
        <v>12240</v>
      </c>
      <c r="P4137" t="s">
        <v>68</v>
      </c>
      <c r="Q4137" t="s">
        <v>68</v>
      </c>
      <c r="R4137" t="s">
        <v>68</v>
      </c>
      <c r="S4137" t="s">
        <v>60</v>
      </c>
    </row>
    <row r="4138" spans="1:19" x14ac:dyDescent="0.35">
      <c r="A4138">
        <v>134429</v>
      </c>
      <c r="B4138" t="str">
        <f>"134429"</f>
        <v>134429</v>
      </c>
      <c r="C4138" t="s">
        <v>12243</v>
      </c>
      <c r="D4138" t="s">
        <v>3398</v>
      </c>
      <c r="E4138" t="s">
        <v>9538</v>
      </c>
      <c r="F4138" t="s">
        <v>3396</v>
      </c>
      <c r="G4138" t="s">
        <v>200</v>
      </c>
      <c r="H4138" t="s">
        <v>12244</v>
      </c>
      <c r="I4138" t="s">
        <v>12245</v>
      </c>
      <c r="J4138" t="s">
        <v>203</v>
      </c>
      <c r="K4138" t="s">
        <v>55</v>
      </c>
      <c r="L4138" t="s">
        <v>204</v>
      </c>
      <c r="M4138" t="s">
        <v>57</v>
      </c>
      <c r="N4138" t="str">
        <f>"134429"</f>
        <v>134429</v>
      </c>
      <c r="O4138" t="s">
        <v>12243</v>
      </c>
      <c r="P4138" t="s">
        <v>68</v>
      </c>
      <c r="Q4138" t="s">
        <v>68</v>
      </c>
      <c r="R4138" t="s">
        <v>68</v>
      </c>
      <c r="S4138" t="s">
        <v>156</v>
      </c>
    </row>
    <row r="4139" spans="1:19" x14ac:dyDescent="0.35">
      <c r="A4139">
        <v>134460</v>
      </c>
      <c r="B4139" t="str">
        <f>"134460"</f>
        <v>134460</v>
      </c>
      <c r="C4139" t="s">
        <v>12246</v>
      </c>
      <c r="D4139" t="s">
        <v>3394</v>
      </c>
      <c r="E4139" t="s">
        <v>9538</v>
      </c>
      <c r="F4139" t="s">
        <v>3396</v>
      </c>
      <c r="G4139" t="s">
        <v>264</v>
      </c>
      <c r="H4139" t="s">
        <v>12247</v>
      </c>
      <c r="I4139" t="s">
        <v>12248</v>
      </c>
      <c r="J4139" t="s">
        <v>2003</v>
      </c>
      <c r="K4139" t="s">
        <v>55</v>
      </c>
      <c r="L4139" t="s">
        <v>2004</v>
      </c>
      <c r="M4139" t="s">
        <v>57</v>
      </c>
      <c r="N4139" t="str">
        <f>"134460"</f>
        <v>134460</v>
      </c>
      <c r="O4139" t="s">
        <v>12246</v>
      </c>
      <c r="P4139" t="s">
        <v>68</v>
      </c>
      <c r="Q4139" t="s">
        <v>68</v>
      </c>
      <c r="R4139" t="s">
        <v>68</v>
      </c>
      <c r="S4139" t="s">
        <v>77</v>
      </c>
    </row>
    <row r="4140" spans="1:19" x14ac:dyDescent="0.35">
      <c r="A4140">
        <v>134478</v>
      </c>
      <c r="B4140" t="str">
        <f>"134478"</f>
        <v>134478</v>
      </c>
      <c r="C4140" t="s">
        <v>12249</v>
      </c>
      <c r="D4140" t="s">
        <v>3394</v>
      </c>
      <c r="E4140" t="s">
        <v>9538</v>
      </c>
      <c r="F4140" t="s">
        <v>3396</v>
      </c>
      <c r="G4140" t="s">
        <v>63</v>
      </c>
      <c r="H4140" t="s">
        <v>12250</v>
      </c>
      <c r="I4140" t="s">
        <v>12251</v>
      </c>
      <c r="J4140" t="s">
        <v>285</v>
      </c>
      <c r="K4140" t="s">
        <v>55</v>
      </c>
      <c r="L4140" t="s">
        <v>3915</v>
      </c>
      <c r="M4140" t="s">
        <v>57</v>
      </c>
      <c r="N4140" t="str">
        <f>"134478"</f>
        <v>134478</v>
      </c>
      <c r="O4140" t="s">
        <v>12249</v>
      </c>
      <c r="P4140" t="s">
        <v>68</v>
      </c>
      <c r="Q4140" t="s">
        <v>68</v>
      </c>
      <c r="R4140" t="s">
        <v>68</v>
      </c>
      <c r="S4140" t="s">
        <v>69</v>
      </c>
    </row>
    <row r="4141" spans="1:19" x14ac:dyDescent="0.35">
      <c r="A4141">
        <v>134510</v>
      </c>
      <c r="B4141" t="str">
        <f>"134510"</f>
        <v>134510</v>
      </c>
      <c r="C4141" t="s">
        <v>12252</v>
      </c>
      <c r="D4141" t="s">
        <v>3398</v>
      </c>
      <c r="E4141" t="s">
        <v>9538</v>
      </c>
      <c r="F4141" t="s">
        <v>3396</v>
      </c>
      <c r="G4141" t="s">
        <v>92</v>
      </c>
      <c r="H4141" t="s">
        <v>12253</v>
      </c>
      <c r="I4141" t="s">
        <v>12254</v>
      </c>
      <c r="J4141" t="s">
        <v>1940</v>
      </c>
      <c r="K4141" t="s">
        <v>55</v>
      </c>
      <c r="L4141" t="s">
        <v>1941</v>
      </c>
      <c r="M4141" t="s">
        <v>57</v>
      </c>
      <c r="N4141" t="str">
        <f>"134510"</f>
        <v>134510</v>
      </c>
      <c r="O4141" t="s">
        <v>12252</v>
      </c>
      <c r="P4141" t="s">
        <v>68</v>
      </c>
      <c r="Q4141" t="s">
        <v>68</v>
      </c>
      <c r="R4141" t="s">
        <v>68</v>
      </c>
      <c r="S4141" t="s">
        <v>60</v>
      </c>
    </row>
    <row r="4142" spans="1:19" x14ac:dyDescent="0.35">
      <c r="A4142">
        <v>134528</v>
      </c>
      <c r="B4142" t="str">
        <f>"134528"</f>
        <v>134528</v>
      </c>
      <c r="C4142" t="s">
        <v>12255</v>
      </c>
      <c r="D4142" t="s">
        <v>3398</v>
      </c>
      <c r="E4142" t="s">
        <v>9538</v>
      </c>
      <c r="F4142" t="s">
        <v>3396</v>
      </c>
      <c r="G4142" t="s">
        <v>1567</v>
      </c>
      <c r="H4142" t="s">
        <v>12256</v>
      </c>
      <c r="I4142" t="s">
        <v>12257</v>
      </c>
      <c r="J4142" t="s">
        <v>1570</v>
      </c>
      <c r="K4142" t="s">
        <v>55</v>
      </c>
      <c r="L4142" t="s">
        <v>1571</v>
      </c>
      <c r="M4142" t="s">
        <v>57</v>
      </c>
      <c r="N4142" t="str">
        <f>"134528"</f>
        <v>134528</v>
      </c>
      <c r="O4142" t="s">
        <v>12255</v>
      </c>
      <c r="P4142" t="s">
        <v>68</v>
      </c>
      <c r="Q4142" t="s">
        <v>68</v>
      </c>
      <c r="R4142" t="s">
        <v>68</v>
      </c>
      <c r="S4142" t="s">
        <v>60</v>
      </c>
    </row>
    <row r="4143" spans="1:19" x14ac:dyDescent="0.35">
      <c r="A4143">
        <v>134528</v>
      </c>
      <c r="B4143" t="str">
        <f>"134528"</f>
        <v>134528</v>
      </c>
      <c r="C4143" t="s">
        <v>12255</v>
      </c>
      <c r="D4143" t="s">
        <v>3929</v>
      </c>
      <c r="E4143" t="s">
        <v>9538</v>
      </c>
      <c r="F4143" t="s">
        <v>3396</v>
      </c>
      <c r="G4143" t="s">
        <v>1567</v>
      </c>
      <c r="H4143" t="s">
        <v>12256</v>
      </c>
      <c r="I4143" t="s">
        <v>12257</v>
      </c>
      <c r="J4143" t="s">
        <v>1570</v>
      </c>
      <c r="K4143" t="s">
        <v>55</v>
      </c>
      <c r="L4143" t="s">
        <v>1571</v>
      </c>
      <c r="M4143" t="s">
        <v>57</v>
      </c>
      <c r="N4143" t="str">
        <f>"134528"</f>
        <v>134528</v>
      </c>
      <c r="O4143" t="s">
        <v>12255</v>
      </c>
      <c r="P4143" t="s">
        <v>68</v>
      </c>
      <c r="Q4143" t="s">
        <v>68</v>
      </c>
      <c r="R4143" t="s">
        <v>68</v>
      </c>
      <c r="S4143" t="s">
        <v>60</v>
      </c>
    </row>
    <row r="4144" spans="1:19" x14ac:dyDescent="0.35">
      <c r="A4144">
        <v>134536</v>
      </c>
      <c r="B4144" t="str">
        <f>"134536"</f>
        <v>134536</v>
      </c>
      <c r="C4144" t="s">
        <v>12258</v>
      </c>
      <c r="D4144" t="s">
        <v>3394</v>
      </c>
      <c r="E4144" t="s">
        <v>9538</v>
      </c>
      <c r="F4144" t="s">
        <v>3396</v>
      </c>
      <c r="G4144" t="s">
        <v>642</v>
      </c>
      <c r="H4144" t="s">
        <v>12259</v>
      </c>
      <c r="I4144" t="s">
        <v>12260</v>
      </c>
      <c r="J4144" t="s">
        <v>2447</v>
      </c>
      <c r="K4144" t="s">
        <v>55</v>
      </c>
      <c r="L4144" t="s">
        <v>9508</v>
      </c>
      <c r="M4144" t="s">
        <v>57</v>
      </c>
      <c r="N4144" t="str">
        <f>"134536"</f>
        <v>134536</v>
      </c>
      <c r="O4144" t="s">
        <v>12261</v>
      </c>
      <c r="P4144" t="s">
        <v>68</v>
      </c>
      <c r="Q4144" t="s">
        <v>68</v>
      </c>
      <c r="R4144" t="s">
        <v>68</v>
      </c>
      <c r="S4144" t="s">
        <v>180</v>
      </c>
    </row>
    <row r="4145" spans="1:19" x14ac:dyDescent="0.35">
      <c r="A4145">
        <v>134544</v>
      </c>
      <c r="B4145" t="str">
        <f>"134544"</f>
        <v>134544</v>
      </c>
      <c r="C4145" t="s">
        <v>12262</v>
      </c>
      <c r="D4145" t="s">
        <v>3394</v>
      </c>
      <c r="E4145" t="s">
        <v>9538</v>
      </c>
      <c r="F4145" t="s">
        <v>3396</v>
      </c>
      <c r="G4145" t="s">
        <v>600</v>
      </c>
      <c r="H4145" t="s">
        <v>12263</v>
      </c>
      <c r="I4145" t="s">
        <v>12264</v>
      </c>
      <c r="J4145" t="s">
        <v>1956</v>
      </c>
      <c r="K4145" t="s">
        <v>55</v>
      </c>
      <c r="L4145" t="s">
        <v>7495</v>
      </c>
      <c r="M4145" t="s">
        <v>57</v>
      </c>
      <c r="N4145" t="str">
        <f>"134544"</f>
        <v>134544</v>
      </c>
      <c r="O4145" t="s">
        <v>12262</v>
      </c>
      <c r="P4145" t="s">
        <v>68</v>
      </c>
      <c r="Q4145" t="s">
        <v>68</v>
      </c>
      <c r="R4145" t="s">
        <v>68</v>
      </c>
      <c r="S4145" t="s">
        <v>60</v>
      </c>
    </row>
    <row r="4146" spans="1:19" x14ac:dyDescent="0.35">
      <c r="A4146">
        <v>134544</v>
      </c>
      <c r="B4146" t="str">
        <f>"134544"</f>
        <v>134544</v>
      </c>
      <c r="C4146" t="s">
        <v>12262</v>
      </c>
      <c r="D4146" t="s">
        <v>9541</v>
      </c>
      <c r="E4146" t="s">
        <v>9538</v>
      </c>
      <c r="F4146" t="s">
        <v>3396</v>
      </c>
      <c r="G4146" t="s">
        <v>600</v>
      </c>
      <c r="H4146" t="s">
        <v>12263</v>
      </c>
      <c r="I4146" t="s">
        <v>12264</v>
      </c>
      <c r="J4146" t="s">
        <v>1956</v>
      </c>
      <c r="K4146" t="s">
        <v>55</v>
      </c>
      <c r="L4146" t="s">
        <v>7495</v>
      </c>
      <c r="M4146" t="s">
        <v>57</v>
      </c>
      <c r="N4146" t="str">
        <f>"134544"</f>
        <v>134544</v>
      </c>
      <c r="O4146" t="s">
        <v>12262</v>
      </c>
      <c r="P4146" t="s">
        <v>68</v>
      </c>
      <c r="Q4146" t="s">
        <v>68</v>
      </c>
      <c r="R4146" t="s">
        <v>68</v>
      </c>
      <c r="S4146" t="s">
        <v>60</v>
      </c>
    </row>
    <row r="4147" spans="1:19" x14ac:dyDescent="0.35">
      <c r="A4147">
        <v>134619</v>
      </c>
      <c r="B4147" t="str">
        <f>"134619"</f>
        <v>134619</v>
      </c>
      <c r="C4147" t="s">
        <v>11768</v>
      </c>
      <c r="D4147" t="s">
        <v>3398</v>
      </c>
      <c r="E4147" t="s">
        <v>9538</v>
      </c>
      <c r="F4147" t="s">
        <v>3396</v>
      </c>
      <c r="G4147" t="s">
        <v>777</v>
      </c>
      <c r="H4147" t="s">
        <v>12265</v>
      </c>
      <c r="I4147" t="s">
        <v>12266</v>
      </c>
      <c r="J4147" t="s">
        <v>780</v>
      </c>
      <c r="K4147" t="s">
        <v>55</v>
      </c>
      <c r="L4147" t="s">
        <v>781</v>
      </c>
      <c r="M4147" t="s">
        <v>57</v>
      </c>
      <c r="N4147" t="str">
        <f>"134619"</f>
        <v>134619</v>
      </c>
      <c r="O4147" t="s">
        <v>11768</v>
      </c>
      <c r="P4147" t="s">
        <v>68</v>
      </c>
      <c r="Q4147" t="s">
        <v>68</v>
      </c>
      <c r="R4147" t="s">
        <v>68</v>
      </c>
      <c r="S4147" t="s">
        <v>180</v>
      </c>
    </row>
    <row r="4148" spans="1:19" x14ac:dyDescent="0.35">
      <c r="A4148">
        <v>134692</v>
      </c>
      <c r="B4148" t="str">
        <f>"134692"</f>
        <v>134692</v>
      </c>
      <c r="C4148" t="s">
        <v>12267</v>
      </c>
      <c r="D4148" t="s">
        <v>3400</v>
      </c>
      <c r="E4148" t="s">
        <v>3395</v>
      </c>
      <c r="F4148" t="s">
        <v>3396</v>
      </c>
      <c r="G4148" t="s">
        <v>663</v>
      </c>
      <c r="H4148" t="s">
        <v>4414</v>
      </c>
      <c r="I4148" t="s">
        <v>4415</v>
      </c>
      <c r="J4148" t="s">
        <v>932</v>
      </c>
      <c r="K4148" t="s">
        <v>55</v>
      </c>
      <c r="L4148" t="s">
        <v>933</v>
      </c>
      <c r="M4148" t="s">
        <v>57</v>
      </c>
      <c r="N4148" t="str">
        <f>"049411"</f>
        <v>049411</v>
      </c>
      <c r="O4148" t="s">
        <v>929</v>
      </c>
      <c r="P4148" t="s">
        <v>68</v>
      </c>
      <c r="Q4148">
        <v>30.6</v>
      </c>
      <c r="R4148">
        <v>5.9000000000000057</v>
      </c>
      <c r="S4148" t="s">
        <v>77</v>
      </c>
    </row>
    <row r="4149" spans="1:19" x14ac:dyDescent="0.35">
      <c r="A4149">
        <v>134817</v>
      </c>
      <c r="B4149" t="str">
        <f>"134817"</f>
        <v>134817</v>
      </c>
      <c r="C4149" t="s">
        <v>12268</v>
      </c>
      <c r="D4149" t="s">
        <v>3398</v>
      </c>
      <c r="E4149" t="s">
        <v>9538</v>
      </c>
      <c r="F4149" t="s">
        <v>3396</v>
      </c>
      <c r="G4149" t="s">
        <v>212</v>
      </c>
      <c r="H4149" t="s">
        <v>12269</v>
      </c>
      <c r="I4149" t="s">
        <v>12270</v>
      </c>
      <c r="J4149" t="s">
        <v>215</v>
      </c>
      <c r="K4149" t="s">
        <v>55</v>
      </c>
      <c r="L4149" t="s">
        <v>8502</v>
      </c>
      <c r="M4149" t="s">
        <v>57</v>
      </c>
      <c r="N4149" t="str">
        <f>"134817"</f>
        <v>134817</v>
      </c>
      <c r="O4149" t="s">
        <v>12268</v>
      </c>
      <c r="P4149" t="s">
        <v>68</v>
      </c>
      <c r="Q4149" t="s">
        <v>68</v>
      </c>
      <c r="R4149" t="s">
        <v>68</v>
      </c>
      <c r="S4149" t="s">
        <v>217</v>
      </c>
    </row>
    <row r="4150" spans="1:19" x14ac:dyDescent="0.35">
      <c r="A4150">
        <v>134817</v>
      </c>
      <c r="B4150" t="str">
        <f>"134817"</f>
        <v>134817</v>
      </c>
      <c r="C4150" t="s">
        <v>12268</v>
      </c>
      <c r="D4150" t="s">
        <v>9541</v>
      </c>
      <c r="E4150" t="s">
        <v>9538</v>
      </c>
      <c r="F4150" t="s">
        <v>3396</v>
      </c>
      <c r="G4150" t="s">
        <v>212</v>
      </c>
      <c r="H4150" t="s">
        <v>12269</v>
      </c>
      <c r="I4150" t="s">
        <v>12270</v>
      </c>
      <c r="J4150" t="s">
        <v>215</v>
      </c>
      <c r="K4150" t="s">
        <v>55</v>
      </c>
      <c r="L4150" t="s">
        <v>8502</v>
      </c>
      <c r="M4150" t="s">
        <v>57</v>
      </c>
      <c r="N4150" t="str">
        <f>"134817"</f>
        <v>134817</v>
      </c>
      <c r="O4150" t="s">
        <v>12268</v>
      </c>
      <c r="P4150" t="s">
        <v>68</v>
      </c>
      <c r="Q4150" t="s">
        <v>68</v>
      </c>
      <c r="R4150" t="s">
        <v>68</v>
      </c>
      <c r="S4150" t="s">
        <v>217</v>
      </c>
    </row>
    <row r="4151" spans="1:19" x14ac:dyDescent="0.35">
      <c r="A4151">
        <v>135046</v>
      </c>
      <c r="B4151" t="str">
        <f>"135046"</f>
        <v>135046</v>
      </c>
      <c r="C4151" t="s">
        <v>10866</v>
      </c>
      <c r="D4151" t="s">
        <v>3394</v>
      </c>
      <c r="E4151" t="s">
        <v>3395</v>
      </c>
      <c r="F4151" t="s">
        <v>3396</v>
      </c>
      <c r="G4151" t="s">
        <v>966</v>
      </c>
      <c r="H4151" t="s">
        <v>12271</v>
      </c>
      <c r="I4151" t="s">
        <v>12272</v>
      </c>
      <c r="J4151" t="s">
        <v>3303</v>
      </c>
      <c r="K4151" t="s">
        <v>55</v>
      </c>
      <c r="L4151" t="s">
        <v>3304</v>
      </c>
      <c r="M4151" t="s">
        <v>57</v>
      </c>
      <c r="N4151" t="str">
        <f>"048512"</f>
        <v>048512</v>
      </c>
      <c r="O4151" t="s">
        <v>3300</v>
      </c>
      <c r="P4151" t="s">
        <v>68</v>
      </c>
      <c r="Q4151">
        <v>41.5</v>
      </c>
      <c r="R4151">
        <v>3.0999999999999943</v>
      </c>
      <c r="S4151" t="s">
        <v>130</v>
      </c>
    </row>
    <row r="4152" spans="1:19" x14ac:dyDescent="0.35">
      <c r="A4152">
        <v>135269</v>
      </c>
      <c r="B4152" t="str">
        <f>"135269"</f>
        <v>135269</v>
      </c>
      <c r="C4152" t="s">
        <v>12273</v>
      </c>
      <c r="D4152" t="s">
        <v>3400</v>
      </c>
      <c r="E4152" t="s">
        <v>3395</v>
      </c>
      <c r="F4152" t="s">
        <v>3396</v>
      </c>
      <c r="G4152" t="s">
        <v>212</v>
      </c>
      <c r="H4152" t="s">
        <v>12274</v>
      </c>
      <c r="I4152" t="s">
        <v>12275</v>
      </c>
      <c r="J4152" t="s">
        <v>215</v>
      </c>
      <c r="K4152" t="s">
        <v>55</v>
      </c>
      <c r="L4152" t="s">
        <v>1512</v>
      </c>
      <c r="M4152" t="s">
        <v>57</v>
      </c>
      <c r="N4152" t="str">
        <f>"047373"</f>
        <v>047373</v>
      </c>
      <c r="O4152" t="s">
        <v>1509</v>
      </c>
      <c r="P4152" t="s">
        <v>68</v>
      </c>
      <c r="Q4152">
        <v>18.3</v>
      </c>
      <c r="R4152">
        <v>12.900000000000006</v>
      </c>
      <c r="S4152" t="s">
        <v>217</v>
      </c>
    </row>
    <row r="4153" spans="1:19" x14ac:dyDescent="0.35">
      <c r="A4153">
        <v>135301</v>
      </c>
      <c r="B4153" t="str">
        <f>"135301"</f>
        <v>135301</v>
      </c>
      <c r="C4153" t="s">
        <v>12276</v>
      </c>
      <c r="D4153" t="s">
        <v>3400</v>
      </c>
      <c r="E4153" t="s">
        <v>3395</v>
      </c>
      <c r="F4153" t="s">
        <v>3396</v>
      </c>
      <c r="G4153" t="s">
        <v>600</v>
      </c>
      <c r="H4153" t="s">
        <v>12277</v>
      </c>
      <c r="I4153" t="s">
        <v>12278</v>
      </c>
      <c r="J4153" t="s">
        <v>1956</v>
      </c>
      <c r="K4153" t="s">
        <v>55</v>
      </c>
      <c r="L4153" t="s">
        <v>7495</v>
      </c>
      <c r="M4153" t="s">
        <v>57</v>
      </c>
      <c r="N4153" t="str">
        <f>"047027"</f>
        <v>047027</v>
      </c>
      <c r="O4153" t="s">
        <v>1953</v>
      </c>
      <c r="P4153" t="s">
        <v>68</v>
      </c>
      <c r="Q4153">
        <v>4.7</v>
      </c>
      <c r="R4153">
        <v>44.2</v>
      </c>
      <c r="S4153" t="s">
        <v>60</v>
      </c>
    </row>
    <row r="4154" spans="1:19" x14ac:dyDescent="0.35">
      <c r="A4154">
        <v>135327</v>
      </c>
      <c r="B4154" t="str">
        <f>"135327"</f>
        <v>135327</v>
      </c>
      <c r="C4154" t="s">
        <v>12279</v>
      </c>
      <c r="D4154" t="s">
        <v>3400</v>
      </c>
      <c r="E4154" t="s">
        <v>3395</v>
      </c>
      <c r="F4154" t="s">
        <v>3396</v>
      </c>
      <c r="G4154" t="s">
        <v>52</v>
      </c>
      <c r="H4154" t="s">
        <v>12280</v>
      </c>
      <c r="I4154" t="s">
        <v>12281</v>
      </c>
      <c r="J4154" t="s">
        <v>2690</v>
      </c>
      <c r="K4154" t="s">
        <v>55</v>
      </c>
      <c r="L4154" t="s">
        <v>10334</v>
      </c>
      <c r="M4154" t="s">
        <v>57</v>
      </c>
      <c r="N4154" t="str">
        <f>"045047"</f>
        <v>045047</v>
      </c>
      <c r="O4154" t="s">
        <v>2687</v>
      </c>
      <c r="P4154" t="s">
        <v>68</v>
      </c>
      <c r="Q4154">
        <v>27</v>
      </c>
      <c r="R4154">
        <v>39.4</v>
      </c>
      <c r="S4154" t="s">
        <v>60</v>
      </c>
    </row>
    <row r="4155" spans="1:19" x14ac:dyDescent="0.35">
      <c r="A4155">
        <v>135517</v>
      </c>
      <c r="B4155" t="str">
        <f>"135517"</f>
        <v>135517</v>
      </c>
      <c r="C4155" t="s">
        <v>12282</v>
      </c>
      <c r="D4155" t="s">
        <v>3400</v>
      </c>
      <c r="E4155" t="s">
        <v>3395</v>
      </c>
      <c r="F4155" t="s">
        <v>3396</v>
      </c>
      <c r="G4155" t="s">
        <v>719</v>
      </c>
      <c r="H4155" t="s">
        <v>5846</v>
      </c>
      <c r="I4155" t="s">
        <v>5847</v>
      </c>
      <c r="J4155" t="s">
        <v>1652</v>
      </c>
      <c r="K4155" t="s">
        <v>55</v>
      </c>
      <c r="L4155" t="s">
        <v>1653</v>
      </c>
      <c r="M4155" t="s">
        <v>57</v>
      </c>
      <c r="N4155" t="str">
        <f>"044123"</f>
        <v>044123</v>
      </c>
      <c r="O4155" t="s">
        <v>1649</v>
      </c>
      <c r="P4155" t="s">
        <v>68</v>
      </c>
      <c r="Q4155">
        <v>49.9</v>
      </c>
      <c r="R4155">
        <v>11.599999999999994</v>
      </c>
      <c r="S4155" t="s">
        <v>130</v>
      </c>
    </row>
    <row r="4156" spans="1:19" x14ac:dyDescent="0.35">
      <c r="A4156">
        <v>135830</v>
      </c>
      <c r="B4156" t="str">
        <f>"135830"</f>
        <v>135830</v>
      </c>
      <c r="C4156" t="s">
        <v>12283</v>
      </c>
      <c r="D4156" t="s">
        <v>3400</v>
      </c>
      <c r="E4156" t="s">
        <v>3395</v>
      </c>
      <c r="F4156" t="s">
        <v>3396</v>
      </c>
      <c r="G4156" t="s">
        <v>212</v>
      </c>
      <c r="H4156" t="s">
        <v>12284</v>
      </c>
      <c r="I4156" t="s">
        <v>12285</v>
      </c>
      <c r="J4156" t="s">
        <v>215</v>
      </c>
      <c r="K4156" t="s">
        <v>55</v>
      </c>
      <c r="L4156" t="s">
        <v>2514</v>
      </c>
      <c r="M4156" t="s">
        <v>57</v>
      </c>
      <c r="N4156" t="str">
        <f>"047340"</f>
        <v>047340</v>
      </c>
      <c r="O4156" t="s">
        <v>2511</v>
      </c>
      <c r="P4156" t="s">
        <v>68</v>
      </c>
      <c r="Q4156">
        <v>14.2</v>
      </c>
      <c r="R4156">
        <v>15</v>
      </c>
      <c r="S4156" t="s">
        <v>217</v>
      </c>
    </row>
    <row r="4157" spans="1:19" x14ac:dyDescent="0.35">
      <c r="A4157">
        <v>135863</v>
      </c>
      <c r="B4157" t="str">
        <f>"135863"</f>
        <v>135863</v>
      </c>
      <c r="C4157" t="s">
        <v>12286</v>
      </c>
      <c r="D4157" t="s">
        <v>3394</v>
      </c>
      <c r="E4157" t="s">
        <v>3395</v>
      </c>
      <c r="F4157" t="s">
        <v>3396</v>
      </c>
      <c r="G4157" t="s">
        <v>344</v>
      </c>
      <c r="H4157" t="s">
        <v>12287</v>
      </c>
      <c r="I4157" t="s">
        <v>12288</v>
      </c>
      <c r="J4157" t="s">
        <v>3376</v>
      </c>
      <c r="K4157" t="s">
        <v>55</v>
      </c>
      <c r="L4157" t="s">
        <v>3377</v>
      </c>
      <c r="M4157" t="s">
        <v>57</v>
      </c>
      <c r="N4157" t="str">
        <f>"045641"</f>
        <v>045641</v>
      </c>
      <c r="O4157" t="s">
        <v>3373</v>
      </c>
      <c r="P4157" t="s">
        <v>68</v>
      </c>
      <c r="Q4157">
        <v>34.4</v>
      </c>
      <c r="R4157">
        <v>28.900000000000006</v>
      </c>
      <c r="S4157" t="s">
        <v>156</v>
      </c>
    </row>
    <row r="4158" spans="1:19" x14ac:dyDescent="0.35">
      <c r="A4158">
        <v>136101</v>
      </c>
      <c r="B4158" t="str">
        <f>"136101"</f>
        <v>136101</v>
      </c>
      <c r="C4158" t="s">
        <v>12289</v>
      </c>
      <c r="D4158" t="s">
        <v>3398</v>
      </c>
      <c r="E4158" t="s">
        <v>3395</v>
      </c>
      <c r="F4158" t="s">
        <v>3396</v>
      </c>
      <c r="G4158" t="s">
        <v>264</v>
      </c>
      <c r="H4158" t="s">
        <v>12290</v>
      </c>
      <c r="I4158" t="s">
        <v>12291</v>
      </c>
      <c r="J4158" t="s">
        <v>3386</v>
      </c>
      <c r="K4158" t="s">
        <v>55</v>
      </c>
      <c r="L4158" t="s">
        <v>3387</v>
      </c>
      <c r="M4158" t="s">
        <v>57</v>
      </c>
      <c r="N4158" t="str">
        <f>"050070"</f>
        <v>050070</v>
      </c>
      <c r="O4158" t="s">
        <v>3383</v>
      </c>
      <c r="P4158" t="s">
        <v>68</v>
      </c>
      <c r="Q4158">
        <v>16.399999999999999</v>
      </c>
      <c r="R4158">
        <v>46.4</v>
      </c>
      <c r="S4158" t="s">
        <v>77</v>
      </c>
    </row>
    <row r="4159" spans="1:19" x14ac:dyDescent="0.35">
      <c r="A4159">
        <v>136598</v>
      </c>
      <c r="B4159" t="str">
        <f>"136598"</f>
        <v>136598</v>
      </c>
      <c r="C4159" t="s">
        <v>12292</v>
      </c>
      <c r="D4159" t="s">
        <v>3394</v>
      </c>
      <c r="E4159" t="s">
        <v>3395</v>
      </c>
      <c r="F4159" t="s">
        <v>3396</v>
      </c>
      <c r="G4159" t="s">
        <v>543</v>
      </c>
      <c r="H4159" t="s">
        <v>12293</v>
      </c>
      <c r="I4159" t="s">
        <v>12294</v>
      </c>
      <c r="J4159" t="s">
        <v>790</v>
      </c>
      <c r="K4159" t="s">
        <v>55</v>
      </c>
      <c r="L4159" t="s">
        <v>791</v>
      </c>
      <c r="M4159" t="s">
        <v>57</v>
      </c>
      <c r="N4159" t="str">
        <f>"044396"</f>
        <v>044396</v>
      </c>
      <c r="O4159" t="s">
        <v>787</v>
      </c>
      <c r="P4159" t="s">
        <v>68</v>
      </c>
      <c r="Q4159">
        <v>34.299999999999997</v>
      </c>
      <c r="R4159">
        <v>27.900000000000006</v>
      </c>
      <c r="S4159" t="s">
        <v>180</v>
      </c>
    </row>
    <row r="4160" spans="1:19" x14ac:dyDescent="0.35">
      <c r="A4160">
        <v>136788</v>
      </c>
      <c r="B4160" t="str">
        <f>"136788"</f>
        <v>136788</v>
      </c>
      <c r="C4160" t="s">
        <v>12295</v>
      </c>
      <c r="D4160" t="s">
        <v>3394</v>
      </c>
      <c r="E4160" t="s">
        <v>3395</v>
      </c>
      <c r="F4160" t="s">
        <v>3396</v>
      </c>
      <c r="G4160" t="s">
        <v>295</v>
      </c>
      <c r="H4160" t="s">
        <v>10735</v>
      </c>
      <c r="I4160" t="s">
        <v>10736</v>
      </c>
      <c r="J4160" t="s">
        <v>1764</v>
      </c>
      <c r="K4160" t="s">
        <v>55</v>
      </c>
      <c r="L4160" t="s">
        <v>1765</v>
      </c>
      <c r="M4160" t="s">
        <v>57</v>
      </c>
      <c r="N4160" t="str">
        <f>"049221"</f>
        <v>049221</v>
      </c>
      <c r="O4160" t="s">
        <v>2105</v>
      </c>
      <c r="P4160" t="s">
        <v>68</v>
      </c>
      <c r="Q4160">
        <v>47.2</v>
      </c>
      <c r="R4160">
        <v>5.9000000000000057</v>
      </c>
      <c r="S4160" t="s">
        <v>77</v>
      </c>
    </row>
    <row r="4161" spans="1:19" x14ac:dyDescent="0.35">
      <c r="A4161">
        <v>136911</v>
      </c>
      <c r="B4161" t="str">
        <f>"136911"</f>
        <v>136911</v>
      </c>
      <c r="C4161" t="s">
        <v>9481</v>
      </c>
      <c r="D4161" t="s">
        <v>3394</v>
      </c>
      <c r="E4161" t="s">
        <v>3395</v>
      </c>
      <c r="F4161" t="s">
        <v>3396</v>
      </c>
      <c r="G4161" t="s">
        <v>600</v>
      </c>
      <c r="H4161" t="s">
        <v>12296</v>
      </c>
      <c r="I4161" t="s">
        <v>12297</v>
      </c>
      <c r="J4161" t="s">
        <v>2643</v>
      </c>
      <c r="K4161" t="s">
        <v>55</v>
      </c>
      <c r="L4161" t="s">
        <v>2644</v>
      </c>
      <c r="M4161" t="s">
        <v>57</v>
      </c>
      <c r="N4161" t="str">
        <f>"046946"</f>
        <v>046946</v>
      </c>
      <c r="O4161" t="s">
        <v>2640</v>
      </c>
      <c r="P4161" t="s">
        <v>68</v>
      </c>
      <c r="Q4161">
        <v>42.2</v>
      </c>
      <c r="R4161">
        <v>46.1</v>
      </c>
      <c r="S4161" t="s">
        <v>60</v>
      </c>
    </row>
    <row r="4162" spans="1:19" x14ac:dyDescent="0.35">
      <c r="A4162">
        <v>137265</v>
      </c>
      <c r="B4162" t="str">
        <f>"137265"</f>
        <v>137265</v>
      </c>
      <c r="C4162" t="s">
        <v>12298</v>
      </c>
      <c r="D4162" t="s">
        <v>3400</v>
      </c>
      <c r="E4162" t="s">
        <v>3395</v>
      </c>
      <c r="F4162" t="s">
        <v>3396</v>
      </c>
      <c r="G4162" t="s">
        <v>318</v>
      </c>
      <c r="H4162" t="s">
        <v>660</v>
      </c>
      <c r="I4162" t="s">
        <v>661</v>
      </c>
      <c r="J4162" t="s">
        <v>321</v>
      </c>
      <c r="K4162" t="s">
        <v>55</v>
      </c>
      <c r="L4162" t="s">
        <v>322</v>
      </c>
      <c r="M4162" t="s">
        <v>57</v>
      </c>
      <c r="N4162" t="str">
        <f>"049502"</f>
        <v>049502</v>
      </c>
      <c r="O4162" t="s">
        <v>659</v>
      </c>
      <c r="P4162" t="s">
        <v>68</v>
      </c>
      <c r="Q4162">
        <v>100</v>
      </c>
      <c r="R4162">
        <v>6</v>
      </c>
      <c r="S4162" t="s">
        <v>130</v>
      </c>
    </row>
    <row r="4163" spans="1:19" x14ac:dyDescent="0.35">
      <c r="A4163">
        <v>137273</v>
      </c>
      <c r="B4163" t="str">
        <f>"137273"</f>
        <v>137273</v>
      </c>
      <c r="C4163" t="s">
        <v>12299</v>
      </c>
      <c r="D4163" t="s">
        <v>3400</v>
      </c>
      <c r="E4163" t="s">
        <v>3395</v>
      </c>
      <c r="F4163" t="s">
        <v>3396</v>
      </c>
      <c r="G4163" t="s">
        <v>295</v>
      </c>
      <c r="H4163" t="s">
        <v>12300</v>
      </c>
      <c r="I4163" t="s">
        <v>12301</v>
      </c>
      <c r="J4163" t="s">
        <v>1012</v>
      </c>
      <c r="K4163" t="s">
        <v>55</v>
      </c>
      <c r="L4163" t="s">
        <v>1013</v>
      </c>
      <c r="M4163" t="s">
        <v>57</v>
      </c>
      <c r="N4163" t="str">
        <f>"044164"</f>
        <v>044164</v>
      </c>
      <c r="O4163" t="s">
        <v>1009</v>
      </c>
      <c r="P4163" t="s">
        <v>68</v>
      </c>
      <c r="Q4163">
        <v>53</v>
      </c>
      <c r="R4163">
        <v>35.400000000000006</v>
      </c>
      <c r="S4163" t="s">
        <v>77</v>
      </c>
    </row>
    <row r="4164" spans="1:19" x14ac:dyDescent="0.35">
      <c r="A4164">
        <v>137455</v>
      </c>
      <c r="B4164" t="str">
        <f>"137455"</f>
        <v>137455</v>
      </c>
      <c r="C4164" t="s">
        <v>8818</v>
      </c>
      <c r="D4164" t="s">
        <v>3400</v>
      </c>
      <c r="E4164" t="s">
        <v>3395</v>
      </c>
      <c r="F4164" t="s">
        <v>3396</v>
      </c>
      <c r="G4164" t="s">
        <v>821</v>
      </c>
      <c r="H4164" t="s">
        <v>3079</v>
      </c>
      <c r="I4164" t="s">
        <v>3080</v>
      </c>
      <c r="J4164" t="s">
        <v>3081</v>
      </c>
      <c r="K4164" t="s">
        <v>55</v>
      </c>
      <c r="L4164" t="s">
        <v>3082</v>
      </c>
      <c r="M4164" t="s">
        <v>57</v>
      </c>
      <c r="N4164" t="str">
        <f>"047464"</f>
        <v>047464</v>
      </c>
      <c r="O4164" t="s">
        <v>3078</v>
      </c>
      <c r="P4164" t="s">
        <v>68</v>
      </c>
      <c r="Q4164">
        <v>16.2</v>
      </c>
      <c r="R4164">
        <v>11.5</v>
      </c>
      <c r="S4164" t="s">
        <v>156</v>
      </c>
    </row>
    <row r="4165" spans="1:19" x14ac:dyDescent="0.35">
      <c r="A4165">
        <v>137463</v>
      </c>
      <c r="B4165" t="str">
        <f>"137463"</f>
        <v>137463</v>
      </c>
      <c r="C4165" t="s">
        <v>12302</v>
      </c>
      <c r="D4165" t="s">
        <v>3506</v>
      </c>
      <c r="E4165" t="s">
        <v>3395</v>
      </c>
      <c r="F4165" t="s">
        <v>3396</v>
      </c>
      <c r="G4165" t="s">
        <v>325</v>
      </c>
      <c r="H4165" t="s">
        <v>12303</v>
      </c>
      <c r="I4165" t="s">
        <v>12304</v>
      </c>
      <c r="J4165" t="s">
        <v>328</v>
      </c>
      <c r="K4165" t="s">
        <v>55</v>
      </c>
      <c r="L4165" t="s">
        <v>329</v>
      </c>
      <c r="M4165" t="s">
        <v>57</v>
      </c>
      <c r="N4165" t="str">
        <f>"044644"</f>
        <v>044644</v>
      </c>
      <c r="O4165" t="s">
        <v>324</v>
      </c>
      <c r="P4165" t="s">
        <v>68</v>
      </c>
      <c r="Q4165">
        <v>54.2</v>
      </c>
      <c r="R4165">
        <v>19.400000000000006</v>
      </c>
      <c r="S4165" t="s">
        <v>180</v>
      </c>
    </row>
    <row r="4166" spans="1:19" x14ac:dyDescent="0.35">
      <c r="A4166">
        <v>138040</v>
      </c>
      <c r="B4166" t="str">
        <f>"138040"</f>
        <v>138040</v>
      </c>
      <c r="C4166" t="s">
        <v>12305</v>
      </c>
      <c r="D4166" t="s">
        <v>3394</v>
      </c>
      <c r="E4166" t="s">
        <v>3395</v>
      </c>
      <c r="F4166" t="s">
        <v>3396</v>
      </c>
      <c r="G4166" t="s">
        <v>383</v>
      </c>
      <c r="H4166" t="s">
        <v>384</v>
      </c>
      <c r="I4166" t="s">
        <v>385</v>
      </c>
      <c r="J4166" t="s">
        <v>386</v>
      </c>
      <c r="K4166" t="s">
        <v>55</v>
      </c>
      <c r="L4166" t="s">
        <v>387</v>
      </c>
      <c r="M4166" t="s">
        <v>57</v>
      </c>
      <c r="N4166" t="str">
        <f>"048330"</f>
        <v>048330</v>
      </c>
      <c r="O4166" t="s">
        <v>382</v>
      </c>
      <c r="P4166" t="s">
        <v>68</v>
      </c>
      <c r="Q4166">
        <v>45</v>
      </c>
      <c r="R4166">
        <v>14.5</v>
      </c>
      <c r="S4166" t="s">
        <v>77</v>
      </c>
    </row>
    <row r="4167" spans="1:19" x14ac:dyDescent="0.35">
      <c r="A4167">
        <v>138065</v>
      </c>
      <c r="B4167" t="str">
        <f>"138065"</f>
        <v>138065</v>
      </c>
      <c r="C4167" t="s">
        <v>12306</v>
      </c>
      <c r="D4167" t="s">
        <v>3400</v>
      </c>
      <c r="E4167" t="s">
        <v>3395</v>
      </c>
      <c r="F4167" t="s">
        <v>3396</v>
      </c>
      <c r="G4167" t="s">
        <v>52</v>
      </c>
      <c r="H4167" t="s">
        <v>12307</v>
      </c>
      <c r="I4167" t="s">
        <v>12308</v>
      </c>
      <c r="J4167" t="s">
        <v>52</v>
      </c>
      <c r="K4167" t="s">
        <v>55</v>
      </c>
      <c r="L4167" t="s">
        <v>56</v>
      </c>
      <c r="M4167" t="s">
        <v>57</v>
      </c>
      <c r="N4167" t="str">
        <f>"043877"</f>
        <v>043877</v>
      </c>
      <c r="O4167" t="s">
        <v>48</v>
      </c>
      <c r="P4167" t="s">
        <v>68</v>
      </c>
      <c r="Q4167">
        <v>29.8</v>
      </c>
      <c r="R4167">
        <v>23.299999999999997</v>
      </c>
      <c r="S4167" t="s">
        <v>60</v>
      </c>
    </row>
    <row r="4168" spans="1:19" x14ac:dyDescent="0.35">
      <c r="A4168">
        <v>138073</v>
      </c>
      <c r="B4168" t="str">
        <f>"138073"</f>
        <v>138073</v>
      </c>
      <c r="C4168" t="s">
        <v>12309</v>
      </c>
      <c r="D4168" t="s">
        <v>3394</v>
      </c>
      <c r="E4168" t="s">
        <v>9538</v>
      </c>
      <c r="F4168" t="s">
        <v>3396</v>
      </c>
      <c r="G4168" t="s">
        <v>212</v>
      </c>
      <c r="H4168" t="s">
        <v>12310</v>
      </c>
      <c r="I4168" t="s">
        <v>12311</v>
      </c>
      <c r="J4168" t="s">
        <v>215</v>
      </c>
      <c r="K4168" t="s">
        <v>55</v>
      </c>
      <c r="L4168" t="s">
        <v>1693</v>
      </c>
      <c r="M4168" t="s">
        <v>57</v>
      </c>
      <c r="N4168" t="str">
        <f>"052514"</f>
        <v>052514</v>
      </c>
      <c r="O4168" t="s">
        <v>2465</v>
      </c>
      <c r="P4168" t="s">
        <v>68</v>
      </c>
      <c r="Q4168" t="s">
        <v>68</v>
      </c>
      <c r="R4168" t="s">
        <v>68</v>
      </c>
      <c r="S4168" t="s">
        <v>217</v>
      </c>
    </row>
    <row r="4169" spans="1:19" x14ac:dyDescent="0.35">
      <c r="A4169">
        <v>138198</v>
      </c>
      <c r="B4169" t="str">
        <f>"138198"</f>
        <v>138198</v>
      </c>
      <c r="C4169" t="s">
        <v>12312</v>
      </c>
      <c r="D4169" t="s">
        <v>3398</v>
      </c>
      <c r="E4169" t="s">
        <v>3395</v>
      </c>
      <c r="F4169" t="s">
        <v>3396</v>
      </c>
      <c r="G4169" t="s">
        <v>600</v>
      </c>
      <c r="H4169" t="s">
        <v>12313</v>
      </c>
      <c r="I4169" t="s">
        <v>12314</v>
      </c>
      <c r="J4169" t="s">
        <v>1348</v>
      </c>
      <c r="K4169" t="s">
        <v>55</v>
      </c>
      <c r="L4169" t="s">
        <v>1890</v>
      </c>
      <c r="M4169" t="s">
        <v>57</v>
      </c>
      <c r="N4169" t="str">
        <f>"043802"</f>
        <v>043802</v>
      </c>
      <c r="O4169" t="s">
        <v>3171</v>
      </c>
      <c r="P4169" t="s">
        <v>68</v>
      </c>
      <c r="Q4169">
        <v>100</v>
      </c>
      <c r="R4169">
        <v>98</v>
      </c>
      <c r="S4169" t="s">
        <v>60</v>
      </c>
    </row>
    <row r="4170" spans="1:19" x14ac:dyDescent="0.35">
      <c r="A4170">
        <v>138347</v>
      </c>
      <c r="B4170" t="str">
        <f>"138347"</f>
        <v>138347</v>
      </c>
      <c r="C4170" t="s">
        <v>12315</v>
      </c>
      <c r="D4170" t="s">
        <v>3506</v>
      </c>
      <c r="E4170" t="s">
        <v>3395</v>
      </c>
      <c r="F4170" t="s">
        <v>3396</v>
      </c>
      <c r="G4170" t="s">
        <v>264</v>
      </c>
      <c r="H4170" t="s">
        <v>7037</v>
      </c>
      <c r="I4170" t="s">
        <v>7038</v>
      </c>
      <c r="J4170" t="s">
        <v>298</v>
      </c>
      <c r="K4170" t="s">
        <v>55</v>
      </c>
      <c r="L4170" t="s">
        <v>299</v>
      </c>
      <c r="M4170" t="s">
        <v>57</v>
      </c>
      <c r="N4170" t="str">
        <f>"050039"</f>
        <v>050039</v>
      </c>
      <c r="O4170" t="s">
        <v>1921</v>
      </c>
      <c r="P4170" t="s">
        <v>68</v>
      </c>
      <c r="Q4170">
        <v>19.5</v>
      </c>
      <c r="R4170">
        <v>1.5</v>
      </c>
      <c r="S4170" t="s">
        <v>77</v>
      </c>
    </row>
    <row r="4171" spans="1:19" x14ac:dyDescent="0.35">
      <c r="A4171">
        <v>138552</v>
      </c>
      <c r="B4171" t="str">
        <f>"138552"</f>
        <v>138552</v>
      </c>
      <c r="C4171" t="s">
        <v>12316</v>
      </c>
      <c r="D4171" t="s">
        <v>3400</v>
      </c>
      <c r="E4171" t="s">
        <v>3395</v>
      </c>
      <c r="F4171" t="s">
        <v>3396</v>
      </c>
      <c r="G4171" t="s">
        <v>1613</v>
      </c>
      <c r="H4171" t="s">
        <v>12317</v>
      </c>
      <c r="I4171" t="s">
        <v>12318</v>
      </c>
      <c r="J4171" t="s">
        <v>2378</v>
      </c>
      <c r="K4171" t="s">
        <v>55</v>
      </c>
      <c r="L4171" t="s">
        <v>2379</v>
      </c>
      <c r="M4171" t="s">
        <v>57</v>
      </c>
      <c r="N4171" t="str">
        <f>"046474"</f>
        <v>046474</v>
      </c>
      <c r="O4171" t="s">
        <v>2375</v>
      </c>
      <c r="P4171" t="s">
        <v>68</v>
      </c>
      <c r="Q4171">
        <v>58.4</v>
      </c>
      <c r="R4171">
        <v>6.0999999999999943</v>
      </c>
      <c r="S4171" t="s">
        <v>130</v>
      </c>
    </row>
    <row r="4172" spans="1:19" x14ac:dyDescent="0.35">
      <c r="A4172">
        <v>138602</v>
      </c>
      <c r="B4172" t="str">
        <f>"138602"</f>
        <v>138602</v>
      </c>
      <c r="C4172" t="s">
        <v>12319</v>
      </c>
      <c r="D4172" t="s">
        <v>3394</v>
      </c>
      <c r="E4172" t="s">
        <v>3395</v>
      </c>
      <c r="F4172" t="s">
        <v>3396</v>
      </c>
      <c r="G4172" t="s">
        <v>172</v>
      </c>
      <c r="H4172" t="s">
        <v>12320</v>
      </c>
      <c r="I4172" t="s">
        <v>12321</v>
      </c>
      <c r="J4172" t="s">
        <v>1873</v>
      </c>
      <c r="K4172" t="s">
        <v>55</v>
      </c>
      <c r="L4172" t="s">
        <v>1874</v>
      </c>
      <c r="M4172" t="s">
        <v>57</v>
      </c>
      <c r="N4172" t="str">
        <f>"050427"</f>
        <v>050427</v>
      </c>
      <c r="O4172" t="s">
        <v>1870</v>
      </c>
      <c r="P4172" t="s">
        <v>68</v>
      </c>
      <c r="Q4172">
        <v>9.1</v>
      </c>
      <c r="R4172">
        <v>10</v>
      </c>
      <c r="S4172" t="s">
        <v>217</v>
      </c>
    </row>
    <row r="4173" spans="1:19" x14ac:dyDescent="0.35">
      <c r="A4173">
        <v>138727</v>
      </c>
      <c r="B4173" t="str">
        <f>"138727"</f>
        <v>138727</v>
      </c>
      <c r="C4173" t="s">
        <v>12322</v>
      </c>
      <c r="D4173" t="s">
        <v>3394</v>
      </c>
      <c r="E4173" t="s">
        <v>3395</v>
      </c>
      <c r="F4173" t="s">
        <v>3396</v>
      </c>
      <c r="G4173" t="s">
        <v>600</v>
      </c>
      <c r="H4173" t="s">
        <v>12323</v>
      </c>
      <c r="I4173" t="s">
        <v>12324</v>
      </c>
      <c r="J4173" t="s">
        <v>1348</v>
      </c>
      <c r="K4173" t="s">
        <v>55</v>
      </c>
      <c r="L4173" t="s">
        <v>5209</v>
      </c>
      <c r="M4173" t="s">
        <v>57</v>
      </c>
      <c r="N4173" t="str">
        <f>"044800"</f>
        <v>044800</v>
      </c>
      <c r="O4173" t="s">
        <v>1133</v>
      </c>
      <c r="P4173" t="s">
        <v>68</v>
      </c>
      <c r="Q4173">
        <v>82.6</v>
      </c>
      <c r="R4173">
        <v>57.9</v>
      </c>
      <c r="S4173" t="s">
        <v>60</v>
      </c>
    </row>
    <row r="4174" spans="1:19" x14ac:dyDescent="0.35">
      <c r="A4174">
        <v>138735</v>
      </c>
      <c r="B4174" t="str">
        <f>"138735"</f>
        <v>138735</v>
      </c>
      <c r="C4174" t="s">
        <v>12325</v>
      </c>
      <c r="D4174" t="s">
        <v>3394</v>
      </c>
      <c r="E4174" t="s">
        <v>3395</v>
      </c>
      <c r="F4174" t="s">
        <v>3396</v>
      </c>
      <c r="G4174" t="s">
        <v>600</v>
      </c>
      <c r="H4174" t="s">
        <v>12326</v>
      </c>
      <c r="I4174" t="s">
        <v>12327</v>
      </c>
      <c r="J4174" t="s">
        <v>1136</v>
      </c>
      <c r="K4174" t="s">
        <v>55</v>
      </c>
      <c r="L4174" t="s">
        <v>1137</v>
      </c>
      <c r="M4174" t="s">
        <v>57</v>
      </c>
      <c r="N4174" t="str">
        <f>"044800"</f>
        <v>044800</v>
      </c>
      <c r="O4174" t="s">
        <v>1133</v>
      </c>
      <c r="P4174" t="s">
        <v>68</v>
      </c>
      <c r="Q4174">
        <v>67.3</v>
      </c>
      <c r="R4174">
        <v>56.7</v>
      </c>
      <c r="S4174" t="s">
        <v>60</v>
      </c>
    </row>
    <row r="4175" spans="1:19" x14ac:dyDescent="0.35">
      <c r="A4175">
        <v>138743</v>
      </c>
      <c r="B4175" t="str">
        <f>"138743"</f>
        <v>138743</v>
      </c>
      <c r="C4175" t="s">
        <v>12328</v>
      </c>
      <c r="D4175" t="s">
        <v>3394</v>
      </c>
      <c r="E4175" t="s">
        <v>3395</v>
      </c>
      <c r="F4175" t="s">
        <v>3396</v>
      </c>
      <c r="G4175" t="s">
        <v>600</v>
      </c>
      <c r="H4175" t="s">
        <v>12329</v>
      </c>
      <c r="I4175" t="s">
        <v>12330</v>
      </c>
      <c r="J4175" t="s">
        <v>3466</v>
      </c>
      <c r="K4175" t="s">
        <v>55</v>
      </c>
      <c r="L4175" t="s">
        <v>3467</v>
      </c>
      <c r="M4175" t="s">
        <v>57</v>
      </c>
      <c r="N4175" t="str">
        <f>"044800"</f>
        <v>044800</v>
      </c>
      <c r="O4175" t="s">
        <v>1133</v>
      </c>
      <c r="P4175" t="s">
        <v>68</v>
      </c>
      <c r="Q4175">
        <v>75.5</v>
      </c>
      <c r="R4175">
        <v>62.9</v>
      </c>
      <c r="S4175" t="s">
        <v>60</v>
      </c>
    </row>
    <row r="4176" spans="1:19" x14ac:dyDescent="0.35">
      <c r="A4176">
        <v>138750</v>
      </c>
      <c r="B4176" t="str">
        <f>"138750"</f>
        <v>138750</v>
      </c>
      <c r="C4176" t="s">
        <v>12331</v>
      </c>
      <c r="D4176" t="s">
        <v>3394</v>
      </c>
      <c r="E4176" t="s">
        <v>3395</v>
      </c>
      <c r="F4176" t="s">
        <v>3396</v>
      </c>
      <c r="G4176" t="s">
        <v>600</v>
      </c>
      <c r="H4176" t="s">
        <v>12332</v>
      </c>
      <c r="I4176" t="s">
        <v>12333</v>
      </c>
      <c r="J4176" t="s">
        <v>1136</v>
      </c>
      <c r="K4176" t="s">
        <v>55</v>
      </c>
      <c r="L4176" t="s">
        <v>1137</v>
      </c>
      <c r="M4176" t="s">
        <v>57</v>
      </c>
      <c r="N4176" t="str">
        <f>"044800"</f>
        <v>044800</v>
      </c>
      <c r="O4176" t="s">
        <v>1133</v>
      </c>
      <c r="P4176" t="s">
        <v>68</v>
      </c>
      <c r="Q4176">
        <v>50.5</v>
      </c>
      <c r="R4176">
        <v>30.700000000000003</v>
      </c>
      <c r="S4176" t="s">
        <v>60</v>
      </c>
    </row>
    <row r="4177" spans="1:19" x14ac:dyDescent="0.35">
      <c r="A4177">
        <v>138826</v>
      </c>
      <c r="B4177" t="str">
        <f>"138826"</f>
        <v>138826</v>
      </c>
      <c r="C4177" t="s">
        <v>12334</v>
      </c>
      <c r="D4177" t="s">
        <v>3394</v>
      </c>
      <c r="E4177" t="s">
        <v>3395</v>
      </c>
      <c r="F4177" t="s">
        <v>3396</v>
      </c>
      <c r="G4177" t="s">
        <v>543</v>
      </c>
      <c r="H4177" t="s">
        <v>12335</v>
      </c>
      <c r="I4177" t="s">
        <v>12336</v>
      </c>
      <c r="J4177" t="s">
        <v>687</v>
      </c>
      <c r="K4177" t="s">
        <v>55</v>
      </c>
      <c r="L4177" t="s">
        <v>1962</v>
      </c>
      <c r="M4177" t="s">
        <v>57</v>
      </c>
      <c r="N4177" t="str">
        <f>"044586"</f>
        <v>044586</v>
      </c>
      <c r="O4177" t="s">
        <v>1367</v>
      </c>
      <c r="P4177" t="s">
        <v>68</v>
      </c>
      <c r="Q4177">
        <v>0</v>
      </c>
      <c r="R4177">
        <v>14.700000000000003</v>
      </c>
      <c r="S4177" t="s">
        <v>180</v>
      </c>
    </row>
    <row r="4178" spans="1:19" x14ac:dyDescent="0.35">
      <c r="A4178">
        <v>138859</v>
      </c>
      <c r="B4178" t="str">
        <f>"138859"</f>
        <v>138859</v>
      </c>
      <c r="C4178" t="s">
        <v>12337</v>
      </c>
      <c r="D4178" t="s">
        <v>3394</v>
      </c>
      <c r="E4178" t="s">
        <v>3395</v>
      </c>
      <c r="F4178" t="s">
        <v>3396</v>
      </c>
      <c r="G4178" t="s">
        <v>172</v>
      </c>
      <c r="H4178" t="s">
        <v>12338</v>
      </c>
      <c r="I4178" t="s">
        <v>12339</v>
      </c>
      <c r="J4178" t="s">
        <v>1359</v>
      </c>
      <c r="K4178" t="s">
        <v>55</v>
      </c>
      <c r="L4178" t="s">
        <v>6465</v>
      </c>
      <c r="M4178" t="s">
        <v>57</v>
      </c>
      <c r="N4178" t="str">
        <f>"050443"</f>
        <v>050443</v>
      </c>
      <c r="O4178" t="s">
        <v>1850</v>
      </c>
      <c r="P4178" t="s">
        <v>68</v>
      </c>
      <c r="Q4178">
        <v>21.2</v>
      </c>
      <c r="R4178">
        <v>15.700000000000003</v>
      </c>
      <c r="S4178" t="s">
        <v>217</v>
      </c>
    </row>
    <row r="4179" spans="1:19" x14ac:dyDescent="0.35">
      <c r="A4179">
        <v>138958</v>
      </c>
      <c r="B4179" t="str">
        <f>"138958"</f>
        <v>138958</v>
      </c>
      <c r="C4179" t="s">
        <v>11010</v>
      </c>
      <c r="D4179" t="s">
        <v>3400</v>
      </c>
      <c r="E4179" t="s">
        <v>3395</v>
      </c>
      <c r="F4179" t="s">
        <v>3396</v>
      </c>
      <c r="G4179" t="s">
        <v>92</v>
      </c>
      <c r="H4179" t="s">
        <v>12340</v>
      </c>
      <c r="I4179" t="s">
        <v>12341</v>
      </c>
      <c r="J4179" t="s">
        <v>2295</v>
      </c>
      <c r="K4179" t="s">
        <v>55</v>
      </c>
      <c r="L4179" t="s">
        <v>2296</v>
      </c>
      <c r="M4179" t="s">
        <v>57</v>
      </c>
      <c r="N4179" t="str">
        <f>"046896"</f>
        <v>046896</v>
      </c>
      <c r="O4179" t="s">
        <v>2292</v>
      </c>
      <c r="P4179" t="s">
        <v>68</v>
      </c>
      <c r="Q4179">
        <v>44.3</v>
      </c>
      <c r="R4179">
        <v>63</v>
      </c>
      <c r="S4179" t="s">
        <v>60</v>
      </c>
    </row>
    <row r="4180" spans="1:19" x14ac:dyDescent="0.35">
      <c r="A4180">
        <v>138966</v>
      </c>
      <c r="B4180" t="str">
        <f>"138966"</f>
        <v>138966</v>
      </c>
      <c r="C4180" t="s">
        <v>12342</v>
      </c>
      <c r="D4180" t="s">
        <v>3400</v>
      </c>
      <c r="E4180" t="s">
        <v>3395</v>
      </c>
      <c r="F4180" t="s">
        <v>3396</v>
      </c>
      <c r="G4180" t="s">
        <v>92</v>
      </c>
      <c r="H4180" t="s">
        <v>12343</v>
      </c>
      <c r="I4180" t="s">
        <v>12344</v>
      </c>
      <c r="J4180" t="s">
        <v>2295</v>
      </c>
      <c r="K4180" t="s">
        <v>55</v>
      </c>
      <c r="L4180" t="s">
        <v>2296</v>
      </c>
      <c r="M4180" t="s">
        <v>57</v>
      </c>
      <c r="N4180" t="str">
        <f>"046896"</f>
        <v>046896</v>
      </c>
      <c r="O4180" t="s">
        <v>2292</v>
      </c>
      <c r="P4180" t="s">
        <v>68</v>
      </c>
      <c r="Q4180">
        <v>38.6</v>
      </c>
      <c r="R4180">
        <v>61.3</v>
      </c>
      <c r="S4180" t="s">
        <v>60</v>
      </c>
    </row>
    <row r="4181" spans="1:19" x14ac:dyDescent="0.35">
      <c r="A4181">
        <v>139022</v>
      </c>
      <c r="B4181" t="str">
        <f>"139022"</f>
        <v>139022</v>
      </c>
      <c r="C4181" t="s">
        <v>12345</v>
      </c>
      <c r="D4181" t="s">
        <v>3506</v>
      </c>
      <c r="E4181" t="s">
        <v>3395</v>
      </c>
      <c r="F4181" t="s">
        <v>3396</v>
      </c>
      <c r="G4181" t="s">
        <v>777</v>
      </c>
      <c r="H4181" t="s">
        <v>8406</v>
      </c>
      <c r="I4181" t="s">
        <v>8407</v>
      </c>
      <c r="J4181" t="s">
        <v>1220</v>
      </c>
      <c r="K4181" t="s">
        <v>55</v>
      </c>
      <c r="L4181" t="s">
        <v>1221</v>
      </c>
      <c r="M4181" t="s">
        <v>57</v>
      </c>
      <c r="N4181" t="str">
        <f>"046276"</f>
        <v>046276</v>
      </c>
      <c r="O4181" t="s">
        <v>1217</v>
      </c>
      <c r="P4181" t="s">
        <v>68</v>
      </c>
      <c r="Q4181">
        <v>21.9</v>
      </c>
      <c r="R4181">
        <v>6.2000000000000028</v>
      </c>
      <c r="S4181" t="s">
        <v>180</v>
      </c>
    </row>
    <row r="4182" spans="1:19" x14ac:dyDescent="0.35">
      <c r="A4182">
        <v>139204</v>
      </c>
      <c r="B4182" t="str">
        <f>"139204"</f>
        <v>139204</v>
      </c>
      <c r="C4182" t="s">
        <v>12346</v>
      </c>
      <c r="D4182" t="s">
        <v>3394</v>
      </c>
      <c r="E4182" t="s">
        <v>3395</v>
      </c>
      <c r="F4182" t="s">
        <v>3396</v>
      </c>
      <c r="G4182" t="s">
        <v>2304</v>
      </c>
      <c r="H4182" t="s">
        <v>12347</v>
      </c>
      <c r="I4182" t="s">
        <v>12348</v>
      </c>
      <c r="J4182" t="s">
        <v>2304</v>
      </c>
      <c r="K4182" t="s">
        <v>55</v>
      </c>
      <c r="L4182" t="s">
        <v>2369</v>
      </c>
      <c r="M4182" t="s">
        <v>57</v>
      </c>
      <c r="N4182" t="str">
        <f>"046722"</f>
        <v>046722</v>
      </c>
      <c r="O4182" t="s">
        <v>776</v>
      </c>
      <c r="P4182" t="s">
        <v>68</v>
      </c>
      <c r="Q4182">
        <v>23.7</v>
      </c>
      <c r="R4182">
        <v>12.400000000000006</v>
      </c>
      <c r="S4182" t="s">
        <v>156</v>
      </c>
    </row>
    <row r="4183" spans="1:19" x14ac:dyDescent="0.35">
      <c r="A4183">
        <v>139212</v>
      </c>
      <c r="B4183" t="str">
        <f>"139212"</f>
        <v>139212</v>
      </c>
      <c r="C4183" t="s">
        <v>12349</v>
      </c>
      <c r="D4183" t="s">
        <v>3394</v>
      </c>
      <c r="E4183" t="s">
        <v>3395</v>
      </c>
      <c r="F4183" t="s">
        <v>3396</v>
      </c>
      <c r="G4183" t="s">
        <v>719</v>
      </c>
      <c r="H4183" t="s">
        <v>12350</v>
      </c>
      <c r="I4183" t="s">
        <v>12351</v>
      </c>
      <c r="J4183" t="s">
        <v>722</v>
      </c>
      <c r="K4183" t="s">
        <v>55</v>
      </c>
      <c r="L4183" t="s">
        <v>723</v>
      </c>
      <c r="M4183" t="s">
        <v>57</v>
      </c>
      <c r="N4183" t="str">
        <f>"047639"</f>
        <v>047639</v>
      </c>
      <c r="O4183" t="s">
        <v>718</v>
      </c>
      <c r="P4183" t="s">
        <v>68</v>
      </c>
      <c r="Q4183">
        <v>44</v>
      </c>
      <c r="R4183">
        <v>5.4000000000000057</v>
      </c>
      <c r="S4183" t="s">
        <v>130</v>
      </c>
    </row>
    <row r="4184" spans="1:19" x14ac:dyDescent="0.35">
      <c r="A4184">
        <v>139220</v>
      </c>
      <c r="B4184" t="str">
        <f>"139220"</f>
        <v>139220</v>
      </c>
      <c r="C4184" t="s">
        <v>12352</v>
      </c>
      <c r="D4184" t="s">
        <v>3400</v>
      </c>
      <c r="E4184" t="s">
        <v>3395</v>
      </c>
      <c r="F4184" t="s">
        <v>3396</v>
      </c>
      <c r="G4184" t="s">
        <v>719</v>
      </c>
      <c r="H4184" t="s">
        <v>12353</v>
      </c>
      <c r="I4184" t="s">
        <v>12354</v>
      </c>
      <c r="J4184" t="s">
        <v>722</v>
      </c>
      <c r="K4184" t="s">
        <v>55</v>
      </c>
      <c r="L4184" t="s">
        <v>723</v>
      </c>
      <c r="M4184" t="s">
        <v>57</v>
      </c>
      <c r="N4184" t="str">
        <f>"047639"</f>
        <v>047639</v>
      </c>
      <c r="O4184" t="s">
        <v>718</v>
      </c>
      <c r="P4184" t="s">
        <v>68</v>
      </c>
      <c r="Q4184">
        <v>45.7</v>
      </c>
      <c r="R4184">
        <v>6</v>
      </c>
      <c r="S4184" t="s">
        <v>130</v>
      </c>
    </row>
    <row r="4185" spans="1:19" x14ac:dyDescent="0.35">
      <c r="A4185">
        <v>139287</v>
      </c>
      <c r="B4185" t="str">
        <f>"139287"</f>
        <v>139287</v>
      </c>
      <c r="C4185" t="s">
        <v>12355</v>
      </c>
      <c r="D4185" t="s">
        <v>3394</v>
      </c>
      <c r="E4185" t="s">
        <v>3395</v>
      </c>
      <c r="F4185" t="s">
        <v>3396</v>
      </c>
      <c r="G4185" t="s">
        <v>406</v>
      </c>
      <c r="H4185" t="s">
        <v>12356</v>
      </c>
      <c r="I4185" t="s">
        <v>12357</v>
      </c>
      <c r="J4185" t="s">
        <v>465</v>
      </c>
      <c r="K4185" t="s">
        <v>55</v>
      </c>
      <c r="L4185" t="s">
        <v>466</v>
      </c>
      <c r="M4185" t="s">
        <v>57</v>
      </c>
      <c r="N4185" t="str">
        <f>"044974"</f>
        <v>044974</v>
      </c>
      <c r="O4185" t="s">
        <v>462</v>
      </c>
      <c r="P4185" t="s">
        <v>68</v>
      </c>
      <c r="Q4185">
        <v>21.3</v>
      </c>
      <c r="R4185">
        <v>8.4000000000000057</v>
      </c>
      <c r="S4185" t="s">
        <v>77</v>
      </c>
    </row>
    <row r="4186" spans="1:19" x14ac:dyDescent="0.35">
      <c r="A4186">
        <v>139311</v>
      </c>
      <c r="B4186" t="str">
        <f>"139311"</f>
        <v>139311</v>
      </c>
      <c r="C4186" t="s">
        <v>12358</v>
      </c>
      <c r="D4186" t="s">
        <v>3398</v>
      </c>
      <c r="E4186" t="s">
        <v>3395</v>
      </c>
      <c r="F4186" t="s">
        <v>3396</v>
      </c>
      <c r="G4186" t="s">
        <v>244</v>
      </c>
      <c r="H4186" t="s">
        <v>12359</v>
      </c>
      <c r="I4186" t="s">
        <v>12360</v>
      </c>
      <c r="J4186" t="s">
        <v>1239</v>
      </c>
      <c r="K4186" t="s">
        <v>55</v>
      </c>
      <c r="L4186" t="s">
        <v>2571</v>
      </c>
      <c r="M4186" t="s">
        <v>57</v>
      </c>
      <c r="N4186" t="str">
        <f>"139303"</f>
        <v>139303</v>
      </c>
      <c r="O4186" t="s">
        <v>2568</v>
      </c>
      <c r="P4186" t="s">
        <v>68</v>
      </c>
      <c r="Q4186">
        <v>23.6</v>
      </c>
      <c r="R4186">
        <v>24.400000000000006</v>
      </c>
      <c r="S4186" t="s">
        <v>217</v>
      </c>
    </row>
    <row r="4187" spans="1:19" x14ac:dyDescent="0.35">
      <c r="A4187">
        <v>139337</v>
      </c>
      <c r="B4187" t="str">
        <f>"139337"</f>
        <v>139337</v>
      </c>
      <c r="C4187" t="s">
        <v>7064</v>
      </c>
      <c r="D4187" t="s">
        <v>3394</v>
      </c>
      <c r="E4187" t="s">
        <v>3395</v>
      </c>
      <c r="F4187" t="s">
        <v>3396</v>
      </c>
      <c r="G4187" t="s">
        <v>244</v>
      </c>
      <c r="H4187" t="s">
        <v>12361</v>
      </c>
      <c r="I4187" t="s">
        <v>12362</v>
      </c>
      <c r="J4187" t="s">
        <v>1239</v>
      </c>
      <c r="K4187" t="s">
        <v>55</v>
      </c>
      <c r="L4187" t="s">
        <v>2571</v>
      </c>
      <c r="M4187" t="s">
        <v>57</v>
      </c>
      <c r="N4187" t="str">
        <f>"139303"</f>
        <v>139303</v>
      </c>
      <c r="O4187" t="s">
        <v>2568</v>
      </c>
      <c r="P4187" t="s">
        <v>68</v>
      </c>
      <c r="Q4187">
        <v>29.6</v>
      </c>
      <c r="R4187">
        <v>27</v>
      </c>
      <c r="S4187" t="s">
        <v>217</v>
      </c>
    </row>
    <row r="4188" spans="1:19" x14ac:dyDescent="0.35">
      <c r="A4188">
        <v>139360</v>
      </c>
      <c r="B4188" t="str">
        <f>"139360"</f>
        <v>139360</v>
      </c>
      <c r="C4188" t="s">
        <v>12363</v>
      </c>
      <c r="D4188" t="s">
        <v>3394</v>
      </c>
      <c r="E4188" t="s">
        <v>3395</v>
      </c>
      <c r="F4188" t="s">
        <v>3396</v>
      </c>
      <c r="G4188" t="s">
        <v>52</v>
      </c>
      <c r="H4188" t="s">
        <v>12364</v>
      </c>
      <c r="I4188" t="s">
        <v>12365</v>
      </c>
      <c r="J4188" t="s">
        <v>2670</v>
      </c>
      <c r="K4188" t="s">
        <v>55</v>
      </c>
      <c r="L4188" t="s">
        <v>2671</v>
      </c>
      <c r="M4188" t="s">
        <v>57</v>
      </c>
      <c r="N4188" t="str">
        <f>"046763"</f>
        <v>046763</v>
      </c>
      <c r="O4188" t="s">
        <v>2667</v>
      </c>
      <c r="P4188" t="s">
        <v>68</v>
      </c>
      <c r="Q4188">
        <v>18.3</v>
      </c>
      <c r="R4188">
        <v>49.4</v>
      </c>
      <c r="S4188" t="s">
        <v>60</v>
      </c>
    </row>
    <row r="4189" spans="1:19" x14ac:dyDescent="0.35">
      <c r="A4189">
        <v>139477</v>
      </c>
      <c r="B4189" t="str">
        <f>"139477"</f>
        <v>139477</v>
      </c>
      <c r="C4189" t="s">
        <v>12366</v>
      </c>
      <c r="D4189" t="s">
        <v>3394</v>
      </c>
      <c r="E4189" t="s">
        <v>3395</v>
      </c>
      <c r="F4189" t="s">
        <v>3396</v>
      </c>
      <c r="G4189" t="s">
        <v>719</v>
      </c>
      <c r="H4189" t="s">
        <v>12367</v>
      </c>
      <c r="I4189" t="s">
        <v>12368</v>
      </c>
      <c r="J4189" t="s">
        <v>1652</v>
      </c>
      <c r="K4189" t="s">
        <v>55</v>
      </c>
      <c r="L4189" t="s">
        <v>1653</v>
      </c>
      <c r="M4189" t="s">
        <v>57</v>
      </c>
      <c r="N4189" t="str">
        <f>"047613"</f>
        <v>047613</v>
      </c>
      <c r="O4189" t="s">
        <v>1480</v>
      </c>
      <c r="P4189" t="s">
        <v>68</v>
      </c>
      <c r="Q4189">
        <v>61</v>
      </c>
      <c r="R4189">
        <v>6.5</v>
      </c>
      <c r="S4189" t="s">
        <v>130</v>
      </c>
    </row>
    <row r="4190" spans="1:19" x14ac:dyDescent="0.35">
      <c r="A4190">
        <v>139485</v>
      </c>
      <c r="B4190" t="str">
        <f>"139485"</f>
        <v>139485</v>
      </c>
      <c r="C4190" t="s">
        <v>12369</v>
      </c>
      <c r="D4190" t="s">
        <v>3394</v>
      </c>
      <c r="E4190" t="s">
        <v>3395</v>
      </c>
      <c r="F4190" t="s">
        <v>3396</v>
      </c>
      <c r="G4190" t="s">
        <v>663</v>
      </c>
      <c r="H4190" t="s">
        <v>12370</v>
      </c>
      <c r="I4190" t="s">
        <v>12371</v>
      </c>
      <c r="J4190" t="s">
        <v>1604</v>
      </c>
      <c r="K4190" t="s">
        <v>55</v>
      </c>
      <c r="L4190" t="s">
        <v>1605</v>
      </c>
      <c r="M4190" t="s">
        <v>57</v>
      </c>
      <c r="N4190" t="str">
        <f>"049478"</f>
        <v>049478</v>
      </c>
      <c r="O4190" t="s">
        <v>1601</v>
      </c>
      <c r="P4190" t="s">
        <v>68</v>
      </c>
      <c r="Q4190">
        <v>33.4</v>
      </c>
      <c r="R4190">
        <v>13.5</v>
      </c>
      <c r="S4190" t="s">
        <v>77</v>
      </c>
    </row>
    <row r="4191" spans="1:19" x14ac:dyDescent="0.35">
      <c r="A4191">
        <v>139584</v>
      </c>
      <c r="B4191" t="str">
        <f>"139584"</f>
        <v>139584</v>
      </c>
      <c r="C4191" t="s">
        <v>12372</v>
      </c>
      <c r="D4191" t="s">
        <v>3506</v>
      </c>
      <c r="E4191" t="s">
        <v>3395</v>
      </c>
      <c r="F4191" t="s">
        <v>3396</v>
      </c>
      <c r="G4191" t="s">
        <v>169</v>
      </c>
      <c r="H4191" t="s">
        <v>5464</v>
      </c>
      <c r="I4191" t="s">
        <v>5465</v>
      </c>
      <c r="J4191" t="s">
        <v>2933</v>
      </c>
      <c r="K4191" t="s">
        <v>55</v>
      </c>
      <c r="L4191" t="s">
        <v>2934</v>
      </c>
      <c r="M4191" t="s">
        <v>57</v>
      </c>
      <c r="N4191" t="str">
        <f>"044065"</f>
        <v>044065</v>
      </c>
      <c r="O4191" t="s">
        <v>2930</v>
      </c>
      <c r="P4191" t="s">
        <v>68</v>
      </c>
      <c r="Q4191">
        <v>60.5</v>
      </c>
      <c r="R4191">
        <v>17.599999999999994</v>
      </c>
      <c r="S4191" t="s">
        <v>77</v>
      </c>
    </row>
    <row r="4192" spans="1:19" x14ac:dyDescent="0.35">
      <c r="A4192">
        <v>139717</v>
      </c>
      <c r="B4192" t="str">
        <f>"139717"</f>
        <v>139717</v>
      </c>
      <c r="C4192" t="s">
        <v>12373</v>
      </c>
      <c r="D4192" t="s">
        <v>3394</v>
      </c>
      <c r="E4192" t="s">
        <v>3395</v>
      </c>
      <c r="F4192" t="s">
        <v>3396</v>
      </c>
      <c r="G4192" t="s">
        <v>212</v>
      </c>
      <c r="H4192" t="s">
        <v>3369</v>
      </c>
      <c r="I4192" t="s">
        <v>3370</v>
      </c>
      <c r="J4192" t="s">
        <v>3371</v>
      </c>
      <c r="K4192" t="s">
        <v>55</v>
      </c>
      <c r="L4192" t="s">
        <v>3372</v>
      </c>
      <c r="M4192" t="s">
        <v>57</v>
      </c>
      <c r="N4192" t="str">
        <f>"044271"</f>
        <v>044271</v>
      </c>
      <c r="O4192" t="s">
        <v>3368</v>
      </c>
      <c r="P4192" t="s">
        <v>68</v>
      </c>
      <c r="Q4192">
        <v>15.5</v>
      </c>
      <c r="R4192">
        <v>13.099999999999994</v>
      </c>
      <c r="S4192" t="s">
        <v>217</v>
      </c>
    </row>
    <row r="4193" spans="1:19" x14ac:dyDescent="0.35">
      <c r="A4193">
        <v>139873</v>
      </c>
      <c r="B4193" t="str">
        <f>"139873"</f>
        <v>139873</v>
      </c>
      <c r="C4193" t="s">
        <v>12374</v>
      </c>
      <c r="D4193" t="s">
        <v>3394</v>
      </c>
      <c r="E4193" t="s">
        <v>3395</v>
      </c>
      <c r="F4193" t="s">
        <v>3396</v>
      </c>
      <c r="G4193" t="s">
        <v>212</v>
      </c>
      <c r="H4193" t="s">
        <v>12375</v>
      </c>
      <c r="I4193" t="s">
        <v>12376</v>
      </c>
      <c r="J4193" t="s">
        <v>215</v>
      </c>
      <c r="K4193" t="s">
        <v>55</v>
      </c>
      <c r="L4193" t="s">
        <v>9621</v>
      </c>
      <c r="M4193" t="s">
        <v>57</v>
      </c>
      <c r="N4193" t="str">
        <f>"043752"</f>
        <v>043752</v>
      </c>
      <c r="O4193" t="s">
        <v>440</v>
      </c>
      <c r="P4193" t="s">
        <v>68</v>
      </c>
      <c r="Q4193">
        <v>100</v>
      </c>
      <c r="R4193">
        <v>89.9</v>
      </c>
      <c r="S4193" t="s">
        <v>217</v>
      </c>
    </row>
    <row r="4194" spans="1:19" x14ac:dyDescent="0.35">
      <c r="A4194">
        <v>140020</v>
      </c>
      <c r="B4194" t="str">
        <f>"140020"</f>
        <v>140020</v>
      </c>
      <c r="C4194" t="s">
        <v>12377</v>
      </c>
      <c r="D4194" t="s">
        <v>3400</v>
      </c>
      <c r="E4194" t="s">
        <v>3395</v>
      </c>
      <c r="F4194" t="s">
        <v>3396</v>
      </c>
      <c r="G4194" t="s">
        <v>271</v>
      </c>
      <c r="H4194" t="s">
        <v>2539</v>
      </c>
      <c r="I4194" t="s">
        <v>2540</v>
      </c>
      <c r="J4194" t="s">
        <v>2541</v>
      </c>
      <c r="K4194" t="s">
        <v>55</v>
      </c>
      <c r="L4194" t="s">
        <v>2542</v>
      </c>
      <c r="M4194" t="s">
        <v>57</v>
      </c>
      <c r="N4194" t="str">
        <f>"047589"</f>
        <v>047589</v>
      </c>
      <c r="O4194" t="s">
        <v>2538</v>
      </c>
      <c r="P4194" t="s">
        <v>68</v>
      </c>
      <c r="Q4194">
        <v>23.2</v>
      </c>
      <c r="R4194">
        <v>8.7999999999999972</v>
      </c>
      <c r="S4194" t="s">
        <v>156</v>
      </c>
    </row>
    <row r="4195" spans="1:19" x14ac:dyDescent="0.35">
      <c r="A4195">
        <v>140046</v>
      </c>
      <c r="B4195" t="str">
        <f>"140046"</f>
        <v>140046</v>
      </c>
      <c r="C4195" t="s">
        <v>12378</v>
      </c>
      <c r="D4195" t="s">
        <v>3394</v>
      </c>
      <c r="E4195" t="s">
        <v>3395</v>
      </c>
      <c r="F4195" t="s">
        <v>3396</v>
      </c>
      <c r="G4195" t="s">
        <v>406</v>
      </c>
      <c r="H4195" t="s">
        <v>12379</v>
      </c>
      <c r="I4195" t="s">
        <v>12380</v>
      </c>
      <c r="J4195" t="s">
        <v>406</v>
      </c>
      <c r="K4195" t="s">
        <v>55</v>
      </c>
      <c r="L4195" t="s">
        <v>409</v>
      </c>
      <c r="M4195" t="s">
        <v>57</v>
      </c>
      <c r="N4195" t="str">
        <f>"044388"</f>
        <v>044388</v>
      </c>
      <c r="O4195" t="s">
        <v>3325</v>
      </c>
      <c r="P4195" t="s">
        <v>68</v>
      </c>
      <c r="Q4195">
        <v>14.6</v>
      </c>
      <c r="R4195">
        <v>12.5</v>
      </c>
      <c r="S4195" t="s">
        <v>77</v>
      </c>
    </row>
    <row r="4196" spans="1:19" x14ac:dyDescent="0.35">
      <c r="A4196">
        <v>140152</v>
      </c>
      <c r="B4196" t="str">
        <f>"140152"</f>
        <v>140152</v>
      </c>
      <c r="C4196" t="s">
        <v>12381</v>
      </c>
      <c r="D4196" t="s">
        <v>3398</v>
      </c>
      <c r="E4196" t="s">
        <v>3395</v>
      </c>
      <c r="F4196" t="s">
        <v>3396</v>
      </c>
      <c r="G4196" t="s">
        <v>117</v>
      </c>
      <c r="H4196" t="s">
        <v>2660</v>
      </c>
      <c r="I4196" t="s">
        <v>2661</v>
      </c>
      <c r="J4196" t="s">
        <v>1409</v>
      </c>
      <c r="K4196" t="s">
        <v>55</v>
      </c>
      <c r="L4196" t="s">
        <v>2662</v>
      </c>
      <c r="M4196" t="s">
        <v>57</v>
      </c>
      <c r="N4196" t="str">
        <f>"043711"</f>
        <v>043711</v>
      </c>
      <c r="O4196" t="s">
        <v>3000</v>
      </c>
      <c r="P4196" t="s">
        <v>68</v>
      </c>
      <c r="Q4196">
        <v>100</v>
      </c>
      <c r="R4196">
        <v>64.599999999999994</v>
      </c>
      <c r="S4196" t="s">
        <v>77</v>
      </c>
    </row>
    <row r="4197" spans="1:19" x14ac:dyDescent="0.35">
      <c r="A4197">
        <v>140350</v>
      </c>
      <c r="B4197" t="str">
        <f>"140350"</f>
        <v>140350</v>
      </c>
      <c r="C4197" t="s">
        <v>12382</v>
      </c>
      <c r="D4197" t="s">
        <v>3394</v>
      </c>
      <c r="E4197" t="s">
        <v>3395</v>
      </c>
      <c r="F4197" t="s">
        <v>3396</v>
      </c>
      <c r="G4197" t="s">
        <v>219</v>
      </c>
      <c r="H4197" t="s">
        <v>12383</v>
      </c>
      <c r="I4197" t="s">
        <v>12384</v>
      </c>
      <c r="J4197" t="s">
        <v>222</v>
      </c>
      <c r="K4197" t="s">
        <v>55</v>
      </c>
      <c r="L4197" t="s">
        <v>223</v>
      </c>
      <c r="M4197" t="s">
        <v>57</v>
      </c>
      <c r="N4197" t="str">
        <f>"044669"</f>
        <v>044669</v>
      </c>
      <c r="O4197" t="s">
        <v>3263</v>
      </c>
      <c r="P4197" t="s">
        <v>68</v>
      </c>
      <c r="Q4197">
        <v>100</v>
      </c>
      <c r="R4197">
        <v>30.799999999999997</v>
      </c>
      <c r="S4197" t="s">
        <v>130</v>
      </c>
    </row>
    <row r="4198" spans="1:19" x14ac:dyDescent="0.35">
      <c r="A4198">
        <v>140590</v>
      </c>
      <c r="B4198" t="str">
        <f>"140590"</f>
        <v>140590</v>
      </c>
      <c r="C4198" t="s">
        <v>12385</v>
      </c>
      <c r="D4198" t="s">
        <v>3394</v>
      </c>
      <c r="E4198" t="s">
        <v>3395</v>
      </c>
      <c r="F4198" t="s">
        <v>3396</v>
      </c>
      <c r="G4198" t="s">
        <v>1948</v>
      </c>
      <c r="H4198" t="s">
        <v>12386</v>
      </c>
      <c r="I4198" t="s">
        <v>12387</v>
      </c>
      <c r="J4198" t="s">
        <v>1951</v>
      </c>
      <c r="K4198" t="s">
        <v>55</v>
      </c>
      <c r="L4198" t="s">
        <v>1952</v>
      </c>
      <c r="M4198" t="s">
        <v>57</v>
      </c>
      <c r="N4198" t="str">
        <f>"045476"</f>
        <v>045476</v>
      </c>
      <c r="O4198" t="s">
        <v>1947</v>
      </c>
      <c r="P4198" t="s">
        <v>68</v>
      </c>
      <c r="Q4198">
        <v>20.8</v>
      </c>
      <c r="R4198">
        <v>19</v>
      </c>
      <c r="S4198" t="s">
        <v>60</v>
      </c>
    </row>
    <row r="4199" spans="1:19" x14ac:dyDescent="0.35">
      <c r="A4199">
        <v>140806</v>
      </c>
      <c r="B4199" t="str">
        <f>"140806"</f>
        <v>140806</v>
      </c>
      <c r="C4199" t="s">
        <v>12388</v>
      </c>
      <c r="D4199" t="s">
        <v>3394</v>
      </c>
      <c r="E4199" t="s">
        <v>3395</v>
      </c>
      <c r="F4199" t="s">
        <v>3396</v>
      </c>
      <c r="G4199" t="s">
        <v>600</v>
      </c>
      <c r="H4199" t="s">
        <v>12389</v>
      </c>
      <c r="I4199" t="s">
        <v>12390</v>
      </c>
      <c r="J4199" t="s">
        <v>3622</v>
      </c>
      <c r="K4199" t="s">
        <v>55</v>
      </c>
      <c r="L4199" t="s">
        <v>3623</v>
      </c>
      <c r="M4199" t="s">
        <v>57</v>
      </c>
      <c r="N4199" t="str">
        <f>"047019"</f>
        <v>047019</v>
      </c>
      <c r="O4199" t="s">
        <v>1345</v>
      </c>
      <c r="P4199" t="s">
        <v>68</v>
      </c>
      <c r="Q4199">
        <v>21.1</v>
      </c>
      <c r="R4199">
        <v>32.400000000000006</v>
      </c>
      <c r="S4199" t="s">
        <v>60</v>
      </c>
    </row>
    <row r="4200" spans="1:19" x14ac:dyDescent="0.35">
      <c r="A4200">
        <v>140814</v>
      </c>
      <c r="B4200" t="str">
        <f>"140814"</f>
        <v>140814</v>
      </c>
      <c r="C4200" t="s">
        <v>12391</v>
      </c>
      <c r="D4200" t="s">
        <v>3400</v>
      </c>
      <c r="E4200" t="s">
        <v>3395</v>
      </c>
      <c r="F4200" t="s">
        <v>3396</v>
      </c>
      <c r="G4200" t="s">
        <v>600</v>
      </c>
      <c r="H4200" t="s">
        <v>12392</v>
      </c>
      <c r="I4200" t="s">
        <v>12393</v>
      </c>
      <c r="J4200" t="s">
        <v>3622</v>
      </c>
      <c r="K4200" t="s">
        <v>55</v>
      </c>
      <c r="L4200" t="s">
        <v>3623</v>
      </c>
      <c r="M4200" t="s">
        <v>57</v>
      </c>
      <c r="N4200" t="str">
        <f>"047019"</f>
        <v>047019</v>
      </c>
      <c r="O4200" t="s">
        <v>1345</v>
      </c>
      <c r="P4200" t="s">
        <v>68</v>
      </c>
      <c r="Q4200">
        <v>19.2</v>
      </c>
      <c r="R4200">
        <v>27.5</v>
      </c>
      <c r="S4200" t="s">
        <v>60</v>
      </c>
    </row>
    <row r="4201" spans="1:19" x14ac:dyDescent="0.35">
      <c r="A4201">
        <v>140822</v>
      </c>
      <c r="B4201" t="str">
        <f>"140822"</f>
        <v>140822</v>
      </c>
      <c r="C4201" t="s">
        <v>12394</v>
      </c>
      <c r="D4201" t="s">
        <v>3394</v>
      </c>
      <c r="E4201" t="s">
        <v>3395</v>
      </c>
      <c r="F4201" t="s">
        <v>3396</v>
      </c>
      <c r="G4201" t="s">
        <v>600</v>
      </c>
      <c r="H4201" t="s">
        <v>12395</v>
      </c>
      <c r="I4201" t="s">
        <v>12396</v>
      </c>
      <c r="J4201" t="s">
        <v>3622</v>
      </c>
      <c r="K4201" t="s">
        <v>55</v>
      </c>
      <c r="L4201" t="s">
        <v>3623</v>
      </c>
      <c r="M4201" t="s">
        <v>57</v>
      </c>
      <c r="N4201" t="str">
        <f>"047019"</f>
        <v>047019</v>
      </c>
      <c r="O4201" t="s">
        <v>1345</v>
      </c>
      <c r="P4201" t="s">
        <v>68</v>
      </c>
      <c r="Q4201">
        <v>15.5</v>
      </c>
      <c r="R4201">
        <v>28.299999999999997</v>
      </c>
      <c r="S4201" t="s">
        <v>60</v>
      </c>
    </row>
    <row r="4202" spans="1:19" x14ac:dyDescent="0.35">
      <c r="A4202">
        <v>140830</v>
      </c>
      <c r="B4202" t="str">
        <f>"140830"</f>
        <v>140830</v>
      </c>
      <c r="C4202" t="s">
        <v>12397</v>
      </c>
      <c r="D4202" t="s">
        <v>3400</v>
      </c>
      <c r="E4202" t="s">
        <v>3395</v>
      </c>
      <c r="F4202" t="s">
        <v>3396</v>
      </c>
      <c r="G4202" t="s">
        <v>600</v>
      </c>
      <c r="H4202" t="s">
        <v>12398</v>
      </c>
      <c r="I4202" t="s">
        <v>12399</v>
      </c>
      <c r="J4202" t="s">
        <v>3622</v>
      </c>
      <c r="K4202" t="s">
        <v>55</v>
      </c>
      <c r="L4202" t="s">
        <v>3623</v>
      </c>
      <c r="M4202" t="s">
        <v>57</v>
      </c>
      <c r="N4202" t="str">
        <f>"047019"</f>
        <v>047019</v>
      </c>
      <c r="O4202" t="s">
        <v>1345</v>
      </c>
      <c r="P4202" t="s">
        <v>68</v>
      </c>
      <c r="Q4202">
        <v>30.2</v>
      </c>
      <c r="R4202">
        <v>34.599999999999994</v>
      </c>
      <c r="S4202" t="s">
        <v>60</v>
      </c>
    </row>
    <row r="4203" spans="1:19" x14ac:dyDescent="0.35">
      <c r="A4203">
        <v>140871</v>
      </c>
      <c r="B4203" t="str">
        <f>"140871"</f>
        <v>140871</v>
      </c>
      <c r="C4203" t="s">
        <v>12400</v>
      </c>
      <c r="D4203" t="s">
        <v>3400</v>
      </c>
      <c r="E4203" t="s">
        <v>3395</v>
      </c>
      <c r="F4203" t="s">
        <v>3396</v>
      </c>
      <c r="G4203" t="s">
        <v>206</v>
      </c>
      <c r="H4203" t="s">
        <v>12401</v>
      </c>
      <c r="I4203" t="s">
        <v>12402</v>
      </c>
      <c r="J4203" t="s">
        <v>591</v>
      </c>
      <c r="K4203" t="s">
        <v>55</v>
      </c>
      <c r="L4203" t="s">
        <v>592</v>
      </c>
      <c r="M4203" t="s">
        <v>57</v>
      </c>
      <c r="N4203" t="str">
        <f>"046201"</f>
        <v>046201</v>
      </c>
      <c r="O4203" t="s">
        <v>588</v>
      </c>
      <c r="P4203" t="s">
        <v>68</v>
      </c>
      <c r="Q4203">
        <v>41.4</v>
      </c>
      <c r="R4203">
        <v>8.9000000000000057</v>
      </c>
      <c r="S4203" t="s">
        <v>180</v>
      </c>
    </row>
    <row r="4204" spans="1:19" x14ac:dyDescent="0.35">
      <c r="A4204">
        <v>140889</v>
      </c>
      <c r="B4204" t="str">
        <f>"140889"</f>
        <v>140889</v>
      </c>
      <c r="C4204" t="s">
        <v>12403</v>
      </c>
      <c r="D4204" t="s">
        <v>3394</v>
      </c>
      <c r="E4204" t="s">
        <v>3395</v>
      </c>
      <c r="F4204" t="s">
        <v>3396</v>
      </c>
      <c r="G4204" t="s">
        <v>295</v>
      </c>
      <c r="H4204" t="s">
        <v>12404</v>
      </c>
      <c r="I4204" t="s">
        <v>12405</v>
      </c>
      <c r="J4204" t="s">
        <v>748</v>
      </c>
      <c r="K4204" t="s">
        <v>55</v>
      </c>
      <c r="L4204" t="s">
        <v>749</v>
      </c>
      <c r="M4204" t="s">
        <v>57</v>
      </c>
      <c r="N4204" t="str">
        <f>"049171"</f>
        <v>049171</v>
      </c>
      <c r="O4204" t="s">
        <v>745</v>
      </c>
      <c r="P4204" t="s">
        <v>68</v>
      </c>
      <c r="Q4204">
        <v>4.7</v>
      </c>
      <c r="R4204">
        <v>22.5</v>
      </c>
      <c r="S4204" t="s">
        <v>77</v>
      </c>
    </row>
    <row r="4205" spans="1:19" x14ac:dyDescent="0.35">
      <c r="A4205">
        <v>140970</v>
      </c>
      <c r="B4205" t="str">
        <f>"140970"</f>
        <v>140970</v>
      </c>
      <c r="C4205" t="s">
        <v>12406</v>
      </c>
      <c r="D4205" t="s">
        <v>3394</v>
      </c>
      <c r="E4205" t="s">
        <v>3395</v>
      </c>
      <c r="F4205" t="s">
        <v>3396</v>
      </c>
      <c r="G4205" t="s">
        <v>52</v>
      </c>
      <c r="H4205" t="s">
        <v>12407</v>
      </c>
      <c r="I4205" t="s">
        <v>12408</v>
      </c>
      <c r="J4205" t="s">
        <v>11302</v>
      </c>
      <c r="K4205" t="s">
        <v>55</v>
      </c>
      <c r="L4205" t="s">
        <v>11303</v>
      </c>
      <c r="M4205" t="s">
        <v>57</v>
      </c>
      <c r="N4205" t="str">
        <f>"046763"</f>
        <v>046763</v>
      </c>
      <c r="O4205" t="s">
        <v>2667</v>
      </c>
      <c r="P4205" t="s">
        <v>68</v>
      </c>
      <c r="Q4205">
        <v>2.2000000000000002</v>
      </c>
      <c r="R4205">
        <v>17.599999999999994</v>
      </c>
      <c r="S4205" t="s">
        <v>60</v>
      </c>
    </row>
    <row r="4206" spans="1:19" x14ac:dyDescent="0.35">
      <c r="A4206">
        <v>140988</v>
      </c>
      <c r="B4206" t="str">
        <f>"140988"</f>
        <v>140988</v>
      </c>
      <c r="C4206" t="s">
        <v>12409</v>
      </c>
      <c r="D4206" t="s">
        <v>3400</v>
      </c>
      <c r="E4206" t="s">
        <v>3395</v>
      </c>
      <c r="F4206" t="s">
        <v>3396</v>
      </c>
      <c r="G4206" t="s">
        <v>52</v>
      </c>
      <c r="H4206" t="s">
        <v>12410</v>
      </c>
      <c r="I4206" t="s">
        <v>12411</v>
      </c>
      <c r="J4206" t="s">
        <v>11302</v>
      </c>
      <c r="K4206" t="s">
        <v>55</v>
      </c>
      <c r="L4206" t="s">
        <v>11303</v>
      </c>
      <c r="M4206" t="s">
        <v>57</v>
      </c>
      <c r="N4206" t="str">
        <f>"046763"</f>
        <v>046763</v>
      </c>
      <c r="O4206" t="s">
        <v>2667</v>
      </c>
      <c r="P4206" t="s">
        <v>68</v>
      </c>
      <c r="Q4206">
        <v>3.7</v>
      </c>
      <c r="R4206">
        <v>24.400000000000006</v>
      </c>
      <c r="S4206" t="s">
        <v>60</v>
      </c>
    </row>
    <row r="4207" spans="1:19" x14ac:dyDescent="0.35">
      <c r="A4207">
        <v>142000</v>
      </c>
      <c r="B4207" t="str">
        <f>"142000"</f>
        <v>142000</v>
      </c>
      <c r="C4207" t="s">
        <v>6399</v>
      </c>
      <c r="D4207" t="s">
        <v>3400</v>
      </c>
      <c r="E4207" t="s">
        <v>3395</v>
      </c>
      <c r="F4207" t="s">
        <v>3396</v>
      </c>
      <c r="G4207" t="s">
        <v>600</v>
      </c>
      <c r="H4207" t="s">
        <v>12412</v>
      </c>
      <c r="I4207" t="s">
        <v>12413</v>
      </c>
      <c r="J4207" t="s">
        <v>1136</v>
      </c>
      <c r="K4207" t="s">
        <v>55</v>
      </c>
      <c r="L4207" t="s">
        <v>1137</v>
      </c>
      <c r="M4207" t="s">
        <v>57</v>
      </c>
      <c r="N4207" t="str">
        <f>"044800"</f>
        <v>044800</v>
      </c>
      <c r="O4207" t="s">
        <v>1133</v>
      </c>
      <c r="P4207" t="s">
        <v>68</v>
      </c>
      <c r="Q4207">
        <v>18.5</v>
      </c>
      <c r="R4207">
        <v>18.5</v>
      </c>
      <c r="S4207" t="s">
        <v>60</v>
      </c>
    </row>
    <row r="4208" spans="1:19" x14ac:dyDescent="0.35">
      <c r="A4208">
        <v>142018</v>
      </c>
      <c r="B4208" t="str">
        <f>"142018"</f>
        <v>142018</v>
      </c>
      <c r="C4208" t="s">
        <v>12414</v>
      </c>
      <c r="D4208" t="s">
        <v>3398</v>
      </c>
      <c r="E4208" t="s">
        <v>3395</v>
      </c>
      <c r="F4208" t="s">
        <v>3396</v>
      </c>
      <c r="G4208" t="s">
        <v>600</v>
      </c>
      <c r="H4208" t="s">
        <v>12415</v>
      </c>
      <c r="I4208" t="s">
        <v>12416</v>
      </c>
      <c r="J4208" t="s">
        <v>1136</v>
      </c>
      <c r="K4208" t="s">
        <v>55</v>
      </c>
      <c r="L4208" t="s">
        <v>1137</v>
      </c>
      <c r="M4208" t="s">
        <v>57</v>
      </c>
      <c r="N4208" t="str">
        <f>"044800"</f>
        <v>044800</v>
      </c>
      <c r="O4208" t="s">
        <v>1133</v>
      </c>
      <c r="P4208" t="s">
        <v>68</v>
      </c>
      <c r="Q4208">
        <v>54.4</v>
      </c>
      <c r="R4208">
        <v>45.5</v>
      </c>
      <c r="S4208" t="s">
        <v>60</v>
      </c>
    </row>
    <row r="4209" spans="1:19" x14ac:dyDescent="0.35">
      <c r="A4209">
        <v>142034</v>
      </c>
      <c r="B4209" t="str">
        <f>"142034"</f>
        <v>142034</v>
      </c>
      <c r="C4209" t="s">
        <v>12417</v>
      </c>
      <c r="D4209" t="s">
        <v>3398</v>
      </c>
      <c r="E4209" t="s">
        <v>3395</v>
      </c>
      <c r="F4209" t="s">
        <v>3396</v>
      </c>
      <c r="G4209" t="s">
        <v>600</v>
      </c>
      <c r="H4209" t="s">
        <v>7043</v>
      </c>
      <c r="I4209" t="s">
        <v>7044</v>
      </c>
      <c r="J4209" t="s">
        <v>1348</v>
      </c>
      <c r="K4209" t="s">
        <v>55</v>
      </c>
      <c r="L4209" t="s">
        <v>3161</v>
      </c>
      <c r="M4209" t="s">
        <v>57</v>
      </c>
      <c r="N4209" t="str">
        <f>"043802"</f>
        <v>043802</v>
      </c>
      <c r="O4209" t="s">
        <v>3171</v>
      </c>
      <c r="P4209" t="s">
        <v>68</v>
      </c>
      <c r="Q4209">
        <v>100</v>
      </c>
      <c r="R4209">
        <v>100</v>
      </c>
      <c r="S4209" t="s">
        <v>60</v>
      </c>
    </row>
    <row r="4210" spans="1:19" x14ac:dyDescent="0.35">
      <c r="A4210">
        <v>142141</v>
      </c>
      <c r="B4210" t="str">
        <f>"142141"</f>
        <v>142141</v>
      </c>
      <c r="C4210" t="s">
        <v>12418</v>
      </c>
      <c r="D4210" t="s">
        <v>3394</v>
      </c>
      <c r="E4210" t="s">
        <v>3395</v>
      </c>
      <c r="F4210" t="s">
        <v>3396</v>
      </c>
      <c r="G4210" t="s">
        <v>966</v>
      </c>
      <c r="H4210" t="s">
        <v>8410</v>
      </c>
      <c r="I4210" t="s">
        <v>8411</v>
      </c>
      <c r="J4210" t="s">
        <v>2937</v>
      </c>
      <c r="K4210" t="s">
        <v>55</v>
      </c>
      <c r="L4210" t="s">
        <v>2938</v>
      </c>
      <c r="M4210" t="s">
        <v>57</v>
      </c>
      <c r="N4210" t="str">
        <f>"048538"</f>
        <v>048538</v>
      </c>
      <c r="O4210" t="s">
        <v>2238</v>
      </c>
      <c r="P4210" t="s">
        <v>68</v>
      </c>
      <c r="Q4210">
        <v>100</v>
      </c>
      <c r="R4210">
        <v>4.0999999999999943</v>
      </c>
      <c r="S4210" t="s">
        <v>130</v>
      </c>
    </row>
    <row r="4211" spans="1:19" x14ac:dyDescent="0.35">
      <c r="A4211">
        <v>142158</v>
      </c>
      <c r="B4211" t="str">
        <f>"142158"</f>
        <v>142158</v>
      </c>
      <c r="C4211" t="s">
        <v>12419</v>
      </c>
      <c r="D4211" t="s">
        <v>3506</v>
      </c>
      <c r="E4211" t="s">
        <v>3395</v>
      </c>
      <c r="F4211" t="s">
        <v>3396</v>
      </c>
      <c r="G4211" t="s">
        <v>1099</v>
      </c>
      <c r="H4211" t="s">
        <v>12420</v>
      </c>
      <c r="I4211" t="s">
        <v>12421</v>
      </c>
      <c r="J4211" t="s">
        <v>1102</v>
      </c>
      <c r="K4211" t="s">
        <v>55</v>
      </c>
      <c r="L4211" t="s">
        <v>1103</v>
      </c>
      <c r="M4211" t="s">
        <v>57</v>
      </c>
      <c r="N4211" t="str">
        <f>"048777"</f>
        <v>048777</v>
      </c>
      <c r="O4211" t="s">
        <v>1766</v>
      </c>
      <c r="P4211" t="s">
        <v>68</v>
      </c>
      <c r="Q4211">
        <v>44.2</v>
      </c>
      <c r="R4211">
        <v>8.7999999999999972</v>
      </c>
      <c r="S4211" t="s">
        <v>130</v>
      </c>
    </row>
    <row r="4212" spans="1:19" x14ac:dyDescent="0.35">
      <c r="A4212">
        <v>142166</v>
      </c>
      <c r="B4212" t="str">
        <f>"142166"</f>
        <v>142166</v>
      </c>
      <c r="C4212" t="s">
        <v>4814</v>
      </c>
      <c r="D4212" t="s">
        <v>3394</v>
      </c>
      <c r="E4212" t="s">
        <v>3395</v>
      </c>
      <c r="F4212" t="s">
        <v>3396</v>
      </c>
      <c r="G4212" t="s">
        <v>1099</v>
      </c>
      <c r="H4212" t="s">
        <v>12422</v>
      </c>
      <c r="I4212" t="s">
        <v>12423</v>
      </c>
      <c r="J4212" t="s">
        <v>1102</v>
      </c>
      <c r="K4212" t="s">
        <v>55</v>
      </c>
      <c r="L4212" t="s">
        <v>1103</v>
      </c>
      <c r="M4212" t="s">
        <v>57</v>
      </c>
      <c r="N4212" t="str">
        <f>"048777"</f>
        <v>048777</v>
      </c>
      <c r="O4212" t="s">
        <v>1766</v>
      </c>
      <c r="P4212" t="s">
        <v>68</v>
      </c>
      <c r="Q4212">
        <v>100</v>
      </c>
      <c r="R4212">
        <v>12.099999999999994</v>
      </c>
      <c r="S4212" t="s">
        <v>130</v>
      </c>
    </row>
    <row r="4213" spans="1:19" x14ac:dyDescent="0.35">
      <c r="A4213">
        <v>142174</v>
      </c>
      <c r="B4213" t="str">
        <f>"142174"</f>
        <v>142174</v>
      </c>
      <c r="C4213" t="s">
        <v>6086</v>
      </c>
      <c r="D4213" t="s">
        <v>3394</v>
      </c>
      <c r="E4213" t="s">
        <v>3395</v>
      </c>
      <c r="F4213" t="s">
        <v>3396</v>
      </c>
      <c r="G4213" t="s">
        <v>1099</v>
      </c>
      <c r="H4213" t="s">
        <v>12424</v>
      </c>
      <c r="I4213" t="s">
        <v>12425</v>
      </c>
      <c r="J4213" t="s">
        <v>12426</v>
      </c>
      <c r="K4213" t="s">
        <v>55</v>
      </c>
      <c r="L4213" t="s">
        <v>12427</v>
      </c>
      <c r="M4213" t="s">
        <v>57</v>
      </c>
      <c r="N4213" t="str">
        <f>"048777"</f>
        <v>048777</v>
      </c>
      <c r="O4213" t="s">
        <v>1766</v>
      </c>
      <c r="P4213" t="s">
        <v>68</v>
      </c>
      <c r="Q4213">
        <v>53.1</v>
      </c>
      <c r="R4213">
        <v>7</v>
      </c>
      <c r="S4213" t="s">
        <v>130</v>
      </c>
    </row>
    <row r="4214" spans="1:19" x14ac:dyDescent="0.35">
      <c r="A4214">
        <v>142182</v>
      </c>
      <c r="B4214" t="str">
        <f>"142182"</f>
        <v>142182</v>
      </c>
      <c r="C4214" t="s">
        <v>8129</v>
      </c>
      <c r="D4214" t="s">
        <v>3394</v>
      </c>
      <c r="E4214" t="s">
        <v>3395</v>
      </c>
      <c r="F4214" t="s">
        <v>3396</v>
      </c>
      <c r="G4214" t="s">
        <v>1099</v>
      </c>
      <c r="H4214" t="s">
        <v>12428</v>
      </c>
      <c r="I4214" t="s">
        <v>12429</v>
      </c>
      <c r="J4214" t="s">
        <v>12430</v>
      </c>
      <c r="K4214" t="s">
        <v>55</v>
      </c>
      <c r="L4214" t="s">
        <v>12431</v>
      </c>
      <c r="M4214" t="s">
        <v>57</v>
      </c>
      <c r="N4214" t="str">
        <f>"048777"</f>
        <v>048777</v>
      </c>
      <c r="O4214" t="s">
        <v>1766</v>
      </c>
      <c r="P4214" t="s">
        <v>68</v>
      </c>
      <c r="Q4214">
        <v>100</v>
      </c>
      <c r="R4214">
        <v>17.400000000000006</v>
      </c>
      <c r="S4214" t="s">
        <v>130</v>
      </c>
    </row>
    <row r="4215" spans="1:19" x14ac:dyDescent="0.35">
      <c r="A4215">
        <v>142190</v>
      </c>
      <c r="B4215" t="str">
        <f>"142190"</f>
        <v>142190</v>
      </c>
      <c r="C4215" t="s">
        <v>12432</v>
      </c>
      <c r="D4215" t="s">
        <v>3400</v>
      </c>
      <c r="E4215" t="s">
        <v>3395</v>
      </c>
      <c r="F4215" t="s">
        <v>3396</v>
      </c>
      <c r="G4215" t="s">
        <v>719</v>
      </c>
      <c r="H4215" t="s">
        <v>1124</v>
      </c>
      <c r="I4215" t="s">
        <v>1125</v>
      </c>
      <c r="J4215" t="s">
        <v>1126</v>
      </c>
      <c r="K4215" t="s">
        <v>55</v>
      </c>
      <c r="L4215" t="s">
        <v>1127</v>
      </c>
      <c r="M4215" t="s">
        <v>57</v>
      </c>
      <c r="N4215" t="str">
        <f>"047621"</f>
        <v>047621</v>
      </c>
      <c r="O4215" t="s">
        <v>1123</v>
      </c>
      <c r="P4215" t="s">
        <v>68</v>
      </c>
      <c r="Q4215">
        <v>29.6</v>
      </c>
      <c r="R4215">
        <v>4.5</v>
      </c>
      <c r="S4215" t="s">
        <v>130</v>
      </c>
    </row>
    <row r="4216" spans="1:19" x14ac:dyDescent="0.35">
      <c r="A4216">
        <v>142240</v>
      </c>
      <c r="B4216" t="str">
        <f>"142240"</f>
        <v>142240</v>
      </c>
      <c r="C4216" t="s">
        <v>12433</v>
      </c>
      <c r="D4216" t="s">
        <v>3394</v>
      </c>
      <c r="E4216" t="s">
        <v>3395</v>
      </c>
      <c r="F4216" t="s">
        <v>3396</v>
      </c>
      <c r="G4216" t="s">
        <v>124</v>
      </c>
      <c r="H4216" t="s">
        <v>12434</v>
      </c>
      <c r="I4216" t="s">
        <v>12435</v>
      </c>
      <c r="J4216" t="s">
        <v>1247</v>
      </c>
      <c r="K4216" t="s">
        <v>55</v>
      </c>
      <c r="L4216" t="s">
        <v>1248</v>
      </c>
      <c r="M4216" t="s">
        <v>57</v>
      </c>
      <c r="N4216" t="str">
        <f>"043604"</f>
        <v>043604</v>
      </c>
      <c r="O4216" t="s">
        <v>1244</v>
      </c>
      <c r="P4216" t="s">
        <v>68</v>
      </c>
      <c r="Q4216">
        <v>53</v>
      </c>
      <c r="R4216">
        <v>11.200000000000003</v>
      </c>
      <c r="S4216" t="s">
        <v>130</v>
      </c>
    </row>
    <row r="4217" spans="1:19" x14ac:dyDescent="0.35">
      <c r="A4217">
        <v>142281</v>
      </c>
      <c r="B4217" t="str">
        <f>"142281"</f>
        <v>142281</v>
      </c>
      <c r="C4217" t="s">
        <v>12436</v>
      </c>
      <c r="D4217" t="s">
        <v>3400</v>
      </c>
      <c r="E4217" t="s">
        <v>3395</v>
      </c>
      <c r="F4217" t="s">
        <v>3396</v>
      </c>
      <c r="G4217" t="s">
        <v>79</v>
      </c>
      <c r="H4217" t="s">
        <v>7266</v>
      </c>
      <c r="I4217" t="s">
        <v>7267</v>
      </c>
      <c r="J4217" t="s">
        <v>2799</v>
      </c>
      <c r="K4217" t="s">
        <v>55</v>
      </c>
      <c r="L4217" t="s">
        <v>2800</v>
      </c>
      <c r="M4217" t="s">
        <v>57</v>
      </c>
      <c r="N4217" t="str">
        <f>"047720"</f>
        <v>047720</v>
      </c>
      <c r="O4217" t="s">
        <v>2796</v>
      </c>
      <c r="P4217" t="s">
        <v>68</v>
      </c>
      <c r="Q4217">
        <v>43.3</v>
      </c>
      <c r="R4217">
        <v>2.0999999999999943</v>
      </c>
      <c r="S4217" t="s">
        <v>69</v>
      </c>
    </row>
    <row r="4218" spans="1:19" x14ac:dyDescent="0.35">
      <c r="A4218">
        <v>142331</v>
      </c>
      <c r="B4218" t="str">
        <f>"142331"</f>
        <v>142331</v>
      </c>
      <c r="C4218" t="s">
        <v>12437</v>
      </c>
      <c r="D4218" t="s">
        <v>3400</v>
      </c>
      <c r="E4218" t="s">
        <v>3395</v>
      </c>
      <c r="F4218" t="s">
        <v>3396</v>
      </c>
      <c r="G4218" t="s">
        <v>572</v>
      </c>
      <c r="H4218" t="s">
        <v>2058</v>
      </c>
      <c r="I4218" t="s">
        <v>2059</v>
      </c>
      <c r="J4218" t="s">
        <v>2060</v>
      </c>
      <c r="K4218" t="s">
        <v>55</v>
      </c>
      <c r="L4218" t="s">
        <v>2061</v>
      </c>
      <c r="M4218" t="s">
        <v>57</v>
      </c>
      <c r="N4218" t="str">
        <f>"049759"</f>
        <v>049759</v>
      </c>
      <c r="O4218" t="s">
        <v>2057</v>
      </c>
      <c r="P4218" t="s">
        <v>68</v>
      </c>
      <c r="Q4218">
        <v>13.5</v>
      </c>
      <c r="R4218">
        <v>6.9000000000000057</v>
      </c>
      <c r="S4218" t="s">
        <v>180</v>
      </c>
    </row>
    <row r="4219" spans="1:19" x14ac:dyDescent="0.35">
      <c r="A4219">
        <v>142398</v>
      </c>
      <c r="B4219" t="str">
        <f>"142398"</f>
        <v>142398</v>
      </c>
      <c r="C4219" t="s">
        <v>12438</v>
      </c>
      <c r="D4219" t="s">
        <v>3398</v>
      </c>
      <c r="E4219" t="s">
        <v>3395</v>
      </c>
      <c r="F4219" t="s">
        <v>3396</v>
      </c>
      <c r="G4219" t="s">
        <v>212</v>
      </c>
      <c r="H4219" t="s">
        <v>12439</v>
      </c>
      <c r="I4219" t="s">
        <v>12440</v>
      </c>
      <c r="J4219" t="s">
        <v>215</v>
      </c>
      <c r="K4219" t="s">
        <v>55</v>
      </c>
      <c r="L4219" t="s">
        <v>5781</v>
      </c>
      <c r="M4219" t="s">
        <v>57</v>
      </c>
      <c r="N4219" t="str">
        <f>"043752"</f>
        <v>043752</v>
      </c>
      <c r="O4219" t="s">
        <v>440</v>
      </c>
      <c r="P4219" t="s">
        <v>68</v>
      </c>
      <c r="Q4219">
        <v>49.8</v>
      </c>
      <c r="R4219">
        <v>90</v>
      </c>
      <c r="S4219" t="s">
        <v>217</v>
      </c>
    </row>
    <row r="4220" spans="1:19" x14ac:dyDescent="0.35">
      <c r="A4220">
        <v>142406</v>
      </c>
      <c r="B4220" t="str">
        <f>"142406"</f>
        <v>142406</v>
      </c>
      <c r="C4220" t="s">
        <v>5152</v>
      </c>
      <c r="D4220" t="s">
        <v>3394</v>
      </c>
      <c r="E4220" t="s">
        <v>3395</v>
      </c>
      <c r="F4220" t="s">
        <v>3396</v>
      </c>
      <c r="G4220" t="s">
        <v>2304</v>
      </c>
      <c r="H4220" t="s">
        <v>12441</v>
      </c>
      <c r="I4220" t="s">
        <v>12442</v>
      </c>
      <c r="J4220" t="s">
        <v>2365</v>
      </c>
      <c r="K4220" t="s">
        <v>55</v>
      </c>
      <c r="L4220" t="s">
        <v>2366</v>
      </c>
      <c r="M4220" t="s">
        <v>57</v>
      </c>
      <c r="N4220" t="str">
        <f>"046714"</f>
        <v>046714</v>
      </c>
      <c r="O4220" t="s">
        <v>2362</v>
      </c>
      <c r="P4220" t="s">
        <v>68</v>
      </c>
      <c r="Q4220">
        <v>36.5</v>
      </c>
      <c r="R4220">
        <v>8.5</v>
      </c>
      <c r="S4220" t="s">
        <v>156</v>
      </c>
    </row>
    <row r="4221" spans="1:19" x14ac:dyDescent="0.35">
      <c r="A4221">
        <v>142505</v>
      </c>
      <c r="B4221" t="str">
        <f>"142505"</f>
        <v>142505</v>
      </c>
      <c r="C4221" t="s">
        <v>12443</v>
      </c>
      <c r="D4221" t="s">
        <v>3394</v>
      </c>
      <c r="E4221" t="s">
        <v>3395</v>
      </c>
      <c r="F4221" t="s">
        <v>3396</v>
      </c>
      <c r="G4221" t="s">
        <v>233</v>
      </c>
      <c r="H4221" t="s">
        <v>12444</v>
      </c>
      <c r="I4221" t="s">
        <v>12445</v>
      </c>
      <c r="J4221" t="s">
        <v>2261</v>
      </c>
      <c r="K4221" t="s">
        <v>55</v>
      </c>
      <c r="L4221" t="s">
        <v>2262</v>
      </c>
      <c r="M4221" t="s">
        <v>57</v>
      </c>
      <c r="N4221" t="str">
        <f>"043570"</f>
        <v>043570</v>
      </c>
      <c r="O4221" t="s">
        <v>2258</v>
      </c>
      <c r="P4221" t="s">
        <v>68</v>
      </c>
      <c r="Q4221">
        <v>57.4</v>
      </c>
      <c r="R4221">
        <v>14.900000000000006</v>
      </c>
      <c r="S4221" t="s">
        <v>130</v>
      </c>
    </row>
    <row r="4222" spans="1:19" x14ac:dyDescent="0.35">
      <c r="A4222">
        <v>142513</v>
      </c>
      <c r="B4222" t="str">
        <f>"142513"</f>
        <v>142513</v>
      </c>
      <c r="C4222" t="s">
        <v>12446</v>
      </c>
      <c r="D4222" t="s">
        <v>3400</v>
      </c>
      <c r="E4222" t="s">
        <v>3395</v>
      </c>
      <c r="F4222" t="s">
        <v>3396</v>
      </c>
      <c r="G4222" t="s">
        <v>233</v>
      </c>
      <c r="H4222" t="s">
        <v>12447</v>
      </c>
      <c r="I4222" t="s">
        <v>12448</v>
      </c>
      <c r="J4222" t="s">
        <v>2261</v>
      </c>
      <c r="K4222" t="s">
        <v>55</v>
      </c>
      <c r="L4222" t="s">
        <v>2262</v>
      </c>
      <c r="M4222" t="s">
        <v>57</v>
      </c>
      <c r="N4222" t="str">
        <f>"043570"</f>
        <v>043570</v>
      </c>
      <c r="O4222" t="s">
        <v>2258</v>
      </c>
      <c r="P4222" t="s">
        <v>68</v>
      </c>
      <c r="Q4222">
        <v>62.2</v>
      </c>
      <c r="R4222">
        <v>12.799999999999997</v>
      </c>
      <c r="S4222" t="s">
        <v>130</v>
      </c>
    </row>
    <row r="4223" spans="1:19" x14ac:dyDescent="0.35">
      <c r="A4223">
        <v>142554</v>
      </c>
      <c r="B4223" t="str">
        <f>"142554"</f>
        <v>142554</v>
      </c>
      <c r="C4223" t="s">
        <v>12449</v>
      </c>
      <c r="D4223" t="s">
        <v>3394</v>
      </c>
      <c r="E4223" t="s">
        <v>3395</v>
      </c>
      <c r="F4223" t="s">
        <v>3396</v>
      </c>
      <c r="G4223" t="s">
        <v>63</v>
      </c>
      <c r="H4223" t="s">
        <v>3948</v>
      </c>
      <c r="I4223" t="s">
        <v>284</v>
      </c>
      <c r="J4223" t="s">
        <v>3949</v>
      </c>
      <c r="K4223" t="s">
        <v>55</v>
      </c>
      <c r="L4223" t="s">
        <v>286</v>
      </c>
      <c r="M4223" t="s">
        <v>57</v>
      </c>
      <c r="N4223" t="str">
        <f>"046581"</f>
        <v>046581</v>
      </c>
      <c r="O4223" t="s">
        <v>282</v>
      </c>
      <c r="P4223" t="s">
        <v>68</v>
      </c>
      <c r="Q4223">
        <v>9.1</v>
      </c>
      <c r="R4223">
        <v>29.400000000000006</v>
      </c>
      <c r="S4223" t="s">
        <v>69</v>
      </c>
    </row>
    <row r="4224" spans="1:19" x14ac:dyDescent="0.35">
      <c r="A4224">
        <v>142638</v>
      </c>
      <c r="B4224" t="str">
        <f>"142638"</f>
        <v>142638</v>
      </c>
      <c r="C4224" t="s">
        <v>8943</v>
      </c>
      <c r="D4224" t="s">
        <v>3394</v>
      </c>
      <c r="E4224" t="s">
        <v>3395</v>
      </c>
      <c r="F4224" t="s">
        <v>3396</v>
      </c>
      <c r="G4224" t="s">
        <v>92</v>
      </c>
      <c r="H4224" t="s">
        <v>12450</v>
      </c>
      <c r="I4224" t="s">
        <v>12451</v>
      </c>
      <c r="J4224" t="s">
        <v>2295</v>
      </c>
      <c r="K4224" t="s">
        <v>55</v>
      </c>
      <c r="L4224" t="s">
        <v>2296</v>
      </c>
      <c r="M4224" t="s">
        <v>57</v>
      </c>
      <c r="N4224" t="str">
        <f>"046896"</f>
        <v>046896</v>
      </c>
      <c r="O4224" t="s">
        <v>2292</v>
      </c>
      <c r="P4224" t="s">
        <v>68</v>
      </c>
      <c r="Q4224">
        <v>33.799999999999997</v>
      </c>
      <c r="R4224">
        <v>49.7</v>
      </c>
      <c r="S4224" t="s">
        <v>60</v>
      </c>
    </row>
    <row r="4225" spans="1:19" x14ac:dyDescent="0.35">
      <c r="A4225">
        <v>142901</v>
      </c>
      <c r="B4225" t="str">
        <f>"142901"</f>
        <v>142901</v>
      </c>
      <c r="C4225" t="s">
        <v>12452</v>
      </c>
      <c r="D4225" t="s">
        <v>3398</v>
      </c>
      <c r="E4225" t="s">
        <v>12048</v>
      </c>
      <c r="F4225" t="s">
        <v>3396</v>
      </c>
      <c r="G4225" t="s">
        <v>117</v>
      </c>
      <c r="H4225" t="s">
        <v>12453</v>
      </c>
      <c r="I4225" t="s">
        <v>12454</v>
      </c>
      <c r="J4225" t="s">
        <v>1409</v>
      </c>
      <c r="K4225" t="s">
        <v>55</v>
      </c>
      <c r="L4225" t="s">
        <v>6784</v>
      </c>
      <c r="M4225" t="s">
        <v>57</v>
      </c>
      <c r="N4225" t="str">
        <f>"017102"</f>
        <v>017102</v>
      </c>
      <c r="O4225" t="s">
        <v>12455</v>
      </c>
      <c r="P4225" t="s">
        <v>68</v>
      </c>
      <c r="Q4225">
        <v>100</v>
      </c>
      <c r="R4225">
        <v>46.6</v>
      </c>
      <c r="S4225" t="s">
        <v>77</v>
      </c>
    </row>
    <row r="4226" spans="1:19" x14ac:dyDescent="0.35">
      <c r="A4226">
        <v>142901</v>
      </c>
      <c r="B4226" t="str">
        <f>"142901"</f>
        <v>142901</v>
      </c>
      <c r="C4226" t="s">
        <v>12452</v>
      </c>
      <c r="D4226" t="s">
        <v>12052</v>
      </c>
      <c r="E4226" t="s">
        <v>12048</v>
      </c>
      <c r="F4226" t="s">
        <v>3396</v>
      </c>
      <c r="G4226" t="s">
        <v>117</v>
      </c>
      <c r="H4226" t="s">
        <v>12453</v>
      </c>
      <c r="I4226" t="s">
        <v>12454</v>
      </c>
      <c r="J4226" t="s">
        <v>1409</v>
      </c>
      <c r="K4226" t="s">
        <v>55</v>
      </c>
      <c r="L4226" t="s">
        <v>6784</v>
      </c>
      <c r="M4226" t="s">
        <v>57</v>
      </c>
      <c r="N4226" t="str">
        <f>"017102"</f>
        <v>017102</v>
      </c>
      <c r="O4226" t="s">
        <v>12455</v>
      </c>
      <c r="P4226" t="s">
        <v>68</v>
      </c>
      <c r="Q4226">
        <v>100</v>
      </c>
      <c r="R4226">
        <v>46.6</v>
      </c>
      <c r="S4226" t="s">
        <v>77</v>
      </c>
    </row>
    <row r="4227" spans="1:19" x14ac:dyDescent="0.35">
      <c r="A4227">
        <v>142901</v>
      </c>
      <c r="B4227" t="str">
        <f>"142901"</f>
        <v>142901</v>
      </c>
      <c r="C4227" t="s">
        <v>12452</v>
      </c>
      <c r="D4227" t="s">
        <v>12063</v>
      </c>
      <c r="E4227" t="s">
        <v>12048</v>
      </c>
      <c r="F4227" t="s">
        <v>3396</v>
      </c>
      <c r="G4227" t="s">
        <v>117</v>
      </c>
      <c r="H4227" t="s">
        <v>12453</v>
      </c>
      <c r="I4227" t="s">
        <v>12454</v>
      </c>
      <c r="J4227" t="s">
        <v>1409</v>
      </c>
      <c r="K4227" t="s">
        <v>55</v>
      </c>
      <c r="L4227" t="s">
        <v>6784</v>
      </c>
      <c r="M4227" t="s">
        <v>57</v>
      </c>
      <c r="N4227" t="str">
        <f>"017102"</f>
        <v>017102</v>
      </c>
      <c r="O4227" t="s">
        <v>12455</v>
      </c>
      <c r="P4227" t="s">
        <v>68</v>
      </c>
      <c r="Q4227">
        <v>100</v>
      </c>
      <c r="R4227">
        <v>46.6</v>
      </c>
      <c r="S4227" t="s">
        <v>77</v>
      </c>
    </row>
    <row r="4228" spans="1:19" x14ac:dyDescent="0.35">
      <c r="A4228">
        <v>142919</v>
      </c>
      <c r="B4228" t="str">
        <f>"142919"</f>
        <v>142919</v>
      </c>
      <c r="C4228" t="s">
        <v>12456</v>
      </c>
      <c r="D4228" t="s">
        <v>3398</v>
      </c>
      <c r="E4228" t="s">
        <v>12048</v>
      </c>
      <c r="F4228" t="s">
        <v>3396</v>
      </c>
      <c r="G4228" t="s">
        <v>143</v>
      </c>
      <c r="H4228" t="s">
        <v>12457</v>
      </c>
      <c r="I4228" t="s">
        <v>12458</v>
      </c>
      <c r="J4228" t="s">
        <v>528</v>
      </c>
      <c r="K4228" t="s">
        <v>55</v>
      </c>
      <c r="L4228" t="s">
        <v>529</v>
      </c>
      <c r="M4228" t="s">
        <v>57</v>
      </c>
      <c r="N4228" t="str">
        <f>"016823"</f>
        <v>016823</v>
      </c>
      <c r="O4228" t="s">
        <v>12459</v>
      </c>
      <c r="P4228" t="s">
        <v>68</v>
      </c>
      <c r="Q4228">
        <v>99.4</v>
      </c>
      <c r="R4228">
        <v>60.3</v>
      </c>
      <c r="S4228" t="s">
        <v>69</v>
      </c>
    </row>
    <row r="4229" spans="1:19" x14ac:dyDescent="0.35">
      <c r="A4229">
        <v>142919</v>
      </c>
      <c r="B4229" t="str">
        <f>"142919"</f>
        <v>142919</v>
      </c>
      <c r="C4229" t="s">
        <v>12456</v>
      </c>
      <c r="D4229" t="s">
        <v>12052</v>
      </c>
      <c r="E4229" t="s">
        <v>12048</v>
      </c>
      <c r="F4229" t="s">
        <v>3396</v>
      </c>
      <c r="G4229" t="s">
        <v>143</v>
      </c>
      <c r="H4229" t="s">
        <v>12457</v>
      </c>
      <c r="I4229" t="s">
        <v>12458</v>
      </c>
      <c r="J4229" t="s">
        <v>528</v>
      </c>
      <c r="K4229" t="s">
        <v>55</v>
      </c>
      <c r="L4229" t="s">
        <v>529</v>
      </c>
      <c r="M4229" t="s">
        <v>57</v>
      </c>
      <c r="N4229" t="str">
        <f>"016823"</f>
        <v>016823</v>
      </c>
      <c r="O4229" t="s">
        <v>12459</v>
      </c>
      <c r="P4229" t="s">
        <v>68</v>
      </c>
      <c r="Q4229">
        <v>99.4</v>
      </c>
      <c r="R4229">
        <v>60.3</v>
      </c>
      <c r="S4229" t="s">
        <v>69</v>
      </c>
    </row>
    <row r="4230" spans="1:19" x14ac:dyDescent="0.35">
      <c r="A4230">
        <v>142919</v>
      </c>
      <c r="B4230" t="str">
        <f>"142919"</f>
        <v>142919</v>
      </c>
      <c r="C4230" t="s">
        <v>12456</v>
      </c>
      <c r="D4230" t="s">
        <v>12063</v>
      </c>
      <c r="E4230" t="s">
        <v>12048</v>
      </c>
      <c r="F4230" t="s">
        <v>3396</v>
      </c>
      <c r="G4230" t="s">
        <v>143</v>
      </c>
      <c r="H4230" t="s">
        <v>12457</v>
      </c>
      <c r="I4230" t="s">
        <v>12458</v>
      </c>
      <c r="J4230" t="s">
        <v>528</v>
      </c>
      <c r="K4230" t="s">
        <v>55</v>
      </c>
      <c r="L4230" t="s">
        <v>529</v>
      </c>
      <c r="M4230" t="s">
        <v>57</v>
      </c>
      <c r="N4230" t="str">
        <f>"016823"</f>
        <v>016823</v>
      </c>
      <c r="O4230" t="s">
        <v>12459</v>
      </c>
      <c r="P4230" t="s">
        <v>68</v>
      </c>
      <c r="Q4230">
        <v>99.4</v>
      </c>
      <c r="R4230">
        <v>60.3</v>
      </c>
      <c r="S4230" t="s">
        <v>69</v>
      </c>
    </row>
    <row r="4231" spans="1:19" x14ac:dyDescent="0.35">
      <c r="A4231">
        <v>142927</v>
      </c>
      <c r="B4231" t="str">
        <f>"142927"</f>
        <v>142927</v>
      </c>
      <c r="C4231" t="s">
        <v>12460</v>
      </c>
      <c r="D4231" t="s">
        <v>3398</v>
      </c>
      <c r="E4231" t="s">
        <v>12048</v>
      </c>
      <c r="F4231" t="s">
        <v>3396</v>
      </c>
      <c r="G4231" t="s">
        <v>600</v>
      </c>
      <c r="H4231" t="s">
        <v>12461</v>
      </c>
      <c r="I4231" t="s">
        <v>12462</v>
      </c>
      <c r="J4231" t="s">
        <v>1348</v>
      </c>
      <c r="K4231" t="s">
        <v>55</v>
      </c>
      <c r="L4231" t="s">
        <v>2733</v>
      </c>
      <c r="M4231" t="s">
        <v>57</v>
      </c>
      <c r="N4231" t="str">
        <f t="shared" ref="N4231:N4237" si="15">"014990"</f>
        <v>014990</v>
      </c>
      <c r="O4231" t="s">
        <v>12463</v>
      </c>
      <c r="P4231" t="s">
        <v>68</v>
      </c>
      <c r="Q4231">
        <v>100</v>
      </c>
      <c r="R4231">
        <v>46.5</v>
      </c>
      <c r="S4231" t="s">
        <v>60</v>
      </c>
    </row>
    <row r="4232" spans="1:19" x14ac:dyDescent="0.35">
      <c r="A4232">
        <v>142927</v>
      </c>
      <c r="B4232" t="str">
        <f>"142927"</f>
        <v>142927</v>
      </c>
      <c r="C4232" t="s">
        <v>12460</v>
      </c>
      <c r="D4232" t="s">
        <v>12052</v>
      </c>
      <c r="E4232" t="s">
        <v>12048</v>
      </c>
      <c r="F4232" t="s">
        <v>3396</v>
      </c>
      <c r="G4232" t="s">
        <v>600</v>
      </c>
      <c r="H4232" t="s">
        <v>12461</v>
      </c>
      <c r="I4232" t="s">
        <v>12462</v>
      </c>
      <c r="J4232" t="s">
        <v>1348</v>
      </c>
      <c r="K4232" t="s">
        <v>55</v>
      </c>
      <c r="L4232" t="s">
        <v>2733</v>
      </c>
      <c r="M4232" t="s">
        <v>57</v>
      </c>
      <c r="N4232" t="str">
        <f t="shared" si="15"/>
        <v>014990</v>
      </c>
      <c r="O4232" t="s">
        <v>12463</v>
      </c>
      <c r="P4232" t="s">
        <v>68</v>
      </c>
      <c r="Q4232">
        <v>100</v>
      </c>
      <c r="R4232">
        <v>46.5</v>
      </c>
      <c r="S4232" t="s">
        <v>60</v>
      </c>
    </row>
    <row r="4233" spans="1:19" x14ac:dyDescent="0.35">
      <c r="A4233">
        <v>142927</v>
      </c>
      <c r="B4233" t="str">
        <f>"142927"</f>
        <v>142927</v>
      </c>
      <c r="C4233" t="s">
        <v>12460</v>
      </c>
      <c r="D4233" t="s">
        <v>12063</v>
      </c>
      <c r="E4233" t="s">
        <v>12048</v>
      </c>
      <c r="F4233" t="s">
        <v>3396</v>
      </c>
      <c r="G4233" t="s">
        <v>600</v>
      </c>
      <c r="H4233" t="s">
        <v>12461</v>
      </c>
      <c r="I4233" t="s">
        <v>12462</v>
      </c>
      <c r="J4233" t="s">
        <v>1348</v>
      </c>
      <c r="K4233" t="s">
        <v>55</v>
      </c>
      <c r="L4233" t="s">
        <v>2733</v>
      </c>
      <c r="M4233" t="s">
        <v>57</v>
      </c>
      <c r="N4233" t="str">
        <f t="shared" si="15"/>
        <v>014990</v>
      </c>
      <c r="O4233" t="s">
        <v>12463</v>
      </c>
      <c r="P4233" t="s">
        <v>68</v>
      </c>
      <c r="Q4233">
        <v>100</v>
      </c>
      <c r="R4233">
        <v>46.5</v>
      </c>
      <c r="S4233" t="s">
        <v>60</v>
      </c>
    </row>
    <row r="4234" spans="1:19" x14ac:dyDescent="0.35">
      <c r="A4234">
        <v>142935</v>
      </c>
      <c r="B4234" t="str">
        <f>"142935"</f>
        <v>142935</v>
      </c>
      <c r="C4234" t="s">
        <v>12464</v>
      </c>
      <c r="D4234" t="s">
        <v>3398</v>
      </c>
      <c r="E4234" t="s">
        <v>12048</v>
      </c>
      <c r="F4234" t="s">
        <v>3396</v>
      </c>
      <c r="G4234" t="s">
        <v>600</v>
      </c>
      <c r="H4234" t="s">
        <v>12465</v>
      </c>
      <c r="I4234" t="s">
        <v>12466</v>
      </c>
      <c r="J4234" t="s">
        <v>1348</v>
      </c>
      <c r="K4234" t="s">
        <v>55</v>
      </c>
      <c r="L4234" t="s">
        <v>3568</v>
      </c>
      <c r="M4234" t="s">
        <v>57</v>
      </c>
      <c r="N4234" t="str">
        <f t="shared" si="15"/>
        <v>014990</v>
      </c>
      <c r="O4234" t="s">
        <v>12463</v>
      </c>
      <c r="P4234" t="s">
        <v>68</v>
      </c>
      <c r="Q4234">
        <v>100</v>
      </c>
      <c r="R4234">
        <v>78.599999999999994</v>
      </c>
      <c r="S4234" t="s">
        <v>60</v>
      </c>
    </row>
    <row r="4235" spans="1:19" x14ac:dyDescent="0.35">
      <c r="A4235">
        <v>142935</v>
      </c>
      <c r="B4235" t="str">
        <f>"142935"</f>
        <v>142935</v>
      </c>
      <c r="C4235" t="s">
        <v>12464</v>
      </c>
      <c r="D4235" t="s">
        <v>12052</v>
      </c>
      <c r="E4235" t="s">
        <v>12048</v>
      </c>
      <c r="F4235" t="s">
        <v>3396</v>
      </c>
      <c r="G4235" t="s">
        <v>600</v>
      </c>
      <c r="H4235" t="s">
        <v>12465</v>
      </c>
      <c r="I4235" t="s">
        <v>12466</v>
      </c>
      <c r="J4235" t="s">
        <v>1348</v>
      </c>
      <c r="K4235" t="s">
        <v>55</v>
      </c>
      <c r="L4235" t="s">
        <v>3568</v>
      </c>
      <c r="M4235" t="s">
        <v>57</v>
      </c>
      <c r="N4235" t="str">
        <f t="shared" si="15"/>
        <v>014990</v>
      </c>
      <c r="O4235" t="s">
        <v>12463</v>
      </c>
      <c r="P4235" t="s">
        <v>68</v>
      </c>
      <c r="Q4235">
        <v>100</v>
      </c>
      <c r="R4235">
        <v>78.599999999999994</v>
      </c>
      <c r="S4235" t="s">
        <v>60</v>
      </c>
    </row>
    <row r="4236" spans="1:19" x14ac:dyDescent="0.35">
      <c r="A4236">
        <v>142935</v>
      </c>
      <c r="B4236" t="str">
        <f>"142935"</f>
        <v>142935</v>
      </c>
      <c r="C4236" t="s">
        <v>12464</v>
      </c>
      <c r="D4236" t="s">
        <v>12063</v>
      </c>
      <c r="E4236" t="s">
        <v>12048</v>
      </c>
      <c r="F4236" t="s">
        <v>3396</v>
      </c>
      <c r="G4236" t="s">
        <v>600</v>
      </c>
      <c r="H4236" t="s">
        <v>12465</v>
      </c>
      <c r="I4236" t="s">
        <v>12466</v>
      </c>
      <c r="J4236" t="s">
        <v>1348</v>
      </c>
      <c r="K4236" t="s">
        <v>55</v>
      </c>
      <c r="L4236" t="s">
        <v>3568</v>
      </c>
      <c r="M4236" t="s">
        <v>57</v>
      </c>
      <c r="N4236" t="str">
        <f t="shared" si="15"/>
        <v>014990</v>
      </c>
      <c r="O4236" t="s">
        <v>12463</v>
      </c>
      <c r="P4236" t="s">
        <v>68</v>
      </c>
      <c r="Q4236">
        <v>100</v>
      </c>
      <c r="R4236">
        <v>78.599999999999994</v>
      </c>
      <c r="S4236" t="s">
        <v>60</v>
      </c>
    </row>
    <row r="4237" spans="1:19" x14ac:dyDescent="0.35">
      <c r="A4237">
        <v>142935</v>
      </c>
      <c r="B4237" t="str">
        <f>"142935"</f>
        <v>142935</v>
      </c>
      <c r="C4237" t="s">
        <v>12464</v>
      </c>
      <c r="D4237" t="s">
        <v>4572</v>
      </c>
      <c r="E4237" t="s">
        <v>12048</v>
      </c>
      <c r="F4237" t="s">
        <v>3396</v>
      </c>
      <c r="G4237" t="s">
        <v>600</v>
      </c>
      <c r="H4237" t="s">
        <v>12465</v>
      </c>
      <c r="I4237" t="s">
        <v>12466</v>
      </c>
      <c r="J4237" t="s">
        <v>1348</v>
      </c>
      <c r="K4237" t="s">
        <v>55</v>
      </c>
      <c r="L4237" t="s">
        <v>3568</v>
      </c>
      <c r="M4237" t="s">
        <v>57</v>
      </c>
      <c r="N4237" t="str">
        <f t="shared" si="15"/>
        <v>014990</v>
      </c>
      <c r="O4237" t="s">
        <v>12463</v>
      </c>
      <c r="P4237" t="s">
        <v>68</v>
      </c>
      <c r="Q4237">
        <v>100</v>
      </c>
      <c r="R4237">
        <v>78.599999999999994</v>
      </c>
      <c r="S4237" t="s">
        <v>60</v>
      </c>
    </row>
    <row r="4238" spans="1:19" x14ac:dyDescent="0.35">
      <c r="A4238">
        <v>142943</v>
      </c>
      <c r="B4238" t="str">
        <f>"142943"</f>
        <v>142943</v>
      </c>
      <c r="C4238" t="s">
        <v>12467</v>
      </c>
      <c r="D4238" t="s">
        <v>3394</v>
      </c>
      <c r="E4238" t="s">
        <v>12048</v>
      </c>
      <c r="F4238" t="s">
        <v>3396</v>
      </c>
      <c r="G4238" t="s">
        <v>600</v>
      </c>
      <c r="H4238" t="s">
        <v>12468</v>
      </c>
      <c r="I4238" t="s">
        <v>12469</v>
      </c>
      <c r="J4238" t="s">
        <v>1348</v>
      </c>
      <c r="K4238" t="s">
        <v>55</v>
      </c>
      <c r="L4238" t="s">
        <v>3462</v>
      </c>
      <c r="M4238" t="s">
        <v>57</v>
      </c>
      <c r="N4238" t="str">
        <f>"019254"</f>
        <v>019254</v>
      </c>
      <c r="O4238" t="s">
        <v>12470</v>
      </c>
      <c r="P4238" t="s">
        <v>68</v>
      </c>
      <c r="Q4238">
        <v>98.8</v>
      </c>
      <c r="R4238">
        <v>100</v>
      </c>
      <c r="S4238" t="s">
        <v>60</v>
      </c>
    </row>
    <row r="4239" spans="1:19" x14ac:dyDescent="0.35">
      <c r="A4239">
        <v>142943</v>
      </c>
      <c r="B4239" t="str">
        <f>"142943"</f>
        <v>142943</v>
      </c>
      <c r="C4239" t="s">
        <v>12467</v>
      </c>
      <c r="D4239" t="s">
        <v>12471</v>
      </c>
      <c r="E4239" t="s">
        <v>12048</v>
      </c>
      <c r="F4239" t="s">
        <v>3396</v>
      </c>
      <c r="G4239" t="s">
        <v>600</v>
      </c>
      <c r="H4239" t="s">
        <v>12468</v>
      </c>
      <c r="I4239" t="s">
        <v>12469</v>
      </c>
      <c r="J4239" t="s">
        <v>1348</v>
      </c>
      <c r="K4239" t="s">
        <v>55</v>
      </c>
      <c r="L4239" t="s">
        <v>3462</v>
      </c>
      <c r="M4239" t="s">
        <v>57</v>
      </c>
      <c r="N4239" t="str">
        <f>"019254"</f>
        <v>019254</v>
      </c>
      <c r="O4239" t="s">
        <v>12470</v>
      </c>
      <c r="P4239" t="s">
        <v>68</v>
      </c>
      <c r="Q4239">
        <v>98.8</v>
      </c>
      <c r="R4239">
        <v>100</v>
      </c>
      <c r="S4239" t="s">
        <v>60</v>
      </c>
    </row>
    <row r="4240" spans="1:19" x14ac:dyDescent="0.35">
      <c r="A4240">
        <v>142950</v>
      </c>
      <c r="B4240" t="str">
        <f>"142950"</f>
        <v>142950</v>
      </c>
      <c r="C4240" t="s">
        <v>12472</v>
      </c>
      <c r="D4240" t="s">
        <v>3398</v>
      </c>
      <c r="E4240" t="s">
        <v>12048</v>
      </c>
      <c r="F4240" t="s">
        <v>3396</v>
      </c>
      <c r="G4240" t="s">
        <v>200</v>
      </c>
      <c r="H4240" t="s">
        <v>12473</v>
      </c>
      <c r="I4240" t="s">
        <v>12474</v>
      </c>
      <c r="J4240" t="s">
        <v>3036</v>
      </c>
      <c r="K4240" t="s">
        <v>55</v>
      </c>
      <c r="L4240" t="s">
        <v>3037</v>
      </c>
      <c r="M4240" t="s">
        <v>57</v>
      </c>
      <c r="N4240" t="str">
        <f>"014982"</f>
        <v>014982</v>
      </c>
      <c r="O4240" t="s">
        <v>12475</v>
      </c>
      <c r="P4240" t="s">
        <v>68</v>
      </c>
      <c r="Q4240">
        <v>60.7</v>
      </c>
      <c r="R4240">
        <v>34.400000000000006</v>
      </c>
      <c r="S4240" t="s">
        <v>156</v>
      </c>
    </row>
    <row r="4241" spans="1:19" x14ac:dyDescent="0.35">
      <c r="A4241">
        <v>142950</v>
      </c>
      <c r="B4241" t="str">
        <f>"142950"</f>
        <v>142950</v>
      </c>
      <c r="C4241" t="s">
        <v>12472</v>
      </c>
      <c r="D4241" t="s">
        <v>12052</v>
      </c>
      <c r="E4241" t="s">
        <v>12048</v>
      </c>
      <c r="F4241" t="s">
        <v>3396</v>
      </c>
      <c r="G4241" t="s">
        <v>200</v>
      </c>
      <c r="H4241" t="s">
        <v>12473</v>
      </c>
      <c r="I4241" t="s">
        <v>12474</v>
      </c>
      <c r="J4241" t="s">
        <v>3036</v>
      </c>
      <c r="K4241" t="s">
        <v>55</v>
      </c>
      <c r="L4241" t="s">
        <v>3037</v>
      </c>
      <c r="M4241" t="s">
        <v>57</v>
      </c>
      <c r="N4241" t="str">
        <f>"014982"</f>
        <v>014982</v>
      </c>
      <c r="O4241" t="s">
        <v>12475</v>
      </c>
      <c r="P4241" t="s">
        <v>68</v>
      </c>
      <c r="Q4241">
        <v>60.7</v>
      </c>
      <c r="R4241">
        <v>34.400000000000006</v>
      </c>
      <c r="S4241" t="s">
        <v>156</v>
      </c>
    </row>
    <row r="4242" spans="1:19" x14ac:dyDescent="0.35">
      <c r="A4242">
        <v>142950</v>
      </c>
      <c r="B4242" t="str">
        <f>"142950"</f>
        <v>142950</v>
      </c>
      <c r="C4242" t="s">
        <v>12472</v>
      </c>
      <c r="D4242" t="s">
        <v>12476</v>
      </c>
      <c r="E4242" t="s">
        <v>12048</v>
      </c>
      <c r="F4242" t="s">
        <v>3396</v>
      </c>
      <c r="G4242" t="s">
        <v>200</v>
      </c>
      <c r="H4242" t="s">
        <v>12473</v>
      </c>
      <c r="I4242" t="s">
        <v>12474</v>
      </c>
      <c r="J4242" t="s">
        <v>3036</v>
      </c>
      <c r="K4242" t="s">
        <v>55</v>
      </c>
      <c r="L4242" t="s">
        <v>3037</v>
      </c>
      <c r="M4242" t="s">
        <v>57</v>
      </c>
      <c r="N4242" t="str">
        <f>"014982"</f>
        <v>014982</v>
      </c>
      <c r="O4242" t="s">
        <v>12475</v>
      </c>
      <c r="P4242" t="s">
        <v>68</v>
      </c>
      <c r="Q4242">
        <v>60.7</v>
      </c>
      <c r="R4242">
        <v>34.400000000000006</v>
      </c>
      <c r="S4242" t="s">
        <v>156</v>
      </c>
    </row>
    <row r="4243" spans="1:19" x14ac:dyDescent="0.35">
      <c r="A4243">
        <v>142968</v>
      </c>
      <c r="B4243" t="str">
        <f>"142968"</f>
        <v>142968</v>
      </c>
      <c r="C4243" t="s">
        <v>12477</v>
      </c>
      <c r="D4243" t="s">
        <v>3394</v>
      </c>
      <c r="E4243" t="s">
        <v>12048</v>
      </c>
      <c r="F4243" t="s">
        <v>3396</v>
      </c>
      <c r="G4243" t="s">
        <v>63</v>
      </c>
      <c r="H4243" t="s">
        <v>12478</v>
      </c>
      <c r="I4243" t="s">
        <v>12479</v>
      </c>
      <c r="J4243" t="s">
        <v>285</v>
      </c>
      <c r="K4243" t="s">
        <v>55</v>
      </c>
      <c r="L4243" t="s">
        <v>4335</v>
      </c>
      <c r="M4243" t="s">
        <v>57</v>
      </c>
      <c r="N4243" t="str">
        <f>"015427"</f>
        <v>015427</v>
      </c>
      <c r="O4243" t="s">
        <v>12157</v>
      </c>
      <c r="P4243" t="s">
        <v>68</v>
      </c>
      <c r="Q4243">
        <v>99.7</v>
      </c>
      <c r="R4243">
        <v>86.8</v>
      </c>
      <c r="S4243" t="s">
        <v>69</v>
      </c>
    </row>
    <row r="4244" spans="1:19" x14ac:dyDescent="0.35">
      <c r="A4244">
        <v>142968</v>
      </c>
      <c r="B4244" t="str">
        <f>"142968"</f>
        <v>142968</v>
      </c>
      <c r="C4244" t="s">
        <v>12477</v>
      </c>
      <c r="D4244" t="s">
        <v>12052</v>
      </c>
      <c r="E4244" t="s">
        <v>12048</v>
      </c>
      <c r="F4244" t="s">
        <v>3396</v>
      </c>
      <c r="G4244" t="s">
        <v>63</v>
      </c>
      <c r="H4244" t="s">
        <v>12478</v>
      </c>
      <c r="I4244" t="s">
        <v>12479</v>
      </c>
      <c r="J4244" t="s">
        <v>285</v>
      </c>
      <c r="K4244" t="s">
        <v>55</v>
      </c>
      <c r="L4244" t="s">
        <v>4335</v>
      </c>
      <c r="M4244" t="s">
        <v>57</v>
      </c>
      <c r="N4244" t="str">
        <f>"015427"</f>
        <v>015427</v>
      </c>
      <c r="O4244" t="s">
        <v>12157</v>
      </c>
      <c r="P4244" t="s">
        <v>68</v>
      </c>
      <c r="Q4244">
        <v>99.7</v>
      </c>
      <c r="R4244">
        <v>86.8</v>
      </c>
      <c r="S4244" t="s">
        <v>69</v>
      </c>
    </row>
    <row r="4245" spans="1:19" x14ac:dyDescent="0.35">
      <c r="A4245">
        <v>143008</v>
      </c>
      <c r="B4245" t="str">
        <f>"143008"</f>
        <v>143008</v>
      </c>
      <c r="C4245" t="s">
        <v>12480</v>
      </c>
      <c r="D4245" t="s">
        <v>3398</v>
      </c>
      <c r="E4245" t="s">
        <v>9538</v>
      </c>
      <c r="F4245" t="s">
        <v>3396</v>
      </c>
      <c r="G4245" t="s">
        <v>226</v>
      </c>
      <c r="H4245" t="s">
        <v>12481</v>
      </c>
      <c r="I4245" t="s">
        <v>12482</v>
      </c>
      <c r="J4245" t="s">
        <v>810</v>
      </c>
      <c r="K4245" t="s">
        <v>55</v>
      </c>
      <c r="L4245" t="s">
        <v>811</v>
      </c>
      <c r="M4245" t="s">
        <v>57</v>
      </c>
      <c r="N4245" t="str">
        <f>"143008"</f>
        <v>143008</v>
      </c>
      <c r="O4245" t="s">
        <v>12480</v>
      </c>
      <c r="P4245" t="s">
        <v>68</v>
      </c>
      <c r="Q4245" t="s">
        <v>68</v>
      </c>
      <c r="R4245" t="s">
        <v>68</v>
      </c>
      <c r="S4245" t="s">
        <v>156</v>
      </c>
    </row>
    <row r="4246" spans="1:19" x14ac:dyDescent="0.35">
      <c r="A4246">
        <v>143032</v>
      </c>
      <c r="B4246" t="str">
        <f>"143032"</f>
        <v>143032</v>
      </c>
      <c r="C4246" t="s">
        <v>12483</v>
      </c>
      <c r="D4246" t="s">
        <v>3394</v>
      </c>
      <c r="E4246" t="s">
        <v>9538</v>
      </c>
      <c r="F4246" t="s">
        <v>3396</v>
      </c>
      <c r="G4246" t="s">
        <v>600</v>
      </c>
      <c r="H4246" t="s">
        <v>12484</v>
      </c>
      <c r="I4246" t="s">
        <v>12485</v>
      </c>
      <c r="J4246" t="s">
        <v>1956</v>
      </c>
      <c r="K4246" t="s">
        <v>55</v>
      </c>
      <c r="L4246" t="s">
        <v>7495</v>
      </c>
      <c r="M4246" t="s">
        <v>57</v>
      </c>
      <c r="N4246" t="str">
        <f>"143032"</f>
        <v>143032</v>
      </c>
      <c r="O4246" t="s">
        <v>12483</v>
      </c>
      <c r="P4246" t="s">
        <v>68</v>
      </c>
      <c r="Q4246" t="s">
        <v>68</v>
      </c>
      <c r="R4246" t="s">
        <v>68</v>
      </c>
      <c r="S4246" t="s">
        <v>60</v>
      </c>
    </row>
    <row r="4247" spans="1:19" x14ac:dyDescent="0.35">
      <c r="A4247">
        <v>143032</v>
      </c>
      <c r="B4247" t="str">
        <f>"143032"</f>
        <v>143032</v>
      </c>
      <c r="C4247" t="s">
        <v>12483</v>
      </c>
      <c r="D4247" t="s">
        <v>9541</v>
      </c>
      <c r="E4247" t="s">
        <v>9538</v>
      </c>
      <c r="F4247" t="s">
        <v>3396</v>
      </c>
      <c r="G4247" t="s">
        <v>600</v>
      </c>
      <c r="H4247" t="s">
        <v>12484</v>
      </c>
      <c r="I4247" t="s">
        <v>12485</v>
      </c>
      <c r="J4247" t="s">
        <v>1956</v>
      </c>
      <c r="K4247" t="s">
        <v>55</v>
      </c>
      <c r="L4247" t="s">
        <v>7495</v>
      </c>
      <c r="M4247" t="s">
        <v>57</v>
      </c>
      <c r="N4247" t="str">
        <f>"143032"</f>
        <v>143032</v>
      </c>
      <c r="O4247" t="s">
        <v>12483</v>
      </c>
      <c r="P4247" t="s">
        <v>68</v>
      </c>
      <c r="Q4247" t="s">
        <v>68</v>
      </c>
      <c r="R4247" t="s">
        <v>68</v>
      </c>
      <c r="S4247" t="s">
        <v>60</v>
      </c>
    </row>
    <row r="4248" spans="1:19" x14ac:dyDescent="0.35">
      <c r="A4248">
        <v>143040</v>
      </c>
      <c r="B4248" t="str">
        <f>"143040"</f>
        <v>143040</v>
      </c>
      <c r="C4248" t="s">
        <v>12486</v>
      </c>
      <c r="D4248" t="s">
        <v>3394</v>
      </c>
      <c r="E4248" t="s">
        <v>9538</v>
      </c>
      <c r="F4248" t="s">
        <v>3396</v>
      </c>
      <c r="G4248" t="s">
        <v>642</v>
      </c>
      <c r="H4248" t="s">
        <v>12487</v>
      </c>
      <c r="I4248" t="s">
        <v>12488</v>
      </c>
      <c r="J4248" t="s">
        <v>1461</v>
      </c>
      <c r="K4248" t="s">
        <v>55</v>
      </c>
      <c r="L4248" t="s">
        <v>1462</v>
      </c>
      <c r="M4248" t="s">
        <v>57</v>
      </c>
      <c r="N4248" t="str">
        <f>"052597"</f>
        <v>052597</v>
      </c>
      <c r="O4248" t="s">
        <v>2565</v>
      </c>
      <c r="P4248" t="s">
        <v>68</v>
      </c>
      <c r="Q4248" t="s">
        <v>68</v>
      </c>
      <c r="R4248" t="s">
        <v>68</v>
      </c>
      <c r="S4248" t="s">
        <v>180</v>
      </c>
    </row>
    <row r="4249" spans="1:19" x14ac:dyDescent="0.35">
      <c r="A4249">
        <v>143081</v>
      </c>
      <c r="B4249" t="str">
        <f>"143081"</f>
        <v>143081</v>
      </c>
      <c r="C4249" t="s">
        <v>12489</v>
      </c>
      <c r="D4249" t="s">
        <v>3398</v>
      </c>
      <c r="E4249" t="s">
        <v>9538</v>
      </c>
      <c r="F4249" t="s">
        <v>3396</v>
      </c>
      <c r="G4249" t="s">
        <v>63</v>
      </c>
      <c r="H4249" t="s">
        <v>12490</v>
      </c>
      <c r="I4249" t="s">
        <v>12491</v>
      </c>
      <c r="J4249" t="s">
        <v>3031</v>
      </c>
      <c r="K4249" t="s">
        <v>55</v>
      </c>
      <c r="L4249" t="s">
        <v>3032</v>
      </c>
      <c r="M4249" t="s">
        <v>57</v>
      </c>
      <c r="N4249" t="str">
        <f>"135335"</f>
        <v>135335</v>
      </c>
      <c r="O4249" t="s">
        <v>1841</v>
      </c>
      <c r="P4249" t="s">
        <v>68</v>
      </c>
      <c r="Q4249" t="s">
        <v>68</v>
      </c>
      <c r="R4249" t="s">
        <v>68</v>
      </c>
      <c r="S4249" t="s">
        <v>69</v>
      </c>
    </row>
    <row r="4250" spans="1:19" x14ac:dyDescent="0.35">
      <c r="A4250">
        <v>143099</v>
      </c>
      <c r="B4250" t="str">
        <f>"143099"</f>
        <v>143099</v>
      </c>
      <c r="C4250" t="s">
        <v>12492</v>
      </c>
      <c r="D4250" t="s">
        <v>3394</v>
      </c>
      <c r="E4250" t="s">
        <v>9538</v>
      </c>
      <c r="F4250" t="s">
        <v>3396</v>
      </c>
      <c r="G4250" t="s">
        <v>172</v>
      </c>
      <c r="H4250" t="s">
        <v>12493</v>
      </c>
      <c r="I4250" t="s">
        <v>12494</v>
      </c>
      <c r="J4250" t="s">
        <v>2604</v>
      </c>
      <c r="K4250" t="s">
        <v>55</v>
      </c>
      <c r="L4250" t="s">
        <v>2605</v>
      </c>
      <c r="M4250" t="s">
        <v>57</v>
      </c>
      <c r="N4250" t="str">
        <f>"143099"</f>
        <v>143099</v>
      </c>
      <c r="O4250" t="s">
        <v>12492</v>
      </c>
      <c r="P4250" t="s">
        <v>68</v>
      </c>
      <c r="Q4250" t="s">
        <v>68</v>
      </c>
      <c r="R4250" t="s">
        <v>68</v>
      </c>
      <c r="S4250" t="s">
        <v>217</v>
      </c>
    </row>
    <row r="4251" spans="1:19" x14ac:dyDescent="0.35">
      <c r="A4251">
        <v>143172</v>
      </c>
      <c r="B4251" t="str">
        <f>"143172"</f>
        <v>143172</v>
      </c>
      <c r="C4251" t="s">
        <v>12495</v>
      </c>
      <c r="D4251" t="s">
        <v>3394</v>
      </c>
      <c r="E4251" t="s">
        <v>12048</v>
      </c>
      <c r="F4251" t="s">
        <v>3396</v>
      </c>
      <c r="G4251" t="s">
        <v>600</v>
      </c>
      <c r="H4251" t="s">
        <v>12496</v>
      </c>
      <c r="I4251" t="s">
        <v>12497</v>
      </c>
      <c r="J4251" t="s">
        <v>1348</v>
      </c>
      <c r="K4251" t="s">
        <v>55</v>
      </c>
      <c r="L4251" t="s">
        <v>3462</v>
      </c>
      <c r="M4251" t="s">
        <v>57</v>
      </c>
      <c r="N4251" t="str">
        <f>"N/A"</f>
        <v>N/A</v>
      </c>
      <c r="O4251" t="s">
        <v>49</v>
      </c>
      <c r="P4251" t="s">
        <v>68</v>
      </c>
      <c r="Q4251">
        <v>99.7</v>
      </c>
      <c r="R4251">
        <v>85</v>
      </c>
      <c r="S4251" t="s">
        <v>60</v>
      </c>
    </row>
    <row r="4252" spans="1:19" x14ac:dyDescent="0.35">
      <c r="A4252">
        <v>143172</v>
      </c>
      <c r="B4252" t="str">
        <f>"143172"</f>
        <v>143172</v>
      </c>
      <c r="C4252" t="s">
        <v>12495</v>
      </c>
      <c r="D4252" t="s">
        <v>12052</v>
      </c>
      <c r="E4252" t="s">
        <v>12048</v>
      </c>
      <c r="F4252" t="s">
        <v>3396</v>
      </c>
      <c r="G4252" t="s">
        <v>600</v>
      </c>
      <c r="H4252" t="s">
        <v>12496</v>
      </c>
      <c r="I4252" t="s">
        <v>12497</v>
      </c>
      <c r="J4252" t="s">
        <v>1348</v>
      </c>
      <c r="K4252" t="s">
        <v>55</v>
      </c>
      <c r="L4252" t="s">
        <v>3462</v>
      </c>
      <c r="M4252" t="s">
        <v>57</v>
      </c>
      <c r="N4252" t="str">
        <f>"N/A"</f>
        <v>N/A</v>
      </c>
      <c r="O4252" t="s">
        <v>49</v>
      </c>
      <c r="P4252" t="s">
        <v>68</v>
      </c>
      <c r="Q4252">
        <v>99.7</v>
      </c>
      <c r="R4252">
        <v>85</v>
      </c>
      <c r="S4252" t="s">
        <v>60</v>
      </c>
    </row>
    <row r="4253" spans="1:19" x14ac:dyDescent="0.35">
      <c r="A4253">
        <v>143198</v>
      </c>
      <c r="B4253" t="str">
        <f>"143198"</f>
        <v>143198</v>
      </c>
      <c r="C4253" t="s">
        <v>12498</v>
      </c>
      <c r="D4253" t="s">
        <v>3394</v>
      </c>
      <c r="E4253" t="s">
        <v>12048</v>
      </c>
      <c r="F4253" t="s">
        <v>3396</v>
      </c>
      <c r="G4253" t="s">
        <v>600</v>
      </c>
      <c r="H4253" t="s">
        <v>12499</v>
      </c>
      <c r="I4253" t="s">
        <v>12500</v>
      </c>
      <c r="J4253" t="s">
        <v>1348</v>
      </c>
      <c r="K4253" t="s">
        <v>55</v>
      </c>
      <c r="L4253" t="s">
        <v>3854</v>
      </c>
      <c r="M4253" t="s">
        <v>57</v>
      </c>
      <c r="N4253" t="str">
        <f>"014995"</f>
        <v>014995</v>
      </c>
      <c r="O4253" t="s">
        <v>12501</v>
      </c>
      <c r="P4253" t="s">
        <v>68</v>
      </c>
      <c r="Q4253">
        <v>100</v>
      </c>
      <c r="R4253">
        <v>86</v>
      </c>
      <c r="S4253" t="s">
        <v>60</v>
      </c>
    </row>
    <row r="4254" spans="1:19" x14ac:dyDescent="0.35">
      <c r="A4254">
        <v>143198</v>
      </c>
      <c r="B4254" t="str">
        <f>"143198"</f>
        <v>143198</v>
      </c>
      <c r="C4254" t="s">
        <v>12498</v>
      </c>
      <c r="D4254" t="s">
        <v>12052</v>
      </c>
      <c r="E4254" t="s">
        <v>12048</v>
      </c>
      <c r="F4254" t="s">
        <v>3396</v>
      </c>
      <c r="G4254" t="s">
        <v>600</v>
      </c>
      <c r="H4254" t="s">
        <v>12499</v>
      </c>
      <c r="I4254" t="s">
        <v>12500</v>
      </c>
      <c r="J4254" t="s">
        <v>1348</v>
      </c>
      <c r="K4254" t="s">
        <v>55</v>
      </c>
      <c r="L4254" t="s">
        <v>3854</v>
      </c>
      <c r="M4254" t="s">
        <v>57</v>
      </c>
      <c r="N4254" t="str">
        <f>"014995"</f>
        <v>014995</v>
      </c>
      <c r="O4254" t="s">
        <v>12501</v>
      </c>
      <c r="P4254" t="s">
        <v>68</v>
      </c>
      <c r="Q4254">
        <v>100</v>
      </c>
      <c r="R4254">
        <v>86</v>
      </c>
      <c r="S4254" t="s">
        <v>60</v>
      </c>
    </row>
    <row r="4255" spans="1:19" x14ac:dyDescent="0.35">
      <c r="A4255">
        <v>143206</v>
      </c>
      <c r="B4255" t="str">
        <f>"143206"</f>
        <v>143206</v>
      </c>
      <c r="C4255" t="s">
        <v>12502</v>
      </c>
      <c r="D4255" t="s">
        <v>3394</v>
      </c>
      <c r="E4255" t="s">
        <v>12048</v>
      </c>
      <c r="F4255" t="s">
        <v>3396</v>
      </c>
      <c r="G4255" t="s">
        <v>543</v>
      </c>
      <c r="H4255" t="s">
        <v>12503</v>
      </c>
      <c r="I4255" t="s">
        <v>12504</v>
      </c>
      <c r="J4255" t="s">
        <v>546</v>
      </c>
      <c r="K4255" t="s">
        <v>55</v>
      </c>
      <c r="L4255" t="s">
        <v>547</v>
      </c>
      <c r="M4255" t="s">
        <v>57</v>
      </c>
      <c r="N4255" t="str">
        <f>"014997"</f>
        <v>014997</v>
      </c>
      <c r="O4255" t="s">
        <v>12505</v>
      </c>
      <c r="P4255" t="s">
        <v>68</v>
      </c>
      <c r="Q4255">
        <v>100</v>
      </c>
      <c r="R4255">
        <v>100</v>
      </c>
      <c r="S4255" t="s">
        <v>180</v>
      </c>
    </row>
    <row r="4256" spans="1:19" x14ac:dyDescent="0.35">
      <c r="A4256">
        <v>143206</v>
      </c>
      <c r="B4256" t="str">
        <f>"143206"</f>
        <v>143206</v>
      </c>
      <c r="C4256" t="s">
        <v>12502</v>
      </c>
      <c r="D4256" t="s">
        <v>12052</v>
      </c>
      <c r="E4256" t="s">
        <v>12048</v>
      </c>
      <c r="F4256" t="s">
        <v>3396</v>
      </c>
      <c r="G4256" t="s">
        <v>543</v>
      </c>
      <c r="H4256" t="s">
        <v>12503</v>
      </c>
      <c r="I4256" t="s">
        <v>12504</v>
      </c>
      <c r="J4256" t="s">
        <v>546</v>
      </c>
      <c r="K4256" t="s">
        <v>55</v>
      </c>
      <c r="L4256" t="s">
        <v>547</v>
      </c>
      <c r="M4256" t="s">
        <v>57</v>
      </c>
      <c r="N4256" t="str">
        <f>"014997"</f>
        <v>014997</v>
      </c>
      <c r="O4256" t="s">
        <v>12505</v>
      </c>
      <c r="P4256" t="s">
        <v>68</v>
      </c>
      <c r="Q4256">
        <v>100</v>
      </c>
      <c r="R4256">
        <v>100</v>
      </c>
      <c r="S4256" t="s">
        <v>180</v>
      </c>
    </row>
    <row r="4257" spans="1:19" x14ac:dyDescent="0.35">
      <c r="A4257">
        <v>143214</v>
      </c>
      <c r="B4257" t="str">
        <f>"143214"</f>
        <v>143214</v>
      </c>
      <c r="C4257" t="s">
        <v>12506</v>
      </c>
      <c r="D4257" t="s">
        <v>3394</v>
      </c>
      <c r="E4257" t="s">
        <v>12048</v>
      </c>
      <c r="F4257" t="s">
        <v>3396</v>
      </c>
      <c r="G4257" t="s">
        <v>244</v>
      </c>
      <c r="H4257" t="s">
        <v>12507</v>
      </c>
      <c r="I4257" t="s">
        <v>12508</v>
      </c>
      <c r="J4257" t="s">
        <v>1179</v>
      </c>
      <c r="K4257" t="s">
        <v>55</v>
      </c>
      <c r="L4257" t="s">
        <v>3475</v>
      </c>
      <c r="M4257" t="s">
        <v>57</v>
      </c>
      <c r="N4257" t="str">
        <f>"014997"</f>
        <v>014997</v>
      </c>
      <c r="O4257" t="s">
        <v>12505</v>
      </c>
      <c r="P4257" t="s">
        <v>68</v>
      </c>
      <c r="Q4257">
        <v>100</v>
      </c>
      <c r="R4257">
        <v>86.3</v>
      </c>
      <c r="S4257" t="s">
        <v>217</v>
      </c>
    </row>
    <row r="4258" spans="1:19" x14ac:dyDescent="0.35">
      <c r="A4258">
        <v>143214</v>
      </c>
      <c r="B4258" t="str">
        <f>"143214"</f>
        <v>143214</v>
      </c>
      <c r="C4258" t="s">
        <v>12506</v>
      </c>
      <c r="D4258" t="s">
        <v>12052</v>
      </c>
      <c r="E4258" t="s">
        <v>12048</v>
      </c>
      <c r="F4258" t="s">
        <v>3396</v>
      </c>
      <c r="G4258" t="s">
        <v>244</v>
      </c>
      <c r="H4258" t="s">
        <v>12507</v>
      </c>
      <c r="I4258" t="s">
        <v>12508</v>
      </c>
      <c r="J4258" t="s">
        <v>1179</v>
      </c>
      <c r="K4258" t="s">
        <v>55</v>
      </c>
      <c r="L4258" t="s">
        <v>3475</v>
      </c>
      <c r="M4258" t="s">
        <v>57</v>
      </c>
      <c r="N4258" t="str">
        <f>"014997"</f>
        <v>014997</v>
      </c>
      <c r="O4258" t="s">
        <v>12505</v>
      </c>
      <c r="P4258" t="s">
        <v>68</v>
      </c>
      <c r="Q4258">
        <v>100</v>
      </c>
      <c r="R4258">
        <v>86.3</v>
      </c>
      <c r="S4258" t="s">
        <v>217</v>
      </c>
    </row>
    <row r="4259" spans="1:19" x14ac:dyDescent="0.35">
      <c r="A4259">
        <v>143230</v>
      </c>
      <c r="B4259" t="str">
        <f>"143230"</f>
        <v>143230</v>
      </c>
      <c r="C4259" t="s">
        <v>12509</v>
      </c>
      <c r="D4259" t="s">
        <v>3394</v>
      </c>
      <c r="E4259" t="s">
        <v>9538</v>
      </c>
      <c r="F4259" t="s">
        <v>3396</v>
      </c>
      <c r="G4259" t="s">
        <v>226</v>
      </c>
      <c r="H4259" t="s">
        <v>12510</v>
      </c>
      <c r="I4259" t="s">
        <v>12511</v>
      </c>
      <c r="J4259" t="s">
        <v>944</v>
      </c>
      <c r="K4259" t="s">
        <v>55</v>
      </c>
      <c r="L4259" t="s">
        <v>945</v>
      </c>
      <c r="M4259" t="s">
        <v>57</v>
      </c>
      <c r="N4259" t="str">
        <f>"143230"</f>
        <v>143230</v>
      </c>
      <c r="O4259" t="s">
        <v>12509</v>
      </c>
      <c r="P4259" t="s">
        <v>68</v>
      </c>
      <c r="Q4259" t="s">
        <v>68</v>
      </c>
      <c r="R4259" t="s">
        <v>68</v>
      </c>
      <c r="S4259" t="s">
        <v>156</v>
      </c>
    </row>
    <row r="4260" spans="1:19" x14ac:dyDescent="0.35">
      <c r="A4260">
        <v>143248</v>
      </c>
      <c r="B4260" t="str">
        <f>"143248"</f>
        <v>143248</v>
      </c>
      <c r="C4260" t="s">
        <v>12512</v>
      </c>
      <c r="D4260" t="s">
        <v>3394</v>
      </c>
      <c r="E4260" t="s">
        <v>9538</v>
      </c>
      <c r="F4260" t="s">
        <v>3396</v>
      </c>
      <c r="G4260" t="s">
        <v>264</v>
      </c>
      <c r="H4260" t="s">
        <v>12513</v>
      </c>
      <c r="I4260" t="s">
        <v>12514</v>
      </c>
      <c r="J4260" t="s">
        <v>2497</v>
      </c>
      <c r="K4260" t="s">
        <v>55</v>
      </c>
      <c r="L4260" t="s">
        <v>1211</v>
      </c>
      <c r="M4260" t="s">
        <v>57</v>
      </c>
      <c r="N4260" t="str">
        <f>"143248"</f>
        <v>143248</v>
      </c>
      <c r="O4260" t="s">
        <v>12512</v>
      </c>
      <c r="P4260" t="s">
        <v>68</v>
      </c>
      <c r="Q4260" t="s">
        <v>68</v>
      </c>
      <c r="R4260" t="s">
        <v>68</v>
      </c>
      <c r="S4260" t="s">
        <v>77</v>
      </c>
    </row>
    <row r="4261" spans="1:19" x14ac:dyDescent="0.35">
      <c r="A4261">
        <v>143297</v>
      </c>
      <c r="B4261" t="str">
        <f>"143297"</f>
        <v>143297</v>
      </c>
      <c r="C4261" t="s">
        <v>12515</v>
      </c>
      <c r="D4261" t="s">
        <v>3398</v>
      </c>
      <c r="E4261" t="s">
        <v>12048</v>
      </c>
      <c r="F4261" t="s">
        <v>3396</v>
      </c>
      <c r="G4261" t="s">
        <v>200</v>
      </c>
      <c r="H4261" t="s">
        <v>12516</v>
      </c>
      <c r="I4261" t="s">
        <v>12517</v>
      </c>
      <c r="J4261" t="s">
        <v>304</v>
      </c>
      <c r="K4261" t="s">
        <v>55</v>
      </c>
      <c r="L4261" t="s">
        <v>6203</v>
      </c>
      <c r="M4261" t="s">
        <v>57</v>
      </c>
      <c r="N4261" t="str">
        <f t="shared" ref="N4261:N4266" si="16">"N/A"</f>
        <v>N/A</v>
      </c>
      <c r="O4261" t="s">
        <v>49</v>
      </c>
      <c r="P4261" t="s">
        <v>68</v>
      </c>
      <c r="Q4261">
        <v>73.099999999999994</v>
      </c>
      <c r="R4261">
        <v>51.9</v>
      </c>
      <c r="S4261" t="s">
        <v>156</v>
      </c>
    </row>
    <row r="4262" spans="1:19" x14ac:dyDescent="0.35">
      <c r="A4262">
        <v>143297</v>
      </c>
      <c r="B4262" t="str">
        <f>"143297"</f>
        <v>143297</v>
      </c>
      <c r="C4262" t="s">
        <v>12515</v>
      </c>
      <c r="D4262" t="s">
        <v>12052</v>
      </c>
      <c r="E4262" t="s">
        <v>12048</v>
      </c>
      <c r="F4262" t="s">
        <v>3396</v>
      </c>
      <c r="G4262" t="s">
        <v>200</v>
      </c>
      <c r="H4262" t="s">
        <v>12516</v>
      </c>
      <c r="I4262" t="s">
        <v>12517</v>
      </c>
      <c r="J4262" t="s">
        <v>304</v>
      </c>
      <c r="K4262" t="s">
        <v>55</v>
      </c>
      <c r="L4262" t="s">
        <v>6203</v>
      </c>
      <c r="M4262" t="s">
        <v>57</v>
      </c>
      <c r="N4262" t="str">
        <f t="shared" si="16"/>
        <v>N/A</v>
      </c>
      <c r="O4262" t="s">
        <v>49</v>
      </c>
      <c r="P4262" t="s">
        <v>68</v>
      </c>
      <c r="Q4262">
        <v>73.099999999999994</v>
      </c>
      <c r="R4262">
        <v>51.9</v>
      </c>
      <c r="S4262" t="s">
        <v>156</v>
      </c>
    </row>
    <row r="4263" spans="1:19" x14ac:dyDescent="0.35">
      <c r="A4263">
        <v>143305</v>
      </c>
      <c r="B4263" t="str">
        <f>"143305"</f>
        <v>143305</v>
      </c>
      <c r="C4263" t="s">
        <v>12518</v>
      </c>
      <c r="D4263" t="s">
        <v>3398</v>
      </c>
      <c r="E4263" t="s">
        <v>12048</v>
      </c>
      <c r="F4263" t="s">
        <v>3396</v>
      </c>
      <c r="G4263" t="s">
        <v>312</v>
      </c>
      <c r="H4263" t="s">
        <v>12519</v>
      </c>
      <c r="I4263" t="s">
        <v>12520</v>
      </c>
      <c r="J4263" t="s">
        <v>312</v>
      </c>
      <c r="K4263" t="s">
        <v>55</v>
      </c>
      <c r="L4263" t="s">
        <v>315</v>
      </c>
      <c r="M4263" t="s">
        <v>57</v>
      </c>
      <c r="N4263" t="str">
        <f t="shared" si="16"/>
        <v>N/A</v>
      </c>
      <c r="O4263" t="s">
        <v>49</v>
      </c>
      <c r="P4263" t="s">
        <v>68</v>
      </c>
      <c r="Q4263">
        <v>56.4</v>
      </c>
      <c r="R4263">
        <v>26</v>
      </c>
      <c r="S4263" t="s">
        <v>156</v>
      </c>
    </row>
    <row r="4264" spans="1:19" x14ac:dyDescent="0.35">
      <c r="A4264">
        <v>143305</v>
      </c>
      <c r="B4264" t="str">
        <f>"143305"</f>
        <v>143305</v>
      </c>
      <c r="C4264" t="s">
        <v>12518</v>
      </c>
      <c r="D4264" t="s">
        <v>12052</v>
      </c>
      <c r="E4264" t="s">
        <v>12048</v>
      </c>
      <c r="F4264" t="s">
        <v>3396</v>
      </c>
      <c r="G4264" t="s">
        <v>312</v>
      </c>
      <c r="H4264" t="s">
        <v>12519</v>
      </c>
      <c r="I4264" t="s">
        <v>12520</v>
      </c>
      <c r="J4264" t="s">
        <v>312</v>
      </c>
      <c r="K4264" t="s">
        <v>55</v>
      </c>
      <c r="L4264" t="s">
        <v>315</v>
      </c>
      <c r="M4264" t="s">
        <v>57</v>
      </c>
      <c r="N4264" t="str">
        <f t="shared" si="16"/>
        <v>N/A</v>
      </c>
      <c r="O4264" t="s">
        <v>49</v>
      </c>
      <c r="P4264" t="s">
        <v>68</v>
      </c>
      <c r="Q4264">
        <v>56.4</v>
      </c>
      <c r="R4264">
        <v>26</v>
      </c>
      <c r="S4264" t="s">
        <v>156</v>
      </c>
    </row>
    <row r="4265" spans="1:19" x14ac:dyDescent="0.35">
      <c r="A4265">
        <v>143305</v>
      </c>
      <c r="B4265" t="str">
        <f>"143305"</f>
        <v>143305</v>
      </c>
      <c r="C4265" t="s">
        <v>12518</v>
      </c>
      <c r="D4265" t="s">
        <v>12476</v>
      </c>
      <c r="E4265" t="s">
        <v>12048</v>
      </c>
      <c r="F4265" t="s">
        <v>3396</v>
      </c>
      <c r="G4265" t="s">
        <v>312</v>
      </c>
      <c r="H4265" t="s">
        <v>12519</v>
      </c>
      <c r="I4265" t="s">
        <v>12520</v>
      </c>
      <c r="J4265" t="s">
        <v>312</v>
      </c>
      <c r="K4265" t="s">
        <v>55</v>
      </c>
      <c r="L4265" t="s">
        <v>315</v>
      </c>
      <c r="M4265" t="s">
        <v>57</v>
      </c>
      <c r="N4265" t="str">
        <f t="shared" si="16"/>
        <v>N/A</v>
      </c>
      <c r="O4265" t="s">
        <v>49</v>
      </c>
      <c r="P4265" t="s">
        <v>68</v>
      </c>
      <c r="Q4265">
        <v>56.4</v>
      </c>
      <c r="R4265">
        <v>26</v>
      </c>
      <c r="S4265" t="s">
        <v>156</v>
      </c>
    </row>
    <row r="4266" spans="1:19" x14ac:dyDescent="0.35">
      <c r="A4266">
        <v>143305</v>
      </c>
      <c r="B4266" t="str">
        <f>"143305"</f>
        <v>143305</v>
      </c>
      <c r="C4266" t="s">
        <v>12518</v>
      </c>
      <c r="D4266" t="s">
        <v>12063</v>
      </c>
      <c r="E4266" t="s">
        <v>12048</v>
      </c>
      <c r="F4266" t="s">
        <v>3396</v>
      </c>
      <c r="G4266" t="s">
        <v>312</v>
      </c>
      <c r="H4266" t="s">
        <v>12519</v>
      </c>
      <c r="I4266" t="s">
        <v>12520</v>
      </c>
      <c r="J4266" t="s">
        <v>312</v>
      </c>
      <c r="K4266" t="s">
        <v>55</v>
      </c>
      <c r="L4266" t="s">
        <v>315</v>
      </c>
      <c r="M4266" t="s">
        <v>57</v>
      </c>
      <c r="N4266" t="str">
        <f t="shared" si="16"/>
        <v>N/A</v>
      </c>
      <c r="O4266" t="s">
        <v>49</v>
      </c>
      <c r="P4266" t="s">
        <v>68</v>
      </c>
      <c r="Q4266">
        <v>56.4</v>
      </c>
      <c r="R4266">
        <v>26</v>
      </c>
      <c r="S4266" t="s">
        <v>156</v>
      </c>
    </row>
    <row r="4267" spans="1:19" x14ac:dyDescent="0.35">
      <c r="A4267">
        <v>143313</v>
      </c>
      <c r="B4267" t="str">
        <f>"143313"</f>
        <v>143313</v>
      </c>
      <c r="C4267" t="s">
        <v>12521</v>
      </c>
      <c r="D4267" t="s">
        <v>3394</v>
      </c>
      <c r="E4267" t="s">
        <v>12048</v>
      </c>
      <c r="F4267" t="s">
        <v>3396</v>
      </c>
      <c r="G4267" t="s">
        <v>63</v>
      </c>
      <c r="H4267" t="s">
        <v>12522</v>
      </c>
      <c r="I4267" t="s">
        <v>12523</v>
      </c>
      <c r="J4267" t="s">
        <v>285</v>
      </c>
      <c r="K4267" t="s">
        <v>55</v>
      </c>
      <c r="L4267" t="s">
        <v>3561</v>
      </c>
      <c r="M4267" t="s">
        <v>57</v>
      </c>
      <c r="N4267" t="str">
        <f>"017349"</f>
        <v>017349</v>
      </c>
      <c r="O4267" t="s">
        <v>12524</v>
      </c>
      <c r="P4267" t="s">
        <v>68</v>
      </c>
      <c r="Q4267">
        <v>99.2</v>
      </c>
      <c r="R4267">
        <v>75.400000000000006</v>
      </c>
      <c r="S4267" t="s">
        <v>69</v>
      </c>
    </row>
    <row r="4268" spans="1:19" x14ac:dyDescent="0.35">
      <c r="A4268">
        <v>143313</v>
      </c>
      <c r="B4268" t="str">
        <f>"143313"</f>
        <v>143313</v>
      </c>
      <c r="C4268" t="s">
        <v>12521</v>
      </c>
      <c r="D4268" t="s">
        <v>12052</v>
      </c>
      <c r="E4268" t="s">
        <v>12048</v>
      </c>
      <c r="F4268" t="s">
        <v>3396</v>
      </c>
      <c r="G4268" t="s">
        <v>63</v>
      </c>
      <c r="H4268" t="s">
        <v>12522</v>
      </c>
      <c r="I4268" t="s">
        <v>12523</v>
      </c>
      <c r="J4268" t="s">
        <v>285</v>
      </c>
      <c r="K4268" t="s">
        <v>55</v>
      </c>
      <c r="L4268" t="s">
        <v>3561</v>
      </c>
      <c r="M4268" t="s">
        <v>57</v>
      </c>
      <c r="N4268" t="str">
        <f>"017349"</f>
        <v>017349</v>
      </c>
      <c r="O4268" t="s">
        <v>12524</v>
      </c>
      <c r="P4268" t="s">
        <v>68</v>
      </c>
      <c r="Q4268">
        <v>99.2</v>
      </c>
      <c r="R4268">
        <v>75.400000000000006</v>
      </c>
      <c r="S4268" t="s">
        <v>69</v>
      </c>
    </row>
    <row r="4269" spans="1:19" x14ac:dyDescent="0.35">
      <c r="A4269">
        <v>143396</v>
      </c>
      <c r="B4269" t="str">
        <f>"143396"</f>
        <v>143396</v>
      </c>
      <c r="C4269" t="s">
        <v>12525</v>
      </c>
      <c r="D4269" t="s">
        <v>3398</v>
      </c>
      <c r="E4269" t="s">
        <v>12048</v>
      </c>
      <c r="F4269" t="s">
        <v>3396</v>
      </c>
      <c r="G4269" t="s">
        <v>264</v>
      </c>
      <c r="H4269" t="s">
        <v>12526</v>
      </c>
      <c r="I4269" t="s">
        <v>12527</v>
      </c>
      <c r="J4269" t="s">
        <v>795</v>
      </c>
      <c r="K4269" t="s">
        <v>55</v>
      </c>
      <c r="L4269" t="s">
        <v>796</v>
      </c>
      <c r="M4269" t="s">
        <v>57</v>
      </c>
      <c r="N4269" t="str">
        <f>"019998"</f>
        <v>019998</v>
      </c>
      <c r="O4269" t="s">
        <v>12528</v>
      </c>
      <c r="P4269" t="s">
        <v>68</v>
      </c>
      <c r="Q4269">
        <v>61.9</v>
      </c>
      <c r="R4269">
        <v>43.8</v>
      </c>
      <c r="S4269" t="s">
        <v>77</v>
      </c>
    </row>
    <row r="4270" spans="1:19" x14ac:dyDescent="0.35">
      <c r="A4270">
        <v>143396</v>
      </c>
      <c r="B4270" t="str">
        <f>"143396"</f>
        <v>143396</v>
      </c>
      <c r="C4270" t="s">
        <v>12525</v>
      </c>
      <c r="D4270" t="s">
        <v>12052</v>
      </c>
      <c r="E4270" t="s">
        <v>12048</v>
      </c>
      <c r="F4270" t="s">
        <v>3396</v>
      </c>
      <c r="G4270" t="s">
        <v>264</v>
      </c>
      <c r="H4270" t="s">
        <v>12526</v>
      </c>
      <c r="I4270" t="s">
        <v>12527</v>
      </c>
      <c r="J4270" t="s">
        <v>795</v>
      </c>
      <c r="K4270" t="s">
        <v>55</v>
      </c>
      <c r="L4270" t="s">
        <v>796</v>
      </c>
      <c r="M4270" t="s">
        <v>57</v>
      </c>
      <c r="N4270" t="str">
        <f>"019998"</f>
        <v>019998</v>
      </c>
      <c r="O4270" t="s">
        <v>12528</v>
      </c>
      <c r="P4270" t="s">
        <v>68</v>
      </c>
      <c r="Q4270">
        <v>61.9</v>
      </c>
      <c r="R4270">
        <v>43.8</v>
      </c>
      <c r="S4270" t="s">
        <v>77</v>
      </c>
    </row>
    <row r="4271" spans="1:19" x14ac:dyDescent="0.35">
      <c r="A4271">
        <v>143396</v>
      </c>
      <c r="B4271" t="str">
        <f>"143396"</f>
        <v>143396</v>
      </c>
      <c r="C4271" t="s">
        <v>12525</v>
      </c>
      <c r="D4271" t="s">
        <v>12476</v>
      </c>
      <c r="E4271" t="s">
        <v>12048</v>
      </c>
      <c r="F4271" t="s">
        <v>3396</v>
      </c>
      <c r="G4271" t="s">
        <v>264</v>
      </c>
      <c r="H4271" t="s">
        <v>12526</v>
      </c>
      <c r="I4271" t="s">
        <v>12527</v>
      </c>
      <c r="J4271" t="s">
        <v>795</v>
      </c>
      <c r="K4271" t="s">
        <v>55</v>
      </c>
      <c r="L4271" t="s">
        <v>796</v>
      </c>
      <c r="M4271" t="s">
        <v>57</v>
      </c>
      <c r="N4271" t="str">
        <f>"019998"</f>
        <v>019998</v>
      </c>
      <c r="O4271" t="s">
        <v>12528</v>
      </c>
      <c r="P4271" t="s">
        <v>68</v>
      </c>
      <c r="Q4271">
        <v>61.9</v>
      </c>
      <c r="R4271">
        <v>43.8</v>
      </c>
      <c r="S4271" t="s">
        <v>77</v>
      </c>
    </row>
    <row r="4272" spans="1:19" x14ac:dyDescent="0.35">
      <c r="A4272">
        <v>143479</v>
      </c>
      <c r="B4272" t="str">
        <f>"143479"</f>
        <v>143479</v>
      </c>
      <c r="C4272" t="s">
        <v>12529</v>
      </c>
      <c r="D4272" t="s">
        <v>3394</v>
      </c>
      <c r="E4272" t="s">
        <v>12048</v>
      </c>
      <c r="F4272" t="s">
        <v>3396</v>
      </c>
      <c r="G4272" t="s">
        <v>63</v>
      </c>
      <c r="H4272" t="s">
        <v>12530</v>
      </c>
      <c r="I4272" t="s">
        <v>12531</v>
      </c>
      <c r="J4272" t="s">
        <v>285</v>
      </c>
      <c r="K4272" t="s">
        <v>55</v>
      </c>
      <c r="L4272" t="s">
        <v>3561</v>
      </c>
      <c r="M4272" t="s">
        <v>57</v>
      </c>
      <c r="N4272" t="str">
        <f>"020912"</f>
        <v>020912</v>
      </c>
      <c r="O4272" t="s">
        <v>12089</v>
      </c>
      <c r="P4272" t="s">
        <v>68</v>
      </c>
      <c r="Q4272">
        <v>99.4</v>
      </c>
      <c r="R4272">
        <v>82.6</v>
      </c>
      <c r="S4272" t="s">
        <v>69</v>
      </c>
    </row>
    <row r="4273" spans="1:19" x14ac:dyDescent="0.35">
      <c r="A4273">
        <v>143479</v>
      </c>
      <c r="B4273" t="str">
        <f>"143479"</f>
        <v>143479</v>
      </c>
      <c r="C4273" t="s">
        <v>12529</v>
      </c>
      <c r="D4273" t="s">
        <v>12052</v>
      </c>
      <c r="E4273" t="s">
        <v>12048</v>
      </c>
      <c r="F4273" t="s">
        <v>3396</v>
      </c>
      <c r="G4273" t="s">
        <v>63</v>
      </c>
      <c r="H4273" t="s">
        <v>12530</v>
      </c>
      <c r="I4273" t="s">
        <v>12531</v>
      </c>
      <c r="J4273" t="s">
        <v>285</v>
      </c>
      <c r="K4273" t="s">
        <v>55</v>
      </c>
      <c r="L4273" t="s">
        <v>3561</v>
      </c>
      <c r="M4273" t="s">
        <v>57</v>
      </c>
      <c r="N4273" t="str">
        <f>"020912"</f>
        <v>020912</v>
      </c>
      <c r="O4273" t="s">
        <v>12089</v>
      </c>
      <c r="P4273" t="s">
        <v>68</v>
      </c>
      <c r="Q4273">
        <v>99.4</v>
      </c>
      <c r="R4273">
        <v>82.6</v>
      </c>
      <c r="S4273" t="s">
        <v>69</v>
      </c>
    </row>
    <row r="4274" spans="1:19" x14ac:dyDescent="0.35">
      <c r="A4274">
        <v>143487</v>
      </c>
      <c r="B4274" t="str">
        <f>"143487"</f>
        <v>143487</v>
      </c>
      <c r="C4274" t="s">
        <v>12532</v>
      </c>
      <c r="D4274" t="s">
        <v>3400</v>
      </c>
      <c r="E4274" t="s">
        <v>12048</v>
      </c>
      <c r="F4274" t="s">
        <v>3396</v>
      </c>
      <c r="G4274" t="s">
        <v>63</v>
      </c>
      <c r="H4274" t="s">
        <v>12533</v>
      </c>
      <c r="I4274" t="s">
        <v>12534</v>
      </c>
      <c r="J4274" t="s">
        <v>285</v>
      </c>
      <c r="K4274" t="s">
        <v>55</v>
      </c>
      <c r="L4274" t="s">
        <v>3458</v>
      </c>
      <c r="M4274" t="s">
        <v>57</v>
      </c>
      <c r="N4274" t="str">
        <f>"020912"</f>
        <v>020912</v>
      </c>
      <c r="O4274" t="s">
        <v>12089</v>
      </c>
      <c r="P4274" t="s">
        <v>68</v>
      </c>
      <c r="Q4274">
        <v>100</v>
      </c>
      <c r="R4274">
        <v>73.900000000000006</v>
      </c>
      <c r="S4274" t="s">
        <v>69</v>
      </c>
    </row>
    <row r="4275" spans="1:19" x14ac:dyDescent="0.35">
      <c r="A4275">
        <v>143487</v>
      </c>
      <c r="B4275" t="str">
        <f>"143487"</f>
        <v>143487</v>
      </c>
      <c r="C4275" t="s">
        <v>12532</v>
      </c>
      <c r="D4275" t="s">
        <v>12052</v>
      </c>
      <c r="E4275" t="s">
        <v>12048</v>
      </c>
      <c r="F4275" t="s">
        <v>3396</v>
      </c>
      <c r="G4275" t="s">
        <v>63</v>
      </c>
      <c r="H4275" t="s">
        <v>12533</v>
      </c>
      <c r="I4275" t="s">
        <v>12534</v>
      </c>
      <c r="J4275" t="s">
        <v>285</v>
      </c>
      <c r="K4275" t="s">
        <v>55</v>
      </c>
      <c r="L4275" t="s">
        <v>3458</v>
      </c>
      <c r="M4275" t="s">
        <v>57</v>
      </c>
      <c r="N4275" t="str">
        <f>"020912"</f>
        <v>020912</v>
      </c>
      <c r="O4275" t="s">
        <v>12089</v>
      </c>
      <c r="P4275" t="s">
        <v>68</v>
      </c>
      <c r="Q4275">
        <v>100</v>
      </c>
      <c r="R4275">
        <v>73.900000000000006</v>
      </c>
      <c r="S4275" t="s">
        <v>69</v>
      </c>
    </row>
    <row r="4276" spans="1:19" x14ac:dyDescent="0.35">
      <c r="A4276">
        <v>143529</v>
      </c>
      <c r="B4276" t="str">
        <f>"143529"</f>
        <v>143529</v>
      </c>
      <c r="C4276" t="s">
        <v>12535</v>
      </c>
      <c r="D4276" t="s">
        <v>3394</v>
      </c>
      <c r="E4276" t="s">
        <v>12048</v>
      </c>
      <c r="F4276" t="s">
        <v>3396</v>
      </c>
      <c r="G4276" t="s">
        <v>543</v>
      </c>
      <c r="H4276" t="s">
        <v>12536</v>
      </c>
      <c r="I4276" t="s">
        <v>12537</v>
      </c>
      <c r="J4276" t="s">
        <v>687</v>
      </c>
      <c r="K4276" t="s">
        <v>55</v>
      </c>
      <c r="L4276" t="s">
        <v>10659</v>
      </c>
      <c r="M4276" t="s">
        <v>57</v>
      </c>
      <c r="N4276" t="str">
        <f>"014980"</f>
        <v>014980</v>
      </c>
      <c r="O4276" t="s">
        <v>12538</v>
      </c>
      <c r="P4276" t="s">
        <v>68</v>
      </c>
      <c r="Q4276">
        <v>100</v>
      </c>
      <c r="R4276">
        <v>94.5</v>
      </c>
      <c r="S4276" t="s">
        <v>180</v>
      </c>
    </row>
    <row r="4277" spans="1:19" x14ac:dyDescent="0.35">
      <c r="A4277">
        <v>143529</v>
      </c>
      <c r="B4277" t="str">
        <f>"143529"</f>
        <v>143529</v>
      </c>
      <c r="C4277" t="s">
        <v>12535</v>
      </c>
      <c r="D4277" t="s">
        <v>12052</v>
      </c>
      <c r="E4277" t="s">
        <v>12048</v>
      </c>
      <c r="F4277" t="s">
        <v>3396</v>
      </c>
      <c r="G4277" t="s">
        <v>543</v>
      </c>
      <c r="H4277" t="s">
        <v>12536</v>
      </c>
      <c r="I4277" t="s">
        <v>12537</v>
      </c>
      <c r="J4277" t="s">
        <v>687</v>
      </c>
      <c r="K4277" t="s">
        <v>55</v>
      </c>
      <c r="L4277" t="s">
        <v>10659</v>
      </c>
      <c r="M4277" t="s">
        <v>57</v>
      </c>
      <c r="N4277" t="str">
        <f>"014980"</f>
        <v>014980</v>
      </c>
      <c r="O4277" t="s">
        <v>12538</v>
      </c>
      <c r="P4277" t="s">
        <v>68</v>
      </c>
      <c r="Q4277">
        <v>100</v>
      </c>
      <c r="R4277">
        <v>94.5</v>
      </c>
      <c r="S4277" t="s">
        <v>180</v>
      </c>
    </row>
    <row r="4278" spans="1:19" x14ac:dyDescent="0.35">
      <c r="A4278">
        <v>143602</v>
      </c>
      <c r="B4278" t="str">
        <f>"143602"</f>
        <v>143602</v>
      </c>
      <c r="C4278" t="s">
        <v>12539</v>
      </c>
      <c r="D4278" t="s">
        <v>3394</v>
      </c>
      <c r="E4278" t="s">
        <v>12048</v>
      </c>
      <c r="F4278" t="s">
        <v>3396</v>
      </c>
      <c r="G4278" t="s">
        <v>212</v>
      </c>
      <c r="H4278" t="s">
        <v>12540</v>
      </c>
      <c r="I4278" t="s">
        <v>12541</v>
      </c>
      <c r="J4278" t="s">
        <v>215</v>
      </c>
      <c r="K4278" t="s">
        <v>55</v>
      </c>
      <c r="L4278" t="s">
        <v>914</v>
      </c>
      <c r="M4278" t="s">
        <v>57</v>
      </c>
      <c r="N4278" t="str">
        <f t="shared" ref="N4278:N4283" si="17">"N/A"</f>
        <v>N/A</v>
      </c>
      <c r="O4278" t="s">
        <v>49</v>
      </c>
      <c r="P4278" t="s">
        <v>68</v>
      </c>
      <c r="Q4278">
        <v>46.7</v>
      </c>
      <c r="R4278">
        <v>98.4</v>
      </c>
      <c r="S4278" t="s">
        <v>217</v>
      </c>
    </row>
    <row r="4279" spans="1:19" x14ac:dyDescent="0.35">
      <c r="A4279">
        <v>143602</v>
      </c>
      <c r="B4279" t="str">
        <f>"143602"</f>
        <v>143602</v>
      </c>
      <c r="C4279" t="s">
        <v>12539</v>
      </c>
      <c r="D4279" t="s">
        <v>12052</v>
      </c>
      <c r="E4279" t="s">
        <v>12048</v>
      </c>
      <c r="F4279" t="s">
        <v>3396</v>
      </c>
      <c r="G4279" t="s">
        <v>212</v>
      </c>
      <c r="H4279" t="s">
        <v>12540</v>
      </c>
      <c r="I4279" t="s">
        <v>12541</v>
      </c>
      <c r="J4279" t="s">
        <v>215</v>
      </c>
      <c r="K4279" t="s">
        <v>55</v>
      </c>
      <c r="L4279" t="s">
        <v>914</v>
      </c>
      <c r="M4279" t="s">
        <v>57</v>
      </c>
      <c r="N4279" t="str">
        <f t="shared" si="17"/>
        <v>N/A</v>
      </c>
      <c r="O4279" t="s">
        <v>49</v>
      </c>
      <c r="P4279" t="s">
        <v>68</v>
      </c>
      <c r="Q4279">
        <v>46.7</v>
      </c>
      <c r="R4279">
        <v>98.4</v>
      </c>
      <c r="S4279" t="s">
        <v>217</v>
      </c>
    </row>
    <row r="4280" spans="1:19" x14ac:dyDescent="0.35">
      <c r="A4280">
        <v>143610</v>
      </c>
      <c r="B4280" t="str">
        <f>"143610"</f>
        <v>143610</v>
      </c>
      <c r="C4280" t="s">
        <v>12542</v>
      </c>
      <c r="D4280" t="s">
        <v>3398</v>
      </c>
      <c r="E4280" t="s">
        <v>12048</v>
      </c>
      <c r="F4280" t="s">
        <v>3396</v>
      </c>
      <c r="G4280" t="s">
        <v>600</v>
      </c>
      <c r="H4280" t="s">
        <v>12543</v>
      </c>
      <c r="I4280" t="s">
        <v>12544</v>
      </c>
      <c r="J4280" t="s">
        <v>1348</v>
      </c>
      <c r="K4280" t="s">
        <v>55</v>
      </c>
      <c r="L4280" t="s">
        <v>3568</v>
      </c>
      <c r="M4280" t="s">
        <v>57</v>
      </c>
      <c r="N4280" t="str">
        <f t="shared" si="17"/>
        <v>N/A</v>
      </c>
      <c r="O4280" t="s">
        <v>49</v>
      </c>
      <c r="P4280" t="s">
        <v>68</v>
      </c>
      <c r="Q4280">
        <v>51.2</v>
      </c>
      <c r="R4280">
        <v>51.2</v>
      </c>
      <c r="S4280" t="s">
        <v>60</v>
      </c>
    </row>
    <row r="4281" spans="1:19" x14ac:dyDescent="0.35">
      <c r="A4281">
        <v>143610</v>
      </c>
      <c r="B4281" t="str">
        <f>"143610"</f>
        <v>143610</v>
      </c>
      <c r="C4281" t="s">
        <v>12542</v>
      </c>
      <c r="D4281" t="s">
        <v>12052</v>
      </c>
      <c r="E4281" t="s">
        <v>12048</v>
      </c>
      <c r="F4281" t="s">
        <v>3396</v>
      </c>
      <c r="G4281" t="s">
        <v>600</v>
      </c>
      <c r="H4281" t="s">
        <v>12543</v>
      </c>
      <c r="I4281" t="s">
        <v>12544</v>
      </c>
      <c r="J4281" t="s">
        <v>1348</v>
      </c>
      <c r="K4281" t="s">
        <v>55</v>
      </c>
      <c r="L4281" t="s">
        <v>3568</v>
      </c>
      <c r="M4281" t="s">
        <v>57</v>
      </c>
      <c r="N4281" t="str">
        <f t="shared" si="17"/>
        <v>N/A</v>
      </c>
      <c r="O4281" t="s">
        <v>49</v>
      </c>
      <c r="P4281" t="s">
        <v>68</v>
      </c>
      <c r="Q4281">
        <v>51.2</v>
      </c>
      <c r="R4281">
        <v>51.2</v>
      </c>
      <c r="S4281" t="s">
        <v>60</v>
      </c>
    </row>
    <row r="4282" spans="1:19" x14ac:dyDescent="0.35">
      <c r="A4282">
        <v>143644</v>
      </c>
      <c r="B4282" t="str">
        <f>"143644"</f>
        <v>143644</v>
      </c>
      <c r="C4282" t="s">
        <v>12545</v>
      </c>
      <c r="D4282" t="s">
        <v>3398</v>
      </c>
      <c r="E4282" t="s">
        <v>12048</v>
      </c>
      <c r="F4282" t="s">
        <v>3396</v>
      </c>
      <c r="G4282" t="s">
        <v>219</v>
      </c>
      <c r="H4282" t="s">
        <v>12546</v>
      </c>
      <c r="I4282" t="s">
        <v>12547</v>
      </c>
      <c r="J4282" t="s">
        <v>222</v>
      </c>
      <c r="K4282" t="s">
        <v>55</v>
      </c>
      <c r="L4282" t="s">
        <v>223</v>
      </c>
      <c r="M4282" t="s">
        <v>57</v>
      </c>
      <c r="N4282" t="str">
        <f t="shared" si="17"/>
        <v>N/A</v>
      </c>
      <c r="O4282" t="s">
        <v>49</v>
      </c>
      <c r="P4282" t="s">
        <v>68</v>
      </c>
      <c r="Q4282">
        <v>99.7</v>
      </c>
      <c r="R4282">
        <v>8.7999999999999972</v>
      </c>
      <c r="S4282" t="s">
        <v>130</v>
      </c>
    </row>
    <row r="4283" spans="1:19" x14ac:dyDescent="0.35">
      <c r="A4283">
        <v>143644</v>
      </c>
      <c r="B4283" t="str">
        <f>"143644"</f>
        <v>143644</v>
      </c>
      <c r="C4283" t="s">
        <v>12545</v>
      </c>
      <c r="D4283" t="s">
        <v>12052</v>
      </c>
      <c r="E4283" t="s">
        <v>12048</v>
      </c>
      <c r="F4283" t="s">
        <v>3396</v>
      </c>
      <c r="G4283" t="s">
        <v>219</v>
      </c>
      <c r="H4283" t="s">
        <v>12546</v>
      </c>
      <c r="I4283" t="s">
        <v>12547</v>
      </c>
      <c r="J4283" t="s">
        <v>222</v>
      </c>
      <c r="K4283" t="s">
        <v>55</v>
      </c>
      <c r="L4283" t="s">
        <v>223</v>
      </c>
      <c r="M4283" t="s">
        <v>57</v>
      </c>
      <c r="N4283" t="str">
        <f t="shared" si="17"/>
        <v>N/A</v>
      </c>
      <c r="O4283" t="s">
        <v>49</v>
      </c>
      <c r="P4283" t="s">
        <v>68</v>
      </c>
      <c r="Q4283">
        <v>99.7</v>
      </c>
      <c r="R4283">
        <v>8.7999999999999972</v>
      </c>
      <c r="S4283" t="s">
        <v>130</v>
      </c>
    </row>
    <row r="4284" spans="1:19" x14ac:dyDescent="0.35">
      <c r="A4284">
        <v>144865</v>
      </c>
      <c r="B4284" t="str">
        <f>"144865"</f>
        <v>144865</v>
      </c>
      <c r="C4284" t="s">
        <v>12548</v>
      </c>
      <c r="D4284" t="s">
        <v>3394</v>
      </c>
      <c r="E4284" t="s">
        <v>3395</v>
      </c>
      <c r="F4284" t="s">
        <v>3396</v>
      </c>
      <c r="G4284" t="s">
        <v>172</v>
      </c>
      <c r="H4284" t="s">
        <v>12549</v>
      </c>
      <c r="I4284" t="s">
        <v>12550</v>
      </c>
      <c r="J4284" t="s">
        <v>580</v>
      </c>
      <c r="K4284" t="s">
        <v>55</v>
      </c>
      <c r="L4284" t="s">
        <v>581</v>
      </c>
      <c r="M4284" t="s">
        <v>57</v>
      </c>
      <c r="N4284" t="str">
        <f>"050435"</f>
        <v>050435</v>
      </c>
      <c r="O4284" t="s">
        <v>577</v>
      </c>
      <c r="P4284" t="s">
        <v>68</v>
      </c>
      <c r="Q4284" t="s">
        <v>68</v>
      </c>
      <c r="R4284" t="s">
        <v>68</v>
      </c>
      <c r="S4284" t="s">
        <v>217</v>
      </c>
    </row>
    <row r="4285" spans="1:19" x14ac:dyDescent="0.35">
      <c r="A4285">
        <v>144881</v>
      </c>
      <c r="B4285" t="str">
        <f>"144881"</f>
        <v>144881</v>
      </c>
      <c r="C4285" t="s">
        <v>12551</v>
      </c>
      <c r="D4285" t="s">
        <v>3394</v>
      </c>
      <c r="E4285" t="s">
        <v>3395</v>
      </c>
      <c r="F4285" t="s">
        <v>3396</v>
      </c>
      <c r="G4285" t="s">
        <v>295</v>
      </c>
      <c r="H4285" t="s">
        <v>12552</v>
      </c>
      <c r="I4285" t="s">
        <v>12553</v>
      </c>
      <c r="J4285" t="s">
        <v>3209</v>
      </c>
      <c r="K4285" t="s">
        <v>55</v>
      </c>
      <c r="L4285" t="s">
        <v>3210</v>
      </c>
      <c r="M4285" t="s">
        <v>57</v>
      </c>
      <c r="N4285" t="str">
        <f>"049239"</f>
        <v>049239</v>
      </c>
      <c r="O4285" t="s">
        <v>3206</v>
      </c>
      <c r="P4285" t="s">
        <v>68</v>
      </c>
      <c r="Q4285">
        <v>38.9</v>
      </c>
      <c r="R4285">
        <v>35.200000000000003</v>
      </c>
      <c r="S4285" t="s">
        <v>77</v>
      </c>
    </row>
    <row r="4286" spans="1:19" x14ac:dyDescent="0.35">
      <c r="A4286">
        <v>145078</v>
      </c>
      <c r="B4286" t="str">
        <f>"145078"</f>
        <v>145078</v>
      </c>
      <c r="C4286" t="s">
        <v>12554</v>
      </c>
      <c r="D4286" t="s">
        <v>3506</v>
      </c>
      <c r="E4286" t="s">
        <v>3395</v>
      </c>
      <c r="F4286" t="s">
        <v>3396</v>
      </c>
      <c r="G4286" t="s">
        <v>92</v>
      </c>
      <c r="H4286" t="s">
        <v>12555</v>
      </c>
      <c r="I4286" t="s">
        <v>12556</v>
      </c>
      <c r="J4286" t="s">
        <v>2295</v>
      </c>
      <c r="K4286" t="s">
        <v>55</v>
      </c>
      <c r="L4286" t="s">
        <v>2296</v>
      </c>
      <c r="M4286" t="s">
        <v>57</v>
      </c>
      <c r="N4286" t="str">
        <f>"046896"</f>
        <v>046896</v>
      </c>
      <c r="O4286" t="s">
        <v>2292</v>
      </c>
      <c r="P4286" t="s">
        <v>68</v>
      </c>
      <c r="Q4286">
        <v>26.8</v>
      </c>
      <c r="R4286">
        <v>47.5</v>
      </c>
      <c r="S4286" t="s">
        <v>60</v>
      </c>
    </row>
    <row r="4287" spans="1:19" x14ac:dyDescent="0.35">
      <c r="A4287">
        <v>145086</v>
      </c>
      <c r="B4287" t="str">
        <f>"145086"</f>
        <v>145086</v>
      </c>
      <c r="C4287" t="s">
        <v>12557</v>
      </c>
      <c r="D4287" t="s">
        <v>3398</v>
      </c>
      <c r="E4287" t="s">
        <v>3395</v>
      </c>
      <c r="F4287" t="s">
        <v>3396</v>
      </c>
      <c r="G4287" t="s">
        <v>92</v>
      </c>
      <c r="H4287" t="s">
        <v>12558</v>
      </c>
      <c r="I4287" t="s">
        <v>12559</v>
      </c>
      <c r="J4287" t="s">
        <v>2295</v>
      </c>
      <c r="K4287" t="s">
        <v>55</v>
      </c>
      <c r="L4287" t="s">
        <v>2296</v>
      </c>
      <c r="M4287" t="s">
        <v>57</v>
      </c>
      <c r="N4287" t="str">
        <f>"046896"</f>
        <v>046896</v>
      </c>
      <c r="O4287" t="s">
        <v>2292</v>
      </c>
      <c r="P4287" t="s">
        <v>68</v>
      </c>
      <c r="Q4287">
        <v>24.4</v>
      </c>
      <c r="R4287">
        <v>46.6</v>
      </c>
      <c r="S4287" t="s">
        <v>60</v>
      </c>
    </row>
    <row r="4288" spans="1:19" x14ac:dyDescent="0.35">
      <c r="A4288">
        <v>145292</v>
      </c>
      <c r="B4288" t="str">
        <f>"145292"</f>
        <v>145292</v>
      </c>
      <c r="C4288" t="s">
        <v>12560</v>
      </c>
      <c r="D4288" t="s">
        <v>3394</v>
      </c>
      <c r="E4288" t="s">
        <v>3395</v>
      </c>
      <c r="F4288" t="s">
        <v>3396</v>
      </c>
      <c r="G4288" t="s">
        <v>1041</v>
      </c>
      <c r="H4288" t="s">
        <v>12561</v>
      </c>
      <c r="I4288" t="s">
        <v>12562</v>
      </c>
      <c r="J4288" t="s">
        <v>2157</v>
      </c>
      <c r="K4288" t="s">
        <v>55</v>
      </c>
      <c r="L4288" t="s">
        <v>2158</v>
      </c>
      <c r="M4288" t="s">
        <v>57</v>
      </c>
      <c r="N4288" t="str">
        <f>"046318"</f>
        <v>046318</v>
      </c>
      <c r="O4288" t="s">
        <v>2383</v>
      </c>
      <c r="P4288" t="s">
        <v>68</v>
      </c>
      <c r="Q4288">
        <v>45.9</v>
      </c>
      <c r="R4288">
        <v>9.2000000000000028</v>
      </c>
      <c r="S4288" t="s">
        <v>217</v>
      </c>
    </row>
    <row r="4289" spans="1:19" x14ac:dyDescent="0.35">
      <c r="A4289">
        <v>145300</v>
      </c>
      <c r="B4289" t="str">
        <f>"145300"</f>
        <v>145300</v>
      </c>
      <c r="C4289" t="s">
        <v>12563</v>
      </c>
      <c r="D4289" t="s">
        <v>3394</v>
      </c>
      <c r="E4289" t="s">
        <v>3395</v>
      </c>
      <c r="F4289" t="s">
        <v>3396</v>
      </c>
      <c r="G4289" t="s">
        <v>1041</v>
      </c>
      <c r="H4289" t="s">
        <v>12564</v>
      </c>
      <c r="I4289" t="s">
        <v>12565</v>
      </c>
      <c r="J4289" t="s">
        <v>2157</v>
      </c>
      <c r="K4289" t="s">
        <v>55</v>
      </c>
      <c r="L4289" t="s">
        <v>2158</v>
      </c>
      <c r="M4289" t="s">
        <v>57</v>
      </c>
      <c r="N4289" t="str">
        <f>"046318"</f>
        <v>046318</v>
      </c>
      <c r="O4289" t="s">
        <v>2383</v>
      </c>
      <c r="P4289" t="s">
        <v>68</v>
      </c>
      <c r="Q4289">
        <v>42</v>
      </c>
      <c r="R4289">
        <v>7.4000000000000057</v>
      </c>
      <c r="S4289" t="s">
        <v>217</v>
      </c>
    </row>
    <row r="4290" spans="1:19" x14ac:dyDescent="0.35">
      <c r="A4290">
        <v>145352</v>
      </c>
      <c r="B4290" t="str">
        <f>"145352"</f>
        <v>145352</v>
      </c>
      <c r="C4290" t="s">
        <v>12566</v>
      </c>
      <c r="D4290" t="s">
        <v>3394</v>
      </c>
      <c r="E4290" t="s">
        <v>3395</v>
      </c>
      <c r="F4290" t="s">
        <v>3396</v>
      </c>
      <c r="G4290" t="s">
        <v>674</v>
      </c>
      <c r="H4290" t="s">
        <v>12567</v>
      </c>
      <c r="I4290" t="s">
        <v>12568</v>
      </c>
      <c r="J4290" t="s">
        <v>927</v>
      </c>
      <c r="K4290" t="s">
        <v>55</v>
      </c>
      <c r="L4290" t="s">
        <v>928</v>
      </c>
      <c r="M4290" t="s">
        <v>57</v>
      </c>
      <c r="N4290" t="str">
        <f>"048850"</f>
        <v>048850</v>
      </c>
      <c r="O4290" t="s">
        <v>924</v>
      </c>
      <c r="P4290" t="s">
        <v>68</v>
      </c>
      <c r="Q4290">
        <v>99.9</v>
      </c>
      <c r="R4290">
        <v>10.200000000000003</v>
      </c>
      <c r="S4290" t="s">
        <v>130</v>
      </c>
    </row>
    <row r="4291" spans="1:19" x14ac:dyDescent="0.35">
      <c r="A4291">
        <v>145391</v>
      </c>
      <c r="B4291" t="str">
        <f>"145391"</f>
        <v>145391</v>
      </c>
      <c r="C4291" t="s">
        <v>12569</v>
      </c>
      <c r="D4291" t="s">
        <v>3400</v>
      </c>
      <c r="E4291" t="s">
        <v>3395</v>
      </c>
      <c r="F4291" t="s">
        <v>3396</v>
      </c>
      <c r="G4291" t="s">
        <v>117</v>
      </c>
      <c r="H4291" t="s">
        <v>12570</v>
      </c>
      <c r="I4291" t="s">
        <v>12571</v>
      </c>
      <c r="J4291" t="s">
        <v>120</v>
      </c>
      <c r="K4291" t="s">
        <v>55</v>
      </c>
      <c r="L4291" t="s">
        <v>121</v>
      </c>
      <c r="M4291" t="s">
        <v>57</v>
      </c>
      <c r="N4291" t="str">
        <f>"043497"</f>
        <v>043497</v>
      </c>
      <c r="O4291" t="s">
        <v>2889</v>
      </c>
      <c r="P4291" t="s">
        <v>68</v>
      </c>
      <c r="Q4291">
        <v>100</v>
      </c>
      <c r="R4291">
        <v>33.5</v>
      </c>
      <c r="S4291" t="s">
        <v>77</v>
      </c>
    </row>
    <row r="4292" spans="1:19" x14ac:dyDescent="0.35">
      <c r="A4292">
        <v>145409</v>
      </c>
      <c r="B4292" t="str">
        <f>"145409"</f>
        <v>145409</v>
      </c>
      <c r="C4292" t="s">
        <v>12572</v>
      </c>
      <c r="D4292" t="s">
        <v>3394</v>
      </c>
      <c r="E4292" t="s">
        <v>3395</v>
      </c>
      <c r="F4292" t="s">
        <v>3396</v>
      </c>
      <c r="G4292" t="s">
        <v>117</v>
      </c>
      <c r="H4292" t="s">
        <v>12573</v>
      </c>
      <c r="I4292" t="s">
        <v>12574</v>
      </c>
      <c r="J4292" t="s">
        <v>120</v>
      </c>
      <c r="K4292" t="s">
        <v>55</v>
      </c>
      <c r="L4292" t="s">
        <v>121</v>
      </c>
      <c r="M4292" t="s">
        <v>57</v>
      </c>
      <c r="N4292" t="str">
        <f>"043497"</f>
        <v>043497</v>
      </c>
      <c r="O4292" t="s">
        <v>2889</v>
      </c>
      <c r="P4292" t="s">
        <v>68</v>
      </c>
      <c r="Q4292">
        <v>100</v>
      </c>
      <c r="R4292">
        <v>34.400000000000006</v>
      </c>
      <c r="S4292" t="s">
        <v>77</v>
      </c>
    </row>
    <row r="4293" spans="1:19" x14ac:dyDescent="0.35">
      <c r="A4293">
        <v>145417</v>
      </c>
      <c r="B4293" t="str">
        <f>"145417"</f>
        <v>145417</v>
      </c>
      <c r="C4293" t="s">
        <v>12575</v>
      </c>
      <c r="D4293" t="s">
        <v>3394</v>
      </c>
      <c r="E4293" t="s">
        <v>3395</v>
      </c>
      <c r="F4293" t="s">
        <v>3396</v>
      </c>
      <c r="G4293" t="s">
        <v>117</v>
      </c>
      <c r="H4293" t="s">
        <v>12576</v>
      </c>
      <c r="I4293" t="s">
        <v>12577</v>
      </c>
      <c r="J4293" t="s">
        <v>120</v>
      </c>
      <c r="K4293" t="s">
        <v>55</v>
      </c>
      <c r="L4293" t="s">
        <v>121</v>
      </c>
      <c r="M4293" t="s">
        <v>57</v>
      </c>
      <c r="N4293" t="str">
        <f>"043497"</f>
        <v>043497</v>
      </c>
      <c r="O4293" t="s">
        <v>2889</v>
      </c>
      <c r="P4293" t="s">
        <v>68</v>
      </c>
      <c r="Q4293">
        <v>100</v>
      </c>
      <c r="R4293">
        <v>36.6</v>
      </c>
      <c r="S4293" t="s">
        <v>77</v>
      </c>
    </row>
    <row r="4294" spans="1:19" x14ac:dyDescent="0.35">
      <c r="A4294">
        <v>145433</v>
      </c>
      <c r="B4294" t="str">
        <f>"145433"</f>
        <v>145433</v>
      </c>
      <c r="C4294" t="s">
        <v>12578</v>
      </c>
      <c r="D4294" t="s">
        <v>3394</v>
      </c>
      <c r="E4294" t="s">
        <v>3395</v>
      </c>
      <c r="F4294" t="s">
        <v>3396</v>
      </c>
      <c r="G4294" t="s">
        <v>117</v>
      </c>
      <c r="H4294" t="s">
        <v>12579</v>
      </c>
      <c r="I4294" t="s">
        <v>12580</v>
      </c>
      <c r="J4294" t="s">
        <v>977</v>
      </c>
      <c r="K4294" t="s">
        <v>55</v>
      </c>
      <c r="L4294" t="s">
        <v>978</v>
      </c>
      <c r="M4294" t="s">
        <v>57</v>
      </c>
      <c r="N4294" t="str">
        <f>"049858"</f>
        <v>049858</v>
      </c>
      <c r="O4294" t="s">
        <v>2490</v>
      </c>
      <c r="P4294" t="s">
        <v>68</v>
      </c>
      <c r="Q4294">
        <v>12.8</v>
      </c>
      <c r="R4294">
        <v>14</v>
      </c>
      <c r="S4294" t="s">
        <v>77</v>
      </c>
    </row>
    <row r="4295" spans="1:19" x14ac:dyDescent="0.35">
      <c r="A4295">
        <v>145466</v>
      </c>
      <c r="B4295" t="str">
        <f>"145466"</f>
        <v>145466</v>
      </c>
      <c r="C4295" t="s">
        <v>12581</v>
      </c>
      <c r="D4295" t="s">
        <v>3394</v>
      </c>
      <c r="E4295" t="s">
        <v>3395</v>
      </c>
      <c r="F4295" t="s">
        <v>3396</v>
      </c>
      <c r="G4295" t="s">
        <v>600</v>
      </c>
      <c r="H4295" t="s">
        <v>12582</v>
      </c>
      <c r="I4295" t="s">
        <v>12583</v>
      </c>
      <c r="J4295" t="s">
        <v>2643</v>
      </c>
      <c r="K4295" t="s">
        <v>55</v>
      </c>
      <c r="L4295" t="s">
        <v>2644</v>
      </c>
      <c r="M4295" t="s">
        <v>57</v>
      </c>
      <c r="N4295" t="str">
        <f>"046946"</f>
        <v>046946</v>
      </c>
      <c r="O4295" t="s">
        <v>2640</v>
      </c>
      <c r="P4295" t="s">
        <v>68</v>
      </c>
      <c r="Q4295">
        <v>43.5</v>
      </c>
      <c r="R4295">
        <v>51.6</v>
      </c>
      <c r="S4295" t="s">
        <v>60</v>
      </c>
    </row>
    <row r="4296" spans="1:19" x14ac:dyDescent="0.35">
      <c r="A4296">
        <v>145532</v>
      </c>
      <c r="B4296" t="str">
        <f>"145532"</f>
        <v>145532</v>
      </c>
      <c r="C4296" t="s">
        <v>12584</v>
      </c>
      <c r="D4296" t="s">
        <v>3394</v>
      </c>
      <c r="E4296" t="s">
        <v>3395</v>
      </c>
      <c r="F4296" t="s">
        <v>3396</v>
      </c>
      <c r="G4296" t="s">
        <v>110</v>
      </c>
      <c r="H4296" t="s">
        <v>12585</v>
      </c>
      <c r="I4296" t="s">
        <v>12586</v>
      </c>
      <c r="J4296" t="s">
        <v>551</v>
      </c>
      <c r="K4296" t="s">
        <v>55</v>
      </c>
      <c r="L4296" t="s">
        <v>552</v>
      </c>
      <c r="M4296" t="s">
        <v>57</v>
      </c>
      <c r="N4296" t="str">
        <f>"045393"</f>
        <v>045393</v>
      </c>
      <c r="O4296" t="s">
        <v>548</v>
      </c>
      <c r="P4296" t="s">
        <v>68</v>
      </c>
      <c r="Q4296">
        <v>2.7</v>
      </c>
      <c r="R4296">
        <v>10.400000000000006</v>
      </c>
      <c r="S4296" t="s">
        <v>60</v>
      </c>
    </row>
    <row r="4297" spans="1:19" x14ac:dyDescent="0.35">
      <c r="A4297">
        <v>145557</v>
      </c>
      <c r="B4297" t="str">
        <f>"145557"</f>
        <v>145557</v>
      </c>
      <c r="C4297" t="s">
        <v>12587</v>
      </c>
      <c r="D4297" t="s">
        <v>3398</v>
      </c>
      <c r="E4297" t="s">
        <v>3395</v>
      </c>
      <c r="F4297" t="s">
        <v>3396</v>
      </c>
      <c r="G4297" t="s">
        <v>212</v>
      </c>
      <c r="H4297" t="s">
        <v>12588</v>
      </c>
      <c r="I4297" t="s">
        <v>12589</v>
      </c>
      <c r="J4297" t="s">
        <v>215</v>
      </c>
      <c r="K4297" t="s">
        <v>55</v>
      </c>
      <c r="L4297" t="s">
        <v>4199</v>
      </c>
      <c r="M4297" t="s">
        <v>57</v>
      </c>
      <c r="N4297" t="str">
        <f>"043752"</f>
        <v>043752</v>
      </c>
      <c r="O4297" t="s">
        <v>440</v>
      </c>
      <c r="P4297" t="s">
        <v>68</v>
      </c>
      <c r="Q4297">
        <v>98.6</v>
      </c>
      <c r="R4297">
        <v>90</v>
      </c>
      <c r="S4297" t="s">
        <v>217</v>
      </c>
    </row>
    <row r="4298" spans="1:19" x14ac:dyDescent="0.35">
      <c r="A4298">
        <v>145581</v>
      </c>
      <c r="B4298" t="str">
        <f>"145581"</f>
        <v>145581</v>
      </c>
      <c r="C4298" t="s">
        <v>12590</v>
      </c>
      <c r="D4298" t="s">
        <v>3394</v>
      </c>
      <c r="E4298" t="s">
        <v>3395</v>
      </c>
      <c r="F4298" t="s">
        <v>3396</v>
      </c>
      <c r="G4298" t="s">
        <v>212</v>
      </c>
      <c r="H4298" t="s">
        <v>12591</v>
      </c>
      <c r="I4298" t="s">
        <v>12592</v>
      </c>
      <c r="J4298" t="s">
        <v>215</v>
      </c>
      <c r="K4298" t="s">
        <v>55</v>
      </c>
      <c r="L4298" t="s">
        <v>3919</v>
      </c>
      <c r="M4298" t="s">
        <v>57</v>
      </c>
      <c r="N4298" t="str">
        <f>"043752"</f>
        <v>043752</v>
      </c>
      <c r="O4298" t="s">
        <v>440</v>
      </c>
      <c r="P4298" t="s">
        <v>68</v>
      </c>
      <c r="Q4298">
        <v>99.3</v>
      </c>
      <c r="R4298">
        <v>96.7</v>
      </c>
      <c r="S4298" t="s">
        <v>217</v>
      </c>
    </row>
    <row r="4299" spans="1:19" x14ac:dyDescent="0.35">
      <c r="A4299">
        <v>145722</v>
      </c>
      <c r="B4299" t="str">
        <f>"145722"</f>
        <v>145722</v>
      </c>
      <c r="C4299" t="s">
        <v>12593</v>
      </c>
      <c r="D4299" t="s">
        <v>3394</v>
      </c>
      <c r="E4299" t="s">
        <v>3395</v>
      </c>
      <c r="F4299" t="s">
        <v>3396</v>
      </c>
      <c r="G4299" t="s">
        <v>212</v>
      </c>
      <c r="H4299" t="s">
        <v>12594</v>
      </c>
      <c r="I4299" t="s">
        <v>12595</v>
      </c>
      <c r="J4299" t="s">
        <v>215</v>
      </c>
      <c r="K4299" t="s">
        <v>55</v>
      </c>
      <c r="L4299" t="s">
        <v>9822</v>
      </c>
      <c r="M4299" t="s">
        <v>57</v>
      </c>
      <c r="N4299" t="str">
        <f>"043752"</f>
        <v>043752</v>
      </c>
      <c r="O4299" t="s">
        <v>440</v>
      </c>
      <c r="P4299" t="s">
        <v>68</v>
      </c>
      <c r="Q4299">
        <v>98.5</v>
      </c>
      <c r="R4299">
        <v>63.2</v>
      </c>
      <c r="S4299" t="s">
        <v>217</v>
      </c>
    </row>
    <row r="4300" spans="1:19" x14ac:dyDescent="0.35">
      <c r="A4300">
        <v>145870</v>
      </c>
      <c r="B4300" t="str">
        <f>"145870"</f>
        <v>145870</v>
      </c>
      <c r="C4300" t="s">
        <v>12596</v>
      </c>
      <c r="D4300" t="s">
        <v>3394</v>
      </c>
      <c r="E4300" t="s">
        <v>3395</v>
      </c>
      <c r="F4300" t="s">
        <v>3396</v>
      </c>
      <c r="G4300" t="s">
        <v>383</v>
      </c>
      <c r="H4300" t="s">
        <v>12597</v>
      </c>
      <c r="I4300" t="s">
        <v>12598</v>
      </c>
      <c r="J4300" t="s">
        <v>3349</v>
      </c>
      <c r="K4300" t="s">
        <v>55</v>
      </c>
      <c r="L4300" t="s">
        <v>3350</v>
      </c>
      <c r="M4300" t="s">
        <v>57</v>
      </c>
      <c r="N4300" t="str">
        <f>"044859"</f>
        <v>044859</v>
      </c>
      <c r="O4300" t="s">
        <v>3346</v>
      </c>
      <c r="P4300" t="s">
        <v>68</v>
      </c>
      <c r="Q4300">
        <v>99.8</v>
      </c>
      <c r="R4300">
        <v>31.799999999999997</v>
      </c>
      <c r="S4300" t="s">
        <v>77</v>
      </c>
    </row>
    <row r="4301" spans="1:19" x14ac:dyDescent="0.35">
      <c r="A4301">
        <v>145953</v>
      </c>
      <c r="B4301" t="str">
        <f>"145953"</f>
        <v>145953</v>
      </c>
      <c r="C4301" t="s">
        <v>12599</v>
      </c>
      <c r="D4301" t="s">
        <v>3398</v>
      </c>
      <c r="E4301" t="s">
        <v>3395</v>
      </c>
      <c r="F4301" t="s">
        <v>3396</v>
      </c>
      <c r="G4301" t="s">
        <v>52</v>
      </c>
      <c r="H4301" t="s">
        <v>12600</v>
      </c>
      <c r="I4301" t="s">
        <v>12601</v>
      </c>
      <c r="J4301" t="s">
        <v>11302</v>
      </c>
      <c r="K4301" t="s">
        <v>55</v>
      </c>
      <c r="L4301" t="s">
        <v>11303</v>
      </c>
      <c r="M4301" t="s">
        <v>57</v>
      </c>
      <c r="N4301" t="str">
        <f>"046763"</f>
        <v>046763</v>
      </c>
      <c r="O4301" t="s">
        <v>2667</v>
      </c>
      <c r="P4301" t="s">
        <v>68</v>
      </c>
      <c r="Q4301">
        <v>4.3</v>
      </c>
      <c r="R4301">
        <v>25.200000000000003</v>
      </c>
      <c r="S4301" t="s">
        <v>60</v>
      </c>
    </row>
    <row r="4302" spans="1:19" x14ac:dyDescent="0.35">
      <c r="A4302">
        <v>145987</v>
      </c>
      <c r="B4302" t="str">
        <f>"145987"</f>
        <v>145987</v>
      </c>
      <c r="C4302" t="s">
        <v>12602</v>
      </c>
      <c r="D4302" t="s">
        <v>3394</v>
      </c>
      <c r="E4302" t="s">
        <v>3395</v>
      </c>
      <c r="F4302" t="s">
        <v>3396</v>
      </c>
      <c r="G4302" t="s">
        <v>642</v>
      </c>
      <c r="H4302" t="s">
        <v>12603</v>
      </c>
      <c r="I4302" t="s">
        <v>12604</v>
      </c>
      <c r="J4302" t="s">
        <v>2841</v>
      </c>
      <c r="K4302" t="s">
        <v>55</v>
      </c>
      <c r="L4302" t="s">
        <v>2842</v>
      </c>
      <c r="M4302" t="s">
        <v>57</v>
      </c>
      <c r="N4302" t="str">
        <f>"047266"</f>
        <v>047266</v>
      </c>
      <c r="O4302" t="s">
        <v>2838</v>
      </c>
      <c r="P4302" t="s">
        <v>68</v>
      </c>
      <c r="Q4302">
        <v>25.8</v>
      </c>
      <c r="R4302">
        <v>6.2999999999999972</v>
      </c>
      <c r="S4302" t="s">
        <v>180</v>
      </c>
    </row>
    <row r="4303" spans="1:19" x14ac:dyDescent="0.35">
      <c r="A4303">
        <v>146035</v>
      </c>
      <c r="B4303" t="str">
        <f>"146035"</f>
        <v>146035</v>
      </c>
      <c r="C4303" t="s">
        <v>12605</v>
      </c>
      <c r="D4303" t="s">
        <v>3394</v>
      </c>
      <c r="E4303" t="s">
        <v>3395</v>
      </c>
      <c r="F4303" t="s">
        <v>3396</v>
      </c>
      <c r="G4303" t="s">
        <v>1193</v>
      </c>
      <c r="H4303" t="s">
        <v>12606</v>
      </c>
      <c r="I4303" t="s">
        <v>12607</v>
      </c>
      <c r="J4303" t="s">
        <v>1196</v>
      </c>
      <c r="K4303" t="s">
        <v>55</v>
      </c>
      <c r="L4303" t="s">
        <v>1830</v>
      </c>
      <c r="M4303" t="s">
        <v>57</v>
      </c>
      <c r="N4303" t="str">
        <f>"044222"</f>
        <v>044222</v>
      </c>
      <c r="O4303" t="s">
        <v>1827</v>
      </c>
      <c r="P4303" t="s">
        <v>68</v>
      </c>
      <c r="Q4303">
        <v>100</v>
      </c>
      <c r="R4303">
        <v>71.400000000000006</v>
      </c>
      <c r="S4303" t="s">
        <v>156</v>
      </c>
    </row>
    <row r="4304" spans="1:19" x14ac:dyDescent="0.35">
      <c r="A4304">
        <v>146043</v>
      </c>
      <c r="B4304" t="str">
        <f>"146043"</f>
        <v>146043</v>
      </c>
      <c r="C4304" t="s">
        <v>11510</v>
      </c>
      <c r="D4304" t="s">
        <v>3394</v>
      </c>
      <c r="E4304" t="s">
        <v>3395</v>
      </c>
      <c r="F4304" t="s">
        <v>3396</v>
      </c>
      <c r="G4304" t="s">
        <v>1193</v>
      </c>
      <c r="H4304" t="s">
        <v>12608</v>
      </c>
      <c r="I4304" t="s">
        <v>12609</v>
      </c>
      <c r="J4304" t="s">
        <v>1196</v>
      </c>
      <c r="K4304" t="s">
        <v>55</v>
      </c>
      <c r="L4304" t="s">
        <v>1830</v>
      </c>
      <c r="M4304" t="s">
        <v>57</v>
      </c>
      <c r="N4304" t="str">
        <f>"044222"</f>
        <v>044222</v>
      </c>
      <c r="O4304" t="s">
        <v>1827</v>
      </c>
      <c r="P4304" t="s">
        <v>68</v>
      </c>
      <c r="Q4304">
        <v>100</v>
      </c>
      <c r="R4304">
        <v>61.1</v>
      </c>
      <c r="S4304" t="s">
        <v>156</v>
      </c>
    </row>
    <row r="4305" spans="1:19" x14ac:dyDescent="0.35">
      <c r="A4305">
        <v>146050</v>
      </c>
      <c r="B4305" t="str">
        <f>"146050"</f>
        <v>146050</v>
      </c>
      <c r="C4305" t="s">
        <v>8943</v>
      </c>
      <c r="D4305" t="s">
        <v>3394</v>
      </c>
      <c r="E4305" t="s">
        <v>3395</v>
      </c>
      <c r="F4305" t="s">
        <v>3396</v>
      </c>
      <c r="G4305" t="s">
        <v>1193</v>
      </c>
      <c r="H4305" t="s">
        <v>12610</v>
      </c>
      <c r="I4305" t="s">
        <v>12611</v>
      </c>
      <c r="J4305" t="s">
        <v>1196</v>
      </c>
      <c r="K4305" t="s">
        <v>55</v>
      </c>
      <c r="L4305" t="s">
        <v>9149</v>
      </c>
      <c r="M4305" t="s">
        <v>57</v>
      </c>
      <c r="N4305" t="str">
        <f>"044222"</f>
        <v>044222</v>
      </c>
      <c r="O4305" t="s">
        <v>1827</v>
      </c>
      <c r="P4305" t="s">
        <v>68</v>
      </c>
      <c r="Q4305">
        <v>100</v>
      </c>
      <c r="R4305">
        <v>61.3</v>
      </c>
      <c r="S4305" t="s">
        <v>156</v>
      </c>
    </row>
    <row r="4306" spans="1:19" x14ac:dyDescent="0.35">
      <c r="A4306">
        <v>146084</v>
      </c>
      <c r="B4306" t="str">
        <f>"146084"</f>
        <v>146084</v>
      </c>
      <c r="C4306" t="s">
        <v>12612</v>
      </c>
      <c r="D4306" t="s">
        <v>3394</v>
      </c>
      <c r="E4306" t="s">
        <v>3395</v>
      </c>
      <c r="F4306" t="s">
        <v>3396</v>
      </c>
      <c r="G4306" t="s">
        <v>52</v>
      </c>
      <c r="H4306" t="s">
        <v>12613</v>
      </c>
      <c r="I4306" t="s">
        <v>12614</v>
      </c>
      <c r="J4306" t="s">
        <v>1956</v>
      </c>
      <c r="K4306" t="s">
        <v>55</v>
      </c>
      <c r="L4306" t="s">
        <v>1957</v>
      </c>
      <c r="M4306" t="s">
        <v>57</v>
      </c>
      <c r="N4306" t="str">
        <f>"047027"</f>
        <v>047027</v>
      </c>
      <c r="O4306" t="s">
        <v>1953</v>
      </c>
      <c r="P4306" t="s">
        <v>68</v>
      </c>
      <c r="Q4306">
        <v>2</v>
      </c>
      <c r="R4306">
        <v>21.299999999999997</v>
      </c>
      <c r="S4306" t="s">
        <v>60</v>
      </c>
    </row>
    <row r="4307" spans="1:19" x14ac:dyDescent="0.35">
      <c r="A4307">
        <v>146134</v>
      </c>
      <c r="B4307" t="str">
        <f>"146134"</f>
        <v>146134</v>
      </c>
      <c r="C4307" t="s">
        <v>12615</v>
      </c>
      <c r="D4307" t="s">
        <v>3394</v>
      </c>
      <c r="E4307" t="s">
        <v>3395</v>
      </c>
      <c r="F4307" t="s">
        <v>3396</v>
      </c>
      <c r="G4307" t="s">
        <v>1948</v>
      </c>
      <c r="H4307" t="s">
        <v>12616</v>
      </c>
      <c r="I4307" t="s">
        <v>12617</v>
      </c>
      <c r="J4307" t="s">
        <v>1951</v>
      </c>
      <c r="K4307" t="s">
        <v>55</v>
      </c>
      <c r="L4307" t="s">
        <v>1952</v>
      </c>
      <c r="M4307" t="s">
        <v>57</v>
      </c>
      <c r="N4307" t="str">
        <f>"045476"</f>
        <v>045476</v>
      </c>
      <c r="O4307" t="s">
        <v>1947</v>
      </c>
      <c r="P4307" t="s">
        <v>68</v>
      </c>
      <c r="Q4307">
        <v>25.9</v>
      </c>
      <c r="R4307">
        <v>22.5</v>
      </c>
      <c r="S4307" t="s">
        <v>60</v>
      </c>
    </row>
    <row r="4308" spans="1:19" x14ac:dyDescent="0.35">
      <c r="A4308">
        <v>146167</v>
      </c>
      <c r="B4308" t="str">
        <f>"146167"</f>
        <v>146167</v>
      </c>
      <c r="C4308" t="s">
        <v>12618</v>
      </c>
      <c r="D4308" t="s">
        <v>3394</v>
      </c>
      <c r="E4308" t="s">
        <v>3395</v>
      </c>
      <c r="F4308" t="s">
        <v>3396</v>
      </c>
      <c r="G4308" t="s">
        <v>52</v>
      </c>
      <c r="H4308" t="s">
        <v>12619</v>
      </c>
      <c r="I4308" t="s">
        <v>12620</v>
      </c>
      <c r="J4308" t="s">
        <v>2690</v>
      </c>
      <c r="K4308" t="s">
        <v>55</v>
      </c>
      <c r="L4308" t="s">
        <v>10334</v>
      </c>
      <c r="M4308" t="s">
        <v>57</v>
      </c>
      <c r="N4308" t="str">
        <f>"045047"</f>
        <v>045047</v>
      </c>
      <c r="O4308" t="s">
        <v>2687</v>
      </c>
      <c r="P4308" t="s">
        <v>68</v>
      </c>
      <c r="Q4308">
        <v>29.4</v>
      </c>
      <c r="R4308">
        <v>37.4</v>
      </c>
      <c r="S4308" t="s">
        <v>60</v>
      </c>
    </row>
    <row r="4309" spans="1:19" x14ac:dyDescent="0.35">
      <c r="A4309">
        <v>146175</v>
      </c>
      <c r="B4309" t="str">
        <f>"146175"</f>
        <v>146175</v>
      </c>
      <c r="C4309" t="s">
        <v>12621</v>
      </c>
      <c r="D4309" t="s">
        <v>3394</v>
      </c>
      <c r="E4309" t="s">
        <v>3395</v>
      </c>
      <c r="F4309" t="s">
        <v>3396</v>
      </c>
      <c r="G4309" t="s">
        <v>52</v>
      </c>
      <c r="H4309" t="s">
        <v>12622</v>
      </c>
      <c r="I4309" t="s">
        <v>12623</v>
      </c>
      <c r="J4309" t="s">
        <v>2690</v>
      </c>
      <c r="K4309" t="s">
        <v>55</v>
      </c>
      <c r="L4309" t="s">
        <v>10334</v>
      </c>
      <c r="M4309" t="s">
        <v>57</v>
      </c>
      <c r="N4309" t="str">
        <f>"045047"</f>
        <v>045047</v>
      </c>
      <c r="O4309" t="s">
        <v>2687</v>
      </c>
      <c r="P4309" t="s">
        <v>68</v>
      </c>
      <c r="Q4309">
        <v>17.2</v>
      </c>
      <c r="R4309">
        <v>27</v>
      </c>
      <c r="S4309" t="s">
        <v>60</v>
      </c>
    </row>
    <row r="4310" spans="1:19" x14ac:dyDescent="0.35">
      <c r="A4310">
        <v>146183</v>
      </c>
      <c r="B4310" t="str">
        <f>"146183"</f>
        <v>146183</v>
      </c>
      <c r="C4310" t="s">
        <v>12624</v>
      </c>
      <c r="D4310" t="s">
        <v>3398</v>
      </c>
      <c r="E4310" t="s">
        <v>3395</v>
      </c>
      <c r="F4310" t="s">
        <v>3396</v>
      </c>
      <c r="G4310" t="s">
        <v>52</v>
      </c>
      <c r="H4310" t="s">
        <v>12625</v>
      </c>
      <c r="I4310" t="s">
        <v>12626</v>
      </c>
      <c r="J4310" t="s">
        <v>2690</v>
      </c>
      <c r="K4310" t="s">
        <v>55</v>
      </c>
      <c r="L4310" t="s">
        <v>10334</v>
      </c>
      <c r="M4310" t="s">
        <v>57</v>
      </c>
      <c r="N4310" t="str">
        <f>"045047"</f>
        <v>045047</v>
      </c>
      <c r="O4310" t="s">
        <v>2687</v>
      </c>
      <c r="P4310" t="s">
        <v>68</v>
      </c>
      <c r="Q4310">
        <v>30.7</v>
      </c>
      <c r="R4310">
        <v>46.1</v>
      </c>
      <c r="S4310" t="s">
        <v>60</v>
      </c>
    </row>
    <row r="4311" spans="1:19" x14ac:dyDescent="0.35">
      <c r="A4311">
        <v>146209</v>
      </c>
      <c r="B4311" t="str">
        <f>"146209"</f>
        <v>146209</v>
      </c>
      <c r="C4311" t="s">
        <v>12627</v>
      </c>
      <c r="D4311" t="s">
        <v>3394</v>
      </c>
      <c r="E4311" t="s">
        <v>3395</v>
      </c>
      <c r="F4311" t="s">
        <v>3396</v>
      </c>
      <c r="G4311" t="s">
        <v>1567</v>
      </c>
      <c r="H4311" t="s">
        <v>12628</v>
      </c>
      <c r="I4311" t="s">
        <v>12629</v>
      </c>
      <c r="J4311" t="s">
        <v>2439</v>
      </c>
      <c r="K4311" t="s">
        <v>55</v>
      </c>
      <c r="L4311" t="s">
        <v>2440</v>
      </c>
      <c r="M4311" t="s">
        <v>57</v>
      </c>
      <c r="N4311" t="str">
        <f>"049106"</f>
        <v>049106</v>
      </c>
      <c r="O4311" t="s">
        <v>2436</v>
      </c>
      <c r="P4311" t="s">
        <v>68</v>
      </c>
      <c r="Q4311">
        <v>44.9</v>
      </c>
      <c r="R4311">
        <v>5.2000000000000028</v>
      </c>
      <c r="S4311" t="s">
        <v>60</v>
      </c>
    </row>
    <row r="4312" spans="1:19" x14ac:dyDescent="0.35">
      <c r="A4312">
        <v>146217</v>
      </c>
      <c r="B4312" t="str">
        <f>"146217"</f>
        <v>146217</v>
      </c>
      <c r="C4312" t="s">
        <v>5008</v>
      </c>
      <c r="D4312" t="s">
        <v>3394</v>
      </c>
      <c r="E4312" t="s">
        <v>3395</v>
      </c>
      <c r="F4312" t="s">
        <v>3396</v>
      </c>
      <c r="G4312" t="s">
        <v>79</v>
      </c>
      <c r="H4312" t="s">
        <v>12630</v>
      </c>
      <c r="I4312" t="s">
        <v>12631</v>
      </c>
      <c r="J4312" t="s">
        <v>470</v>
      </c>
      <c r="K4312" t="s">
        <v>55</v>
      </c>
      <c r="L4312" t="s">
        <v>471</v>
      </c>
      <c r="M4312" t="s">
        <v>57</v>
      </c>
      <c r="N4312" t="str">
        <f>"047746"</f>
        <v>047746</v>
      </c>
      <c r="O4312" t="s">
        <v>467</v>
      </c>
      <c r="P4312" t="s">
        <v>68</v>
      </c>
      <c r="Q4312">
        <v>53.2</v>
      </c>
      <c r="R4312">
        <v>5.2000000000000028</v>
      </c>
      <c r="S4312" t="s">
        <v>69</v>
      </c>
    </row>
    <row r="4313" spans="1:19" x14ac:dyDescent="0.35">
      <c r="A4313">
        <v>146308</v>
      </c>
      <c r="B4313" t="str">
        <f>"146308"</f>
        <v>146308</v>
      </c>
      <c r="C4313" t="s">
        <v>12632</v>
      </c>
      <c r="D4313" t="s">
        <v>3400</v>
      </c>
      <c r="E4313" t="s">
        <v>3395</v>
      </c>
      <c r="F4313" t="s">
        <v>3396</v>
      </c>
      <c r="G4313" t="s">
        <v>219</v>
      </c>
      <c r="H4313" t="s">
        <v>9197</v>
      </c>
      <c r="I4313" t="s">
        <v>9198</v>
      </c>
      <c r="J4313" t="s">
        <v>1848</v>
      </c>
      <c r="K4313" t="s">
        <v>55</v>
      </c>
      <c r="L4313" t="s">
        <v>1849</v>
      </c>
      <c r="M4313" t="s">
        <v>57</v>
      </c>
      <c r="N4313" t="str">
        <f>"049668"</f>
        <v>049668</v>
      </c>
      <c r="O4313" t="s">
        <v>1845</v>
      </c>
      <c r="P4313" t="s">
        <v>68</v>
      </c>
      <c r="Q4313">
        <v>35.5</v>
      </c>
      <c r="R4313">
        <v>7</v>
      </c>
      <c r="S4313" t="s">
        <v>130</v>
      </c>
    </row>
    <row r="4314" spans="1:19" x14ac:dyDescent="0.35">
      <c r="A4314">
        <v>146332</v>
      </c>
      <c r="B4314" t="str">
        <f>"146332"</f>
        <v>146332</v>
      </c>
      <c r="C4314" t="s">
        <v>12633</v>
      </c>
      <c r="D4314" t="s">
        <v>3394</v>
      </c>
      <c r="E4314" t="s">
        <v>3395</v>
      </c>
      <c r="F4314" t="s">
        <v>3396</v>
      </c>
      <c r="G4314" t="s">
        <v>554</v>
      </c>
      <c r="H4314" t="s">
        <v>2917</v>
      </c>
      <c r="I4314" t="s">
        <v>2918</v>
      </c>
      <c r="J4314" t="s">
        <v>2919</v>
      </c>
      <c r="K4314" t="s">
        <v>55</v>
      </c>
      <c r="L4314" t="s">
        <v>2920</v>
      </c>
      <c r="M4314" t="s">
        <v>57</v>
      </c>
      <c r="N4314" t="str">
        <f>"045948"</f>
        <v>045948</v>
      </c>
      <c r="O4314" t="s">
        <v>2916</v>
      </c>
      <c r="P4314" t="s">
        <v>68</v>
      </c>
      <c r="Q4314">
        <v>8.1</v>
      </c>
      <c r="R4314">
        <v>3.0999999999999943</v>
      </c>
      <c r="S4314" t="s">
        <v>156</v>
      </c>
    </row>
    <row r="4315" spans="1:19" x14ac:dyDescent="0.35">
      <c r="A4315">
        <v>146365</v>
      </c>
      <c r="B4315" t="str">
        <f>"146365"</f>
        <v>146365</v>
      </c>
      <c r="C4315" t="s">
        <v>12634</v>
      </c>
      <c r="D4315" t="s">
        <v>3398</v>
      </c>
      <c r="E4315" t="s">
        <v>3395</v>
      </c>
      <c r="F4315" t="s">
        <v>3396</v>
      </c>
      <c r="G4315" t="s">
        <v>212</v>
      </c>
      <c r="H4315" t="s">
        <v>12635</v>
      </c>
      <c r="I4315" t="s">
        <v>12636</v>
      </c>
      <c r="J4315" t="s">
        <v>215</v>
      </c>
      <c r="K4315" t="s">
        <v>55</v>
      </c>
      <c r="L4315" t="s">
        <v>6210</v>
      </c>
      <c r="M4315" t="s">
        <v>57</v>
      </c>
      <c r="N4315" t="str">
        <f>"043752"</f>
        <v>043752</v>
      </c>
      <c r="O4315" t="s">
        <v>440</v>
      </c>
      <c r="P4315" t="s">
        <v>68</v>
      </c>
      <c r="Q4315">
        <v>99.4</v>
      </c>
      <c r="R4315">
        <v>97.8</v>
      </c>
      <c r="S4315" t="s">
        <v>217</v>
      </c>
    </row>
    <row r="4316" spans="1:19" x14ac:dyDescent="0.35">
      <c r="A4316">
        <v>146373</v>
      </c>
      <c r="B4316" t="str">
        <f>"146373"</f>
        <v>146373</v>
      </c>
      <c r="C4316" t="s">
        <v>12637</v>
      </c>
      <c r="D4316" t="s">
        <v>3398</v>
      </c>
      <c r="E4316" t="s">
        <v>3395</v>
      </c>
      <c r="F4316" t="s">
        <v>3396</v>
      </c>
      <c r="G4316" t="s">
        <v>200</v>
      </c>
      <c r="H4316" t="s">
        <v>12638</v>
      </c>
      <c r="I4316" t="s">
        <v>12639</v>
      </c>
      <c r="J4316" t="s">
        <v>304</v>
      </c>
      <c r="K4316" t="s">
        <v>55</v>
      </c>
      <c r="L4316" t="s">
        <v>4721</v>
      </c>
      <c r="M4316" t="s">
        <v>57</v>
      </c>
      <c r="N4316" t="str">
        <f>"044909"</f>
        <v>044909</v>
      </c>
      <c r="O4316" t="s">
        <v>3318</v>
      </c>
      <c r="P4316" t="s">
        <v>68</v>
      </c>
      <c r="Q4316">
        <v>100</v>
      </c>
      <c r="R4316">
        <v>39.1</v>
      </c>
      <c r="S4316" t="s">
        <v>156</v>
      </c>
    </row>
    <row r="4317" spans="1:19" x14ac:dyDescent="0.35">
      <c r="A4317">
        <v>146381</v>
      </c>
      <c r="B4317" t="str">
        <f>"146381"</f>
        <v>146381</v>
      </c>
      <c r="C4317" t="s">
        <v>12640</v>
      </c>
      <c r="D4317" t="s">
        <v>3394</v>
      </c>
      <c r="E4317" t="s">
        <v>3395</v>
      </c>
      <c r="F4317" t="s">
        <v>3396</v>
      </c>
      <c r="G4317" t="s">
        <v>194</v>
      </c>
      <c r="H4317" t="s">
        <v>915</v>
      </c>
      <c r="I4317" t="s">
        <v>916</v>
      </c>
      <c r="J4317" t="s">
        <v>917</v>
      </c>
      <c r="K4317" t="s">
        <v>55</v>
      </c>
      <c r="L4317" t="s">
        <v>918</v>
      </c>
      <c r="M4317" t="s">
        <v>57</v>
      </c>
      <c r="N4317" t="str">
        <f>"049122"</f>
        <v>049122</v>
      </c>
      <c r="O4317" t="s">
        <v>844</v>
      </c>
      <c r="P4317" t="s">
        <v>68</v>
      </c>
      <c r="Q4317">
        <v>99.5</v>
      </c>
      <c r="R4317">
        <v>3.7000000000000028</v>
      </c>
      <c r="S4317" t="s">
        <v>130</v>
      </c>
    </row>
    <row r="4318" spans="1:19" x14ac:dyDescent="0.35">
      <c r="A4318">
        <v>146399</v>
      </c>
      <c r="B4318" t="str">
        <f>"146399"</f>
        <v>146399</v>
      </c>
      <c r="C4318" t="s">
        <v>12641</v>
      </c>
      <c r="D4318" t="s">
        <v>3394</v>
      </c>
      <c r="E4318" t="s">
        <v>3395</v>
      </c>
      <c r="F4318" t="s">
        <v>3396</v>
      </c>
      <c r="G4318" t="s">
        <v>194</v>
      </c>
      <c r="H4318" t="s">
        <v>915</v>
      </c>
      <c r="I4318" t="s">
        <v>916</v>
      </c>
      <c r="J4318" t="s">
        <v>917</v>
      </c>
      <c r="K4318" t="s">
        <v>55</v>
      </c>
      <c r="L4318" t="s">
        <v>918</v>
      </c>
      <c r="M4318" t="s">
        <v>57</v>
      </c>
      <c r="N4318" t="str">
        <f>"049122"</f>
        <v>049122</v>
      </c>
      <c r="O4318" t="s">
        <v>844</v>
      </c>
      <c r="P4318" t="s">
        <v>68</v>
      </c>
      <c r="Q4318">
        <v>99</v>
      </c>
      <c r="R4318">
        <v>4.0999999999999943</v>
      </c>
      <c r="S4318" t="s">
        <v>130</v>
      </c>
    </row>
    <row r="4319" spans="1:19" x14ac:dyDescent="0.35">
      <c r="A4319">
        <v>146407</v>
      </c>
      <c r="B4319" t="str">
        <f>"146407"</f>
        <v>146407</v>
      </c>
      <c r="C4319" t="s">
        <v>12642</v>
      </c>
      <c r="D4319" t="s">
        <v>3400</v>
      </c>
      <c r="E4319" t="s">
        <v>3395</v>
      </c>
      <c r="F4319" t="s">
        <v>3396</v>
      </c>
      <c r="G4319" t="s">
        <v>194</v>
      </c>
      <c r="H4319" t="s">
        <v>915</v>
      </c>
      <c r="I4319" t="s">
        <v>916</v>
      </c>
      <c r="J4319" t="s">
        <v>917</v>
      </c>
      <c r="K4319" t="s">
        <v>55</v>
      </c>
      <c r="L4319" t="s">
        <v>918</v>
      </c>
      <c r="M4319" t="s">
        <v>57</v>
      </c>
      <c r="N4319" t="str">
        <f>"049122"</f>
        <v>049122</v>
      </c>
      <c r="O4319" t="s">
        <v>844</v>
      </c>
      <c r="P4319" t="s">
        <v>68</v>
      </c>
      <c r="Q4319">
        <v>98.9</v>
      </c>
      <c r="R4319">
        <v>2.7999999999999972</v>
      </c>
      <c r="S4319" t="s">
        <v>130</v>
      </c>
    </row>
    <row r="4320" spans="1:19" x14ac:dyDescent="0.35">
      <c r="A4320">
        <v>146464</v>
      </c>
      <c r="B4320" t="str">
        <f>"146464"</f>
        <v>146464</v>
      </c>
      <c r="C4320" t="s">
        <v>12643</v>
      </c>
      <c r="D4320" t="s">
        <v>3394</v>
      </c>
      <c r="E4320" t="s">
        <v>3395</v>
      </c>
      <c r="F4320" t="s">
        <v>3396</v>
      </c>
      <c r="G4320" t="s">
        <v>1335</v>
      </c>
      <c r="H4320" t="s">
        <v>12644</v>
      </c>
      <c r="I4320" t="s">
        <v>12645</v>
      </c>
      <c r="J4320" t="s">
        <v>1640</v>
      </c>
      <c r="K4320" t="s">
        <v>55</v>
      </c>
      <c r="L4320" t="s">
        <v>1641</v>
      </c>
      <c r="M4320" t="s">
        <v>57</v>
      </c>
      <c r="N4320" t="str">
        <f>"047944"</f>
        <v>047944</v>
      </c>
      <c r="O4320" t="s">
        <v>3093</v>
      </c>
      <c r="P4320" t="s">
        <v>68</v>
      </c>
      <c r="Q4320">
        <v>97.2</v>
      </c>
      <c r="R4320">
        <v>1.7000000000000028</v>
      </c>
      <c r="S4320" t="s">
        <v>130</v>
      </c>
    </row>
    <row r="4321" spans="1:19" x14ac:dyDescent="0.35">
      <c r="A4321">
        <v>146472</v>
      </c>
      <c r="B4321" t="str">
        <f>"146472"</f>
        <v>146472</v>
      </c>
      <c r="C4321" t="s">
        <v>12646</v>
      </c>
      <c r="D4321" t="s">
        <v>3400</v>
      </c>
      <c r="E4321" t="s">
        <v>3395</v>
      </c>
      <c r="F4321" t="s">
        <v>3396</v>
      </c>
      <c r="G4321" t="s">
        <v>1335</v>
      </c>
      <c r="H4321" t="s">
        <v>12647</v>
      </c>
      <c r="I4321" t="s">
        <v>12648</v>
      </c>
      <c r="J4321" t="s">
        <v>1640</v>
      </c>
      <c r="K4321" t="s">
        <v>55</v>
      </c>
      <c r="L4321" t="s">
        <v>1641</v>
      </c>
      <c r="M4321" t="s">
        <v>57</v>
      </c>
      <c r="N4321" t="str">
        <f>"047944"</f>
        <v>047944</v>
      </c>
      <c r="O4321" t="s">
        <v>3093</v>
      </c>
      <c r="P4321" t="s">
        <v>68</v>
      </c>
      <c r="Q4321">
        <v>99.3</v>
      </c>
      <c r="R4321">
        <v>1.4000000000000057</v>
      </c>
      <c r="S4321" t="s">
        <v>130</v>
      </c>
    </row>
    <row r="4322" spans="1:19" x14ac:dyDescent="0.35">
      <c r="A4322">
        <v>146480</v>
      </c>
      <c r="B4322" t="str">
        <f>"146480"</f>
        <v>146480</v>
      </c>
      <c r="C4322" t="s">
        <v>12649</v>
      </c>
      <c r="D4322" t="s">
        <v>3398</v>
      </c>
      <c r="E4322" t="s">
        <v>3395</v>
      </c>
      <c r="F4322" t="s">
        <v>3396</v>
      </c>
      <c r="G4322" t="s">
        <v>1335</v>
      </c>
      <c r="H4322" t="s">
        <v>12650</v>
      </c>
      <c r="I4322" t="s">
        <v>12651</v>
      </c>
      <c r="J4322" t="s">
        <v>1640</v>
      </c>
      <c r="K4322" t="s">
        <v>55</v>
      </c>
      <c r="L4322" t="s">
        <v>1641</v>
      </c>
      <c r="M4322" t="s">
        <v>57</v>
      </c>
      <c r="N4322" t="str">
        <f>"047944"</f>
        <v>047944</v>
      </c>
      <c r="O4322" t="s">
        <v>3093</v>
      </c>
      <c r="P4322" t="s">
        <v>68</v>
      </c>
      <c r="Q4322">
        <v>95.4</v>
      </c>
      <c r="R4322">
        <v>2.7999999999999972</v>
      </c>
      <c r="S4322" t="s">
        <v>130</v>
      </c>
    </row>
    <row r="4323" spans="1:19" x14ac:dyDescent="0.35">
      <c r="A4323">
        <v>146837</v>
      </c>
      <c r="B4323" t="str">
        <f>"146837"</f>
        <v>146837</v>
      </c>
      <c r="C4323" t="s">
        <v>12652</v>
      </c>
      <c r="D4323" t="s">
        <v>3394</v>
      </c>
      <c r="E4323" t="s">
        <v>3395</v>
      </c>
      <c r="F4323" t="s">
        <v>3396</v>
      </c>
      <c r="G4323" t="s">
        <v>244</v>
      </c>
      <c r="H4323" t="s">
        <v>12653</v>
      </c>
      <c r="I4323" t="s">
        <v>12654</v>
      </c>
      <c r="J4323" t="s">
        <v>2008</v>
      </c>
      <c r="K4323" t="s">
        <v>55</v>
      </c>
      <c r="L4323" t="s">
        <v>374</v>
      </c>
      <c r="M4323" t="s">
        <v>57</v>
      </c>
      <c r="N4323" t="str">
        <f>"046110"</f>
        <v>046110</v>
      </c>
      <c r="O4323" t="s">
        <v>2005</v>
      </c>
      <c r="P4323" t="s">
        <v>68</v>
      </c>
      <c r="Q4323">
        <v>10.1</v>
      </c>
      <c r="R4323">
        <v>28</v>
      </c>
      <c r="S4323" t="s">
        <v>217</v>
      </c>
    </row>
    <row r="4324" spans="1:19" x14ac:dyDescent="0.35">
      <c r="A4324">
        <v>146845</v>
      </c>
      <c r="B4324" t="str">
        <f>"146845"</f>
        <v>146845</v>
      </c>
      <c r="C4324" t="s">
        <v>12655</v>
      </c>
      <c r="D4324" t="s">
        <v>3506</v>
      </c>
      <c r="E4324" t="s">
        <v>3395</v>
      </c>
      <c r="F4324" t="s">
        <v>3396</v>
      </c>
      <c r="G4324" t="s">
        <v>244</v>
      </c>
      <c r="H4324" t="s">
        <v>12656</v>
      </c>
      <c r="I4324" t="s">
        <v>12657</v>
      </c>
      <c r="J4324" t="s">
        <v>2008</v>
      </c>
      <c r="K4324" t="s">
        <v>55</v>
      </c>
      <c r="L4324" t="s">
        <v>374</v>
      </c>
      <c r="M4324" t="s">
        <v>57</v>
      </c>
      <c r="N4324" t="str">
        <f>"046110"</f>
        <v>046110</v>
      </c>
      <c r="O4324" t="s">
        <v>2005</v>
      </c>
      <c r="P4324" t="s">
        <v>68</v>
      </c>
      <c r="Q4324">
        <v>22.7</v>
      </c>
      <c r="R4324">
        <v>44.5</v>
      </c>
      <c r="S4324" t="s">
        <v>217</v>
      </c>
    </row>
    <row r="4325" spans="1:19" x14ac:dyDescent="0.35">
      <c r="A4325">
        <v>146860</v>
      </c>
      <c r="B4325" t="str">
        <f>"146860"</f>
        <v>146860</v>
      </c>
      <c r="C4325" t="s">
        <v>12658</v>
      </c>
      <c r="D4325" t="s">
        <v>3400</v>
      </c>
      <c r="E4325" t="s">
        <v>3395</v>
      </c>
      <c r="F4325" t="s">
        <v>3396</v>
      </c>
      <c r="G4325" t="s">
        <v>52</v>
      </c>
      <c r="H4325" t="s">
        <v>12659</v>
      </c>
      <c r="I4325" t="s">
        <v>12660</v>
      </c>
      <c r="J4325" t="s">
        <v>2670</v>
      </c>
      <c r="K4325" t="s">
        <v>55</v>
      </c>
      <c r="L4325" t="s">
        <v>2671</v>
      </c>
      <c r="M4325" t="s">
        <v>57</v>
      </c>
      <c r="N4325" t="str">
        <f>"046763"</f>
        <v>046763</v>
      </c>
      <c r="O4325" t="s">
        <v>2667</v>
      </c>
      <c r="P4325" t="s">
        <v>68</v>
      </c>
      <c r="Q4325">
        <v>17</v>
      </c>
      <c r="R4325">
        <v>47</v>
      </c>
      <c r="S4325" t="s">
        <v>60</v>
      </c>
    </row>
    <row r="4326" spans="1:19" x14ac:dyDescent="0.35">
      <c r="A4326">
        <v>146878</v>
      </c>
      <c r="B4326" t="str">
        <f>"146878"</f>
        <v>146878</v>
      </c>
      <c r="C4326" t="s">
        <v>12661</v>
      </c>
      <c r="D4326" t="s">
        <v>3394</v>
      </c>
      <c r="E4326" t="s">
        <v>3395</v>
      </c>
      <c r="F4326" t="s">
        <v>3396</v>
      </c>
      <c r="G4326" t="s">
        <v>52</v>
      </c>
      <c r="H4326" t="s">
        <v>12662</v>
      </c>
      <c r="I4326" t="s">
        <v>12663</v>
      </c>
      <c r="J4326" t="s">
        <v>11302</v>
      </c>
      <c r="K4326" t="s">
        <v>55</v>
      </c>
      <c r="L4326" t="s">
        <v>11303</v>
      </c>
      <c r="M4326" t="s">
        <v>57</v>
      </c>
      <c r="N4326" t="str">
        <f>"046763"</f>
        <v>046763</v>
      </c>
      <c r="O4326" t="s">
        <v>2667</v>
      </c>
      <c r="P4326" t="s">
        <v>68</v>
      </c>
      <c r="Q4326">
        <v>6.4</v>
      </c>
      <c r="R4326">
        <v>34.900000000000006</v>
      </c>
      <c r="S4326" t="s">
        <v>60</v>
      </c>
    </row>
    <row r="4327" spans="1:19" x14ac:dyDescent="0.35">
      <c r="A4327">
        <v>146886</v>
      </c>
      <c r="B4327" t="str">
        <f>"146886"</f>
        <v>146886</v>
      </c>
      <c r="C4327" t="s">
        <v>12664</v>
      </c>
      <c r="D4327" t="s">
        <v>3394</v>
      </c>
      <c r="E4327" t="s">
        <v>3395</v>
      </c>
      <c r="F4327" t="s">
        <v>3396</v>
      </c>
      <c r="G4327" t="s">
        <v>52</v>
      </c>
      <c r="H4327" t="s">
        <v>12665</v>
      </c>
      <c r="I4327" t="s">
        <v>12666</v>
      </c>
      <c r="J4327" t="s">
        <v>10981</v>
      </c>
      <c r="K4327" t="s">
        <v>55</v>
      </c>
      <c r="L4327" t="s">
        <v>10982</v>
      </c>
      <c r="M4327" t="s">
        <v>57</v>
      </c>
      <c r="N4327" t="str">
        <f>"046763"</f>
        <v>046763</v>
      </c>
      <c r="O4327" t="s">
        <v>2667</v>
      </c>
      <c r="P4327" t="s">
        <v>68</v>
      </c>
      <c r="Q4327">
        <v>4.4000000000000004</v>
      </c>
      <c r="R4327">
        <v>25</v>
      </c>
      <c r="S4327" t="s">
        <v>60</v>
      </c>
    </row>
    <row r="4328" spans="1:19" x14ac:dyDescent="0.35">
      <c r="A4328">
        <v>146928</v>
      </c>
      <c r="B4328" t="str">
        <f>"146928"</f>
        <v>146928</v>
      </c>
      <c r="C4328" t="s">
        <v>12667</v>
      </c>
      <c r="D4328" t="s">
        <v>3398</v>
      </c>
      <c r="E4328" t="s">
        <v>3395</v>
      </c>
      <c r="F4328" t="s">
        <v>3396</v>
      </c>
      <c r="G4328" t="s">
        <v>600</v>
      </c>
      <c r="H4328" t="s">
        <v>12668</v>
      </c>
      <c r="I4328" t="s">
        <v>12669</v>
      </c>
      <c r="J4328" t="s">
        <v>1956</v>
      </c>
      <c r="K4328" t="s">
        <v>55</v>
      </c>
      <c r="L4328" t="s">
        <v>7495</v>
      </c>
      <c r="M4328" t="s">
        <v>57</v>
      </c>
      <c r="N4328" t="str">
        <f>"047027"</f>
        <v>047027</v>
      </c>
      <c r="O4328" t="s">
        <v>1953</v>
      </c>
      <c r="P4328" t="s">
        <v>68</v>
      </c>
      <c r="Q4328">
        <v>2</v>
      </c>
      <c r="R4328">
        <v>40.6</v>
      </c>
      <c r="S4328" t="s">
        <v>60</v>
      </c>
    </row>
    <row r="4329" spans="1:19" x14ac:dyDescent="0.35">
      <c r="A4329">
        <v>146936</v>
      </c>
      <c r="B4329" t="str">
        <f>"146936"</f>
        <v>146936</v>
      </c>
      <c r="C4329" t="s">
        <v>12670</v>
      </c>
      <c r="D4329" t="s">
        <v>3394</v>
      </c>
      <c r="E4329" t="s">
        <v>3395</v>
      </c>
      <c r="F4329" t="s">
        <v>3396</v>
      </c>
      <c r="G4329" t="s">
        <v>331</v>
      </c>
      <c r="H4329" t="s">
        <v>2269</v>
      </c>
      <c r="I4329" t="s">
        <v>2270</v>
      </c>
      <c r="J4329" t="s">
        <v>2271</v>
      </c>
      <c r="K4329" t="s">
        <v>55</v>
      </c>
      <c r="L4329" t="s">
        <v>2272</v>
      </c>
      <c r="M4329" t="s">
        <v>57</v>
      </c>
      <c r="N4329" t="str">
        <f>"046508"</f>
        <v>046508</v>
      </c>
      <c r="O4329" t="s">
        <v>2268</v>
      </c>
      <c r="P4329" t="s">
        <v>68</v>
      </c>
      <c r="Q4329">
        <v>38</v>
      </c>
      <c r="R4329">
        <v>3.2000000000000028</v>
      </c>
      <c r="S4329" t="s">
        <v>156</v>
      </c>
    </row>
    <row r="4330" spans="1:19" x14ac:dyDescent="0.35">
      <c r="A4330">
        <v>147215</v>
      </c>
      <c r="B4330" t="str">
        <f>"147215"</f>
        <v>147215</v>
      </c>
      <c r="C4330" t="s">
        <v>12671</v>
      </c>
      <c r="D4330" t="s">
        <v>3394</v>
      </c>
      <c r="E4330" t="s">
        <v>3395</v>
      </c>
      <c r="F4330" t="s">
        <v>3396</v>
      </c>
      <c r="G4330" t="s">
        <v>600</v>
      </c>
      <c r="H4330" t="s">
        <v>12672</v>
      </c>
      <c r="I4330" t="s">
        <v>12673</v>
      </c>
      <c r="J4330" t="s">
        <v>2339</v>
      </c>
      <c r="K4330" t="s">
        <v>55</v>
      </c>
      <c r="L4330" t="s">
        <v>2340</v>
      </c>
      <c r="M4330" t="s">
        <v>57</v>
      </c>
      <c r="N4330" t="str">
        <f>"046995"</f>
        <v>046995</v>
      </c>
      <c r="O4330" t="s">
        <v>2336</v>
      </c>
      <c r="P4330" t="s">
        <v>68</v>
      </c>
      <c r="Q4330">
        <v>4.4000000000000004</v>
      </c>
      <c r="R4330">
        <v>30.5</v>
      </c>
      <c r="S4330" t="s">
        <v>60</v>
      </c>
    </row>
    <row r="4331" spans="1:19" x14ac:dyDescent="0.35">
      <c r="A4331">
        <v>147231</v>
      </c>
      <c r="B4331" t="str">
        <f>"147231"</f>
        <v>147231</v>
      </c>
      <c r="C4331" t="s">
        <v>12674</v>
      </c>
      <c r="D4331" t="s">
        <v>3398</v>
      </c>
      <c r="E4331" t="s">
        <v>12048</v>
      </c>
      <c r="F4331" t="s">
        <v>3396</v>
      </c>
      <c r="G4331" t="s">
        <v>264</v>
      </c>
      <c r="H4331" t="s">
        <v>12675</v>
      </c>
      <c r="I4331" t="s">
        <v>12676</v>
      </c>
      <c r="J4331" t="s">
        <v>2497</v>
      </c>
      <c r="K4331" t="s">
        <v>55</v>
      </c>
      <c r="L4331" t="s">
        <v>2498</v>
      </c>
      <c r="M4331" t="s">
        <v>57</v>
      </c>
      <c r="N4331" t="str">
        <f>"N/A"</f>
        <v>N/A</v>
      </c>
      <c r="O4331" t="s">
        <v>49</v>
      </c>
      <c r="P4331" t="s">
        <v>68</v>
      </c>
      <c r="Q4331">
        <v>70.7</v>
      </c>
      <c r="R4331">
        <v>10.900000000000006</v>
      </c>
      <c r="S4331" t="s">
        <v>77</v>
      </c>
    </row>
    <row r="4332" spans="1:19" x14ac:dyDescent="0.35">
      <c r="A4332">
        <v>147231</v>
      </c>
      <c r="B4332" t="str">
        <f>"147231"</f>
        <v>147231</v>
      </c>
      <c r="C4332" t="s">
        <v>12674</v>
      </c>
      <c r="D4332" t="s">
        <v>12052</v>
      </c>
      <c r="E4332" t="s">
        <v>12048</v>
      </c>
      <c r="F4332" t="s">
        <v>3396</v>
      </c>
      <c r="G4332" t="s">
        <v>264</v>
      </c>
      <c r="H4332" t="s">
        <v>12675</v>
      </c>
      <c r="I4332" t="s">
        <v>12676</v>
      </c>
      <c r="J4332" t="s">
        <v>2497</v>
      </c>
      <c r="K4332" t="s">
        <v>55</v>
      </c>
      <c r="L4332" t="s">
        <v>2498</v>
      </c>
      <c r="M4332" t="s">
        <v>57</v>
      </c>
      <c r="N4332" t="str">
        <f>"N/A"</f>
        <v>N/A</v>
      </c>
      <c r="O4332" t="s">
        <v>49</v>
      </c>
      <c r="P4332" t="s">
        <v>68</v>
      </c>
      <c r="Q4332">
        <v>70.7</v>
      </c>
      <c r="R4332">
        <v>10.900000000000006</v>
      </c>
      <c r="S4332" t="s">
        <v>77</v>
      </c>
    </row>
    <row r="4333" spans="1:19" x14ac:dyDescent="0.35">
      <c r="A4333">
        <v>147231</v>
      </c>
      <c r="B4333" t="str">
        <f>"147231"</f>
        <v>147231</v>
      </c>
      <c r="C4333" t="s">
        <v>12674</v>
      </c>
      <c r="D4333" t="s">
        <v>12063</v>
      </c>
      <c r="E4333" t="s">
        <v>12048</v>
      </c>
      <c r="F4333" t="s">
        <v>3396</v>
      </c>
      <c r="G4333" t="s">
        <v>264</v>
      </c>
      <c r="H4333" t="s">
        <v>12675</v>
      </c>
      <c r="I4333" t="s">
        <v>12676</v>
      </c>
      <c r="J4333" t="s">
        <v>2497</v>
      </c>
      <c r="K4333" t="s">
        <v>55</v>
      </c>
      <c r="L4333" t="s">
        <v>2498</v>
      </c>
      <c r="M4333" t="s">
        <v>57</v>
      </c>
      <c r="N4333" t="str">
        <f>"N/A"</f>
        <v>N/A</v>
      </c>
      <c r="O4333" t="s">
        <v>49</v>
      </c>
      <c r="P4333" t="s">
        <v>68</v>
      </c>
      <c r="Q4333">
        <v>70.7</v>
      </c>
      <c r="R4333">
        <v>10.900000000000006</v>
      </c>
      <c r="S4333" t="s">
        <v>77</v>
      </c>
    </row>
    <row r="4334" spans="1:19" x14ac:dyDescent="0.35">
      <c r="A4334">
        <v>147231</v>
      </c>
      <c r="B4334" t="str">
        <f>"147231"</f>
        <v>147231</v>
      </c>
      <c r="C4334" t="s">
        <v>12674</v>
      </c>
      <c r="D4334" t="s">
        <v>12677</v>
      </c>
      <c r="E4334" t="s">
        <v>12048</v>
      </c>
      <c r="F4334" t="s">
        <v>3396</v>
      </c>
      <c r="G4334" t="s">
        <v>264</v>
      </c>
      <c r="H4334" t="s">
        <v>12675</v>
      </c>
      <c r="I4334" t="s">
        <v>12676</v>
      </c>
      <c r="J4334" t="s">
        <v>2497</v>
      </c>
      <c r="K4334" t="s">
        <v>55</v>
      </c>
      <c r="L4334" t="s">
        <v>2498</v>
      </c>
      <c r="M4334" t="s">
        <v>57</v>
      </c>
      <c r="N4334" t="str">
        <f>"N/A"</f>
        <v>N/A</v>
      </c>
      <c r="O4334" t="s">
        <v>49</v>
      </c>
      <c r="P4334" t="s">
        <v>68</v>
      </c>
      <c r="Q4334">
        <v>70.7</v>
      </c>
      <c r="R4334">
        <v>10.900000000000006</v>
      </c>
      <c r="S4334" t="s">
        <v>77</v>
      </c>
    </row>
    <row r="4335" spans="1:19" x14ac:dyDescent="0.35">
      <c r="A4335">
        <v>147280</v>
      </c>
      <c r="B4335" t="str">
        <f>"147280"</f>
        <v>147280</v>
      </c>
      <c r="C4335" t="s">
        <v>12678</v>
      </c>
      <c r="D4335" t="s">
        <v>3394</v>
      </c>
      <c r="E4335" t="s">
        <v>3395</v>
      </c>
      <c r="F4335" t="s">
        <v>3396</v>
      </c>
      <c r="G4335" t="s">
        <v>212</v>
      </c>
      <c r="H4335" t="s">
        <v>12679</v>
      </c>
      <c r="I4335" t="s">
        <v>12680</v>
      </c>
      <c r="J4335" t="s">
        <v>215</v>
      </c>
      <c r="K4335" t="s">
        <v>55</v>
      </c>
      <c r="L4335" t="s">
        <v>7611</v>
      </c>
      <c r="M4335" t="s">
        <v>57</v>
      </c>
      <c r="N4335" t="str">
        <f>"043752"</f>
        <v>043752</v>
      </c>
      <c r="O4335" t="s">
        <v>440</v>
      </c>
      <c r="P4335" t="s">
        <v>68</v>
      </c>
      <c r="Q4335">
        <v>99.6</v>
      </c>
      <c r="R4335">
        <v>90.1</v>
      </c>
      <c r="S4335" t="s">
        <v>217</v>
      </c>
    </row>
    <row r="4336" spans="1:19" x14ac:dyDescent="0.35">
      <c r="A4336">
        <v>147397</v>
      </c>
      <c r="B4336" t="str">
        <f>"147397"</f>
        <v>147397</v>
      </c>
      <c r="C4336" t="s">
        <v>12681</v>
      </c>
      <c r="D4336" t="s">
        <v>3398</v>
      </c>
      <c r="E4336" t="s">
        <v>3395</v>
      </c>
      <c r="F4336" t="s">
        <v>3396</v>
      </c>
      <c r="G4336" t="s">
        <v>63</v>
      </c>
      <c r="H4336" t="s">
        <v>6105</v>
      </c>
      <c r="I4336" t="s">
        <v>6106</v>
      </c>
      <c r="J4336" t="s">
        <v>285</v>
      </c>
      <c r="K4336" t="s">
        <v>55</v>
      </c>
      <c r="L4336" t="s">
        <v>3915</v>
      </c>
      <c r="M4336" t="s">
        <v>57</v>
      </c>
      <c r="N4336" t="str">
        <f>"043786"</f>
        <v>043786</v>
      </c>
      <c r="O4336" t="s">
        <v>1340</v>
      </c>
      <c r="P4336" t="s">
        <v>68</v>
      </c>
      <c r="Q4336">
        <v>100</v>
      </c>
      <c r="R4336">
        <v>90.2</v>
      </c>
      <c r="S4336" t="s">
        <v>69</v>
      </c>
    </row>
    <row r="4337" spans="1:19" x14ac:dyDescent="0.35">
      <c r="A4337">
        <v>147520</v>
      </c>
      <c r="B4337" t="str">
        <f>"147520"</f>
        <v>147520</v>
      </c>
      <c r="C4337" t="s">
        <v>12682</v>
      </c>
      <c r="D4337" t="s">
        <v>3398</v>
      </c>
      <c r="E4337" t="s">
        <v>3395</v>
      </c>
      <c r="F4337" t="s">
        <v>3396</v>
      </c>
      <c r="G4337" t="s">
        <v>212</v>
      </c>
      <c r="H4337" t="s">
        <v>12683</v>
      </c>
      <c r="I4337" t="s">
        <v>12684</v>
      </c>
      <c r="J4337" t="s">
        <v>215</v>
      </c>
      <c r="K4337" t="s">
        <v>55</v>
      </c>
      <c r="L4337" t="s">
        <v>3919</v>
      </c>
      <c r="M4337" t="s">
        <v>57</v>
      </c>
      <c r="N4337" t="str">
        <f>"043752"</f>
        <v>043752</v>
      </c>
      <c r="O4337" t="s">
        <v>440</v>
      </c>
      <c r="P4337" t="s">
        <v>68</v>
      </c>
      <c r="Q4337">
        <v>98.8</v>
      </c>
      <c r="R4337">
        <v>97.2</v>
      </c>
      <c r="S4337" t="s">
        <v>217</v>
      </c>
    </row>
    <row r="4338" spans="1:19" x14ac:dyDescent="0.35">
      <c r="A4338">
        <v>147538</v>
      </c>
      <c r="B4338" t="str">
        <f>"147538"</f>
        <v>147538</v>
      </c>
      <c r="C4338" t="s">
        <v>12685</v>
      </c>
      <c r="D4338" t="s">
        <v>3398</v>
      </c>
      <c r="E4338" t="s">
        <v>3395</v>
      </c>
      <c r="F4338" t="s">
        <v>3396</v>
      </c>
      <c r="G4338" t="s">
        <v>212</v>
      </c>
      <c r="H4338" t="s">
        <v>12686</v>
      </c>
      <c r="I4338" t="s">
        <v>12687</v>
      </c>
      <c r="J4338" t="s">
        <v>215</v>
      </c>
      <c r="K4338" t="s">
        <v>55</v>
      </c>
      <c r="L4338" t="s">
        <v>4487</v>
      </c>
      <c r="M4338" t="s">
        <v>57</v>
      </c>
      <c r="N4338" t="str">
        <f>"043752"</f>
        <v>043752</v>
      </c>
      <c r="O4338" t="s">
        <v>440</v>
      </c>
      <c r="P4338" t="s">
        <v>68</v>
      </c>
      <c r="Q4338">
        <v>99.3</v>
      </c>
      <c r="R4338">
        <v>95</v>
      </c>
      <c r="S4338" t="s">
        <v>217</v>
      </c>
    </row>
    <row r="4339" spans="1:19" x14ac:dyDescent="0.35">
      <c r="A4339">
        <v>147587</v>
      </c>
      <c r="B4339" t="str">
        <f>"147587"</f>
        <v>147587</v>
      </c>
      <c r="C4339" t="s">
        <v>12688</v>
      </c>
      <c r="D4339" t="s">
        <v>3400</v>
      </c>
      <c r="E4339" t="s">
        <v>3395</v>
      </c>
      <c r="F4339" t="s">
        <v>3396</v>
      </c>
      <c r="G4339" t="s">
        <v>271</v>
      </c>
      <c r="H4339" t="s">
        <v>12689</v>
      </c>
      <c r="I4339" t="s">
        <v>12690</v>
      </c>
      <c r="J4339" t="s">
        <v>1715</v>
      </c>
      <c r="K4339" t="s">
        <v>55</v>
      </c>
      <c r="L4339" t="s">
        <v>1716</v>
      </c>
      <c r="M4339" t="s">
        <v>57</v>
      </c>
      <c r="N4339" t="str">
        <f>"047597"</f>
        <v>047597</v>
      </c>
      <c r="O4339" t="s">
        <v>1712</v>
      </c>
      <c r="P4339" t="s">
        <v>68</v>
      </c>
      <c r="Q4339">
        <v>32.1</v>
      </c>
      <c r="R4339">
        <v>14.599999999999994</v>
      </c>
      <c r="S4339" t="s">
        <v>156</v>
      </c>
    </row>
    <row r="4340" spans="1:19" x14ac:dyDescent="0.35">
      <c r="A4340">
        <v>147603</v>
      </c>
      <c r="B4340" t="str">
        <f>"147603"</f>
        <v>147603</v>
      </c>
      <c r="C4340" t="s">
        <v>12691</v>
      </c>
      <c r="D4340" t="s">
        <v>3394</v>
      </c>
      <c r="E4340" t="s">
        <v>3395</v>
      </c>
      <c r="F4340" t="s">
        <v>3396</v>
      </c>
      <c r="G4340" t="s">
        <v>312</v>
      </c>
      <c r="H4340" t="s">
        <v>12692</v>
      </c>
      <c r="I4340" t="s">
        <v>12693</v>
      </c>
      <c r="J4340" t="s">
        <v>312</v>
      </c>
      <c r="K4340" t="s">
        <v>55</v>
      </c>
      <c r="L4340" t="s">
        <v>315</v>
      </c>
      <c r="M4340" t="s">
        <v>57</v>
      </c>
      <c r="N4340" t="str">
        <f>"044339"</f>
        <v>044339</v>
      </c>
      <c r="O4340" t="s">
        <v>2453</v>
      </c>
      <c r="P4340" t="s">
        <v>68</v>
      </c>
      <c r="Q4340">
        <v>100</v>
      </c>
      <c r="R4340">
        <v>31.700000000000003</v>
      </c>
      <c r="S4340" t="s">
        <v>156</v>
      </c>
    </row>
    <row r="4341" spans="1:19" x14ac:dyDescent="0.35">
      <c r="A4341">
        <v>147611</v>
      </c>
      <c r="B4341" t="str">
        <f>"147611"</f>
        <v>147611</v>
      </c>
      <c r="C4341" t="s">
        <v>12694</v>
      </c>
      <c r="D4341" t="s">
        <v>3394</v>
      </c>
      <c r="E4341" t="s">
        <v>3395</v>
      </c>
      <c r="F4341" t="s">
        <v>3396</v>
      </c>
      <c r="G4341" t="s">
        <v>312</v>
      </c>
      <c r="H4341" t="s">
        <v>12695</v>
      </c>
      <c r="I4341" t="s">
        <v>12696</v>
      </c>
      <c r="J4341" t="s">
        <v>312</v>
      </c>
      <c r="K4341" t="s">
        <v>55</v>
      </c>
      <c r="L4341" t="s">
        <v>315</v>
      </c>
      <c r="M4341" t="s">
        <v>57</v>
      </c>
      <c r="N4341" t="str">
        <f>"044339"</f>
        <v>044339</v>
      </c>
      <c r="O4341" t="s">
        <v>2453</v>
      </c>
      <c r="P4341" t="s">
        <v>68</v>
      </c>
      <c r="Q4341">
        <v>99.7</v>
      </c>
      <c r="R4341">
        <v>22.799999999999997</v>
      </c>
      <c r="S4341" t="s">
        <v>156</v>
      </c>
    </row>
    <row r="4342" spans="1:19" x14ac:dyDescent="0.35">
      <c r="A4342">
        <v>148320</v>
      </c>
      <c r="B4342" t="str">
        <f>"148320"</f>
        <v>148320</v>
      </c>
      <c r="C4342" t="s">
        <v>12697</v>
      </c>
      <c r="D4342" t="s">
        <v>3394</v>
      </c>
      <c r="E4342" t="s">
        <v>3395</v>
      </c>
      <c r="F4342" t="s">
        <v>3396</v>
      </c>
      <c r="G4342" t="s">
        <v>212</v>
      </c>
      <c r="H4342" t="s">
        <v>12698</v>
      </c>
      <c r="I4342" t="s">
        <v>12699</v>
      </c>
      <c r="J4342" t="s">
        <v>215</v>
      </c>
      <c r="K4342" t="s">
        <v>55</v>
      </c>
      <c r="L4342" t="s">
        <v>6998</v>
      </c>
      <c r="M4342" t="s">
        <v>57</v>
      </c>
      <c r="N4342" t="str">
        <f>"043752"</f>
        <v>043752</v>
      </c>
      <c r="O4342" t="s">
        <v>440</v>
      </c>
      <c r="P4342" t="s">
        <v>68</v>
      </c>
      <c r="Q4342">
        <v>99.8</v>
      </c>
      <c r="R4342">
        <v>97.1</v>
      </c>
      <c r="S4342" t="s">
        <v>217</v>
      </c>
    </row>
    <row r="4343" spans="1:19" x14ac:dyDescent="0.35">
      <c r="A4343">
        <v>148809</v>
      </c>
      <c r="B4343" t="str">
        <f>"148809"</f>
        <v>148809</v>
      </c>
      <c r="C4343" t="s">
        <v>12700</v>
      </c>
      <c r="D4343" t="s">
        <v>3394</v>
      </c>
      <c r="E4343" t="s">
        <v>3395</v>
      </c>
      <c r="F4343" t="s">
        <v>3396</v>
      </c>
      <c r="G4343" t="s">
        <v>1679</v>
      </c>
      <c r="H4343" t="s">
        <v>12701</v>
      </c>
      <c r="I4343" t="s">
        <v>12702</v>
      </c>
      <c r="J4343" t="s">
        <v>1157</v>
      </c>
      <c r="K4343" t="s">
        <v>55</v>
      </c>
      <c r="L4343" t="s">
        <v>1158</v>
      </c>
      <c r="M4343" t="s">
        <v>57</v>
      </c>
      <c r="N4343" t="str">
        <f>"043695"</f>
        <v>043695</v>
      </c>
      <c r="O4343" t="s">
        <v>1824</v>
      </c>
      <c r="P4343" t="s">
        <v>68</v>
      </c>
      <c r="Q4343">
        <v>100</v>
      </c>
      <c r="R4343">
        <v>7.5</v>
      </c>
      <c r="S4343" t="s">
        <v>130</v>
      </c>
    </row>
    <row r="4344" spans="1:19" x14ac:dyDescent="0.35">
      <c r="A4344">
        <v>148817</v>
      </c>
      <c r="B4344" t="str">
        <f>"148817"</f>
        <v>148817</v>
      </c>
      <c r="C4344" t="s">
        <v>12703</v>
      </c>
      <c r="D4344" t="s">
        <v>3394</v>
      </c>
      <c r="E4344" t="s">
        <v>3395</v>
      </c>
      <c r="F4344" t="s">
        <v>3396</v>
      </c>
      <c r="G4344" t="s">
        <v>1679</v>
      </c>
      <c r="H4344" t="s">
        <v>12704</v>
      </c>
      <c r="I4344" t="s">
        <v>12705</v>
      </c>
      <c r="J4344" t="s">
        <v>1157</v>
      </c>
      <c r="K4344" t="s">
        <v>55</v>
      </c>
      <c r="L4344" t="s">
        <v>1158</v>
      </c>
      <c r="M4344" t="s">
        <v>57</v>
      </c>
      <c r="N4344" t="str">
        <f>"043695"</f>
        <v>043695</v>
      </c>
      <c r="O4344" t="s">
        <v>1824</v>
      </c>
      <c r="P4344" t="s">
        <v>68</v>
      </c>
      <c r="Q4344">
        <v>100</v>
      </c>
      <c r="R4344">
        <v>8.5999999999999943</v>
      </c>
      <c r="S4344" t="s">
        <v>130</v>
      </c>
    </row>
    <row r="4345" spans="1:19" x14ac:dyDescent="0.35">
      <c r="A4345">
        <v>148981</v>
      </c>
      <c r="B4345" t="str">
        <f>"148981"</f>
        <v>148981</v>
      </c>
      <c r="C4345" t="s">
        <v>12706</v>
      </c>
      <c r="D4345" t="s">
        <v>3398</v>
      </c>
      <c r="E4345" t="s">
        <v>12048</v>
      </c>
      <c r="F4345" t="s">
        <v>3396</v>
      </c>
      <c r="G4345" t="s">
        <v>1359</v>
      </c>
      <c r="H4345" t="s">
        <v>12707</v>
      </c>
      <c r="I4345" t="s">
        <v>12708</v>
      </c>
      <c r="J4345" t="s">
        <v>1362</v>
      </c>
      <c r="K4345" t="s">
        <v>55</v>
      </c>
      <c r="L4345" t="s">
        <v>1363</v>
      </c>
      <c r="M4345" t="s">
        <v>57</v>
      </c>
      <c r="N4345" t="str">
        <f>"N/A"</f>
        <v>N/A</v>
      </c>
      <c r="O4345" t="s">
        <v>49</v>
      </c>
      <c r="P4345" t="s">
        <v>68</v>
      </c>
      <c r="Q4345">
        <v>91.5</v>
      </c>
      <c r="R4345">
        <v>5.2999999999999972</v>
      </c>
      <c r="S4345" t="s">
        <v>60</v>
      </c>
    </row>
    <row r="4346" spans="1:19" x14ac:dyDescent="0.35">
      <c r="A4346">
        <v>148981</v>
      </c>
      <c r="B4346" t="str">
        <f>"148981"</f>
        <v>148981</v>
      </c>
      <c r="C4346" t="s">
        <v>12706</v>
      </c>
      <c r="D4346" t="s">
        <v>12471</v>
      </c>
      <c r="E4346" t="s">
        <v>12048</v>
      </c>
      <c r="F4346" t="s">
        <v>3396</v>
      </c>
      <c r="G4346" t="s">
        <v>1359</v>
      </c>
      <c r="H4346" t="s">
        <v>12707</v>
      </c>
      <c r="I4346" t="s">
        <v>12708</v>
      </c>
      <c r="J4346" t="s">
        <v>1362</v>
      </c>
      <c r="K4346" t="s">
        <v>55</v>
      </c>
      <c r="L4346" t="s">
        <v>1363</v>
      </c>
      <c r="M4346" t="s">
        <v>57</v>
      </c>
      <c r="N4346" t="str">
        <f>"N/A"</f>
        <v>N/A</v>
      </c>
      <c r="O4346" t="s">
        <v>49</v>
      </c>
      <c r="P4346" t="s">
        <v>68</v>
      </c>
      <c r="Q4346">
        <v>91.5</v>
      </c>
      <c r="R4346">
        <v>5.2999999999999972</v>
      </c>
      <c r="S4346" t="s">
        <v>60</v>
      </c>
    </row>
    <row r="4347" spans="1:19" x14ac:dyDescent="0.35">
      <c r="A4347">
        <v>148981</v>
      </c>
      <c r="B4347" t="str">
        <f>"148981"</f>
        <v>148981</v>
      </c>
      <c r="C4347" t="s">
        <v>12706</v>
      </c>
      <c r="D4347" t="s">
        <v>12063</v>
      </c>
      <c r="E4347" t="s">
        <v>12048</v>
      </c>
      <c r="F4347" t="s">
        <v>3396</v>
      </c>
      <c r="G4347" t="s">
        <v>1359</v>
      </c>
      <c r="H4347" t="s">
        <v>12707</v>
      </c>
      <c r="I4347" t="s">
        <v>12708</v>
      </c>
      <c r="J4347" t="s">
        <v>1362</v>
      </c>
      <c r="K4347" t="s">
        <v>55</v>
      </c>
      <c r="L4347" t="s">
        <v>1363</v>
      </c>
      <c r="M4347" t="s">
        <v>57</v>
      </c>
      <c r="N4347" t="str">
        <f>"N/A"</f>
        <v>N/A</v>
      </c>
      <c r="O4347" t="s">
        <v>49</v>
      </c>
      <c r="P4347" t="s">
        <v>68</v>
      </c>
      <c r="Q4347">
        <v>91.5</v>
      </c>
      <c r="R4347">
        <v>5.2999999999999972</v>
      </c>
      <c r="S4347" t="s">
        <v>60</v>
      </c>
    </row>
    <row r="4348" spans="1:19" x14ac:dyDescent="0.35">
      <c r="A4348">
        <v>148999</v>
      </c>
      <c r="B4348" t="str">
        <f>"148999"</f>
        <v>148999</v>
      </c>
      <c r="C4348" t="s">
        <v>12709</v>
      </c>
      <c r="D4348" t="s">
        <v>3398</v>
      </c>
      <c r="E4348" t="s">
        <v>12048</v>
      </c>
      <c r="F4348" t="s">
        <v>3396</v>
      </c>
      <c r="G4348" t="s">
        <v>383</v>
      </c>
      <c r="H4348" t="s">
        <v>12710</v>
      </c>
      <c r="I4348" t="s">
        <v>12711</v>
      </c>
      <c r="J4348" t="s">
        <v>1069</v>
      </c>
      <c r="K4348" t="s">
        <v>55</v>
      </c>
      <c r="L4348" t="s">
        <v>1070</v>
      </c>
      <c r="M4348" t="s">
        <v>57</v>
      </c>
      <c r="N4348" t="str">
        <f>"048280"</f>
        <v>048280</v>
      </c>
      <c r="O4348" t="s">
        <v>388</v>
      </c>
      <c r="P4348" t="s">
        <v>68</v>
      </c>
      <c r="Q4348">
        <v>48</v>
      </c>
      <c r="R4348">
        <v>16.700000000000003</v>
      </c>
      <c r="S4348" t="s">
        <v>77</v>
      </c>
    </row>
    <row r="4349" spans="1:19" x14ac:dyDescent="0.35">
      <c r="A4349">
        <v>148999</v>
      </c>
      <c r="B4349" t="str">
        <f>"148999"</f>
        <v>148999</v>
      </c>
      <c r="C4349" t="s">
        <v>12709</v>
      </c>
      <c r="D4349" t="s">
        <v>12052</v>
      </c>
      <c r="E4349" t="s">
        <v>12048</v>
      </c>
      <c r="F4349" t="s">
        <v>3396</v>
      </c>
      <c r="G4349" t="s">
        <v>383</v>
      </c>
      <c r="H4349" t="s">
        <v>12710</v>
      </c>
      <c r="I4349" t="s">
        <v>12711</v>
      </c>
      <c r="J4349" t="s">
        <v>1069</v>
      </c>
      <c r="K4349" t="s">
        <v>55</v>
      </c>
      <c r="L4349" t="s">
        <v>1070</v>
      </c>
      <c r="M4349" t="s">
        <v>57</v>
      </c>
      <c r="N4349" t="str">
        <f>"048280"</f>
        <v>048280</v>
      </c>
      <c r="O4349" t="s">
        <v>388</v>
      </c>
      <c r="P4349" t="s">
        <v>68</v>
      </c>
      <c r="Q4349">
        <v>48</v>
      </c>
      <c r="R4349">
        <v>16.700000000000003</v>
      </c>
      <c r="S4349" t="s">
        <v>77</v>
      </c>
    </row>
    <row r="4350" spans="1:19" x14ac:dyDescent="0.35">
      <c r="A4350">
        <v>148999</v>
      </c>
      <c r="B4350" t="str">
        <f>"148999"</f>
        <v>148999</v>
      </c>
      <c r="C4350" t="s">
        <v>12709</v>
      </c>
      <c r="D4350" t="s">
        <v>12476</v>
      </c>
      <c r="E4350" t="s">
        <v>12048</v>
      </c>
      <c r="F4350" t="s">
        <v>3396</v>
      </c>
      <c r="G4350" t="s">
        <v>383</v>
      </c>
      <c r="H4350" t="s">
        <v>12710</v>
      </c>
      <c r="I4350" t="s">
        <v>12711</v>
      </c>
      <c r="J4350" t="s">
        <v>1069</v>
      </c>
      <c r="K4350" t="s">
        <v>55</v>
      </c>
      <c r="L4350" t="s">
        <v>1070</v>
      </c>
      <c r="M4350" t="s">
        <v>57</v>
      </c>
      <c r="N4350" t="str">
        <f>"048280"</f>
        <v>048280</v>
      </c>
      <c r="O4350" t="s">
        <v>388</v>
      </c>
      <c r="P4350" t="s">
        <v>68</v>
      </c>
      <c r="Q4350">
        <v>48</v>
      </c>
      <c r="R4350">
        <v>16.700000000000003</v>
      </c>
      <c r="S4350" t="s">
        <v>77</v>
      </c>
    </row>
    <row r="4351" spans="1:19" x14ac:dyDescent="0.35">
      <c r="A4351">
        <v>148999</v>
      </c>
      <c r="B4351" t="str">
        <f>"148999"</f>
        <v>148999</v>
      </c>
      <c r="C4351" t="s">
        <v>12709</v>
      </c>
      <c r="D4351" t="s">
        <v>12063</v>
      </c>
      <c r="E4351" t="s">
        <v>12048</v>
      </c>
      <c r="F4351" t="s">
        <v>3396</v>
      </c>
      <c r="G4351" t="s">
        <v>383</v>
      </c>
      <c r="H4351" t="s">
        <v>12710</v>
      </c>
      <c r="I4351" t="s">
        <v>12711</v>
      </c>
      <c r="J4351" t="s">
        <v>1069</v>
      </c>
      <c r="K4351" t="s">
        <v>55</v>
      </c>
      <c r="L4351" t="s">
        <v>1070</v>
      </c>
      <c r="M4351" t="s">
        <v>57</v>
      </c>
      <c r="N4351" t="str">
        <f>"048280"</f>
        <v>048280</v>
      </c>
      <c r="O4351" t="s">
        <v>388</v>
      </c>
      <c r="P4351" t="s">
        <v>68</v>
      </c>
      <c r="Q4351">
        <v>48</v>
      </c>
      <c r="R4351">
        <v>16.700000000000003</v>
      </c>
      <c r="S4351" t="s">
        <v>77</v>
      </c>
    </row>
    <row r="4352" spans="1:19" x14ac:dyDescent="0.35">
      <c r="A4352">
        <v>149047</v>
      </c>
      <c r="B4352" t="str">
        <f>"149047"</f>
        <v>149047</v>
      </c>
      <c r="C4352" t="s">
        <v>12712</v>
      </c>
      <c r="D4352" t="s">
        <v>3398</v>
      </c>
      <c r="E4352" t="s">
        <v>12048</v>
      </c>
      <c r="F4352" t="s">
        <v>3396</v>
      </c>
      <c r="G4352" t="s">
        <v>663</v>
      </c>
      <c r="H4352" t="s">
        <v>12713</v>
      </c>
      <c r="I4352" t="s">
        <v>12714</v>
      </c>
      <c r="J4352" t="s">
        <v>666</v>
      </c>
      <c r="K4352" t="s">
        <v>55</v>
      </c>
      <c r="L4352" t="s">
        <v>1605</v>
      </c>
      <c r="M4352" t="s">
        <v>57</v>
      </c>
      <c r="N4352" t="str">
        <f t="shared" ref="N4352:N4359" si="18">"N/A"</f>
        <v>N/A</v>
      </c>
      <c r="O4352" t="s">
        <v>49</v>
      </c>
      <c r="P4352" t="s">
        <v>68</v>
      </c>
      <c r="Q4352">
        <v>70.099999999999994</v>
      </c>
      <c r="R4352">
        <v>16.299999999999997</v>
      </c>
      <c r="S4352" t="s">
        <v>77</v>
      </c>
    </row>
    <row r="4353" spans="1:19" x14ac:dyDescent="0.35">
      <c r="A4353">
        <v>149047</v>
      </c>
      <c r="B4353" t="str">
        <f>"149047"</f>
        <v>149047</v>
      </c>
      <c r="C4353" t="s">
        <v>12712</v>
      </c>
      <c r="D4353" t="s">
        <v>12052</v>
      </c>
      <c r="E4353" t="s">
        <v>12048</v>
      </c>
      <c r="F4353" t="s">
        <v>3396</v>
      </c>
      <c r="G4353" t="s">
        <v>663</v>
      </c>
      <c r="H4353" t="s">
        <v>12713</v>
      </c>
      <c r="I4353" t="s">
        <v>12714</v>
      </c>
      <c r="J4353" t="s">
        <v>666</v>
      </c>
      <c r="K4353" t="s">
        <v>55</v>
      </c>
      <c r="L4353" t="s">
        <v>1605</v>
      </c>
      <c r="M4353" t="s">
        <v>57</v>
      </c>
      <c r="N4353" t="str">
        <f t="shared" si="18"/>
        <v>N/A</v>
      </c>
      <c r="O4353" t="s">
        <v>49</v>
      </c>
      <c r="P4353" t="s">
        <v>68</v>
      </c>
      <c r="Q4353">
        <v>70.099999999999994</v>
      </c>
      <c r="R4353">
        <v>16.299999999999997</v>
      </c>
      <c r="S4353" t="s">
        <v>77</v>
      </c>
    </row>
    <row r="4354" spans="1:19" x14ac:dyDescent="0.35">
      <c r="A4354">
        <v>149047</v>
      </c>
      <c r="B4354" t="str">
        <f>"149047"</f>
        <v>149047</v>
      </c>
      <c r="C4354" t="s">
        <v>12712</v>
      </c>
      <c r="D4354" t="s">
        <v>12476</v>
      </c>
      <c r="E4354" t="s">
        <v>12048</v>
      </c>
      <c r="F4354" t="s">
        <v>3396</v>
      </c>
      <c r="G4354" t="s">
        <v>663</v>
      </c>
      <c r="H4354" t="s">
        <v>12713</v>
      </c>
      <c r="I4354" t="s">
        <v>12714</v>
      </c>
      <c r="J4354" t="s">
        <v>666</v>
      </c>
      <c r="K4354" t="s">
        <v>55</v>
      </c>
      <c r="L4354" t="s">
        <v>1605</v>
      </c>
      <c r="M4354" t="s">
        <v>57</v>
      </c>
      <c r="N4354" t="str">
        <f t="shared" si="18"/>
        <v>N/A</v>
      </c>
      <c r="O4354" t="s">
        <v>49</v>
      </c>
      <c r="P4354" t="s">
        <v>68</v>
      </c>
      <c r="Q4354">
        <v>70.099999999999994</v>
      </c>
      <c r="R4354">
        <v>16.299999999999997</v>
      </c>
      <c r="S4354" t="s">
        <v>77</v>
      </c>
    </row>
    <row r="4355" spans="1:19" x14ac:dyDescent="0.35">
      <c r="A4355">
        <v>149047</v>
      </c>
      <c r="B4355" t="str">
        <f>"149047"</f>
        <v>149047</v>
      </c>
      <c r="C4355" t="s">
        <v>12712</v>
      </c>
      <c r="D4355" t="s">
        <v>12063</v>
      </c>
      <c r="E4355" t="s">
        <v>12048</v>
      </c>
      <c r="F4355" t="s">
        <v>3396</v>
      </c>
      <c r="G4355" t="s">
        <v>663</v>
      </c>
      <c r="H4355" t="s">
        <v>12713</v>
      </c>
      <c r="I4355" t="s">
        <v>12714</v>
      </c>
      <c r="J4355" t="s">
        <v>666</v>
      </c>
      <c r="K4355" t="s">
        <v>55</v>
      </c>
      <c r="L4355" t="s">
        <v>1605</v>
      </c>
      <c r="M4355" t="s">
        <v>57</v>
      </c>
      <c r="N4355" t="str">
        <f t="shared" si="18"/>
        <v>N/A</v>
      </c>
      <c r="O4355" t="s">
        <v>49</v>
      </c>
      <c r="P4355" t="s">
        <v>68</v>
      </c>
      <c r="Q4355">
        <v>70.099999999999994</v>
      </c>
      <c r="R4355">
        <v>16.299999999999997</v>
      </c>
      <c r="S4355" t="s">
        <v>77</v>
      </c>
    </row>
    <row r="4356" spans="1:19" x14ac:dyDescent="0.35">
      <c r="A4356">
        <v>149088</v>
      </c>
      <c r="B4356" t="str">
        <f>"149088"</f>
        <v>149088</v>
      </c>
      <c r="C4356" t="s">
        <v>12715</v>
      </c>
      <c r="D4356" t="s">
        <v>3398</v>
      </c>
      <c r="E4356" t="s">
        <v>12048</v>
      </c>
      <c r="F4356" t="s">
        <v>3396</v>
      </c>
      <c r="G4356" t="s">
        <v>642</v>
      </c>
      <c r="H4356" t="s">
        <v>12716</v>
      </c>
      <c r="I4356" t="s">
        <v>12717</v>
      </c>
      <c r="J4356" t="s">
        <v>1461</v>
      </c>
      <c r="K4356" t="s">
        <v>55</v>
      </c>
      <c r="L4356" t="s">
        <v>1462</v>
      </c>
      <c r="M4356" t="s">
        <v>57</v>
      </c>
      <c r="N4356" t="str">
        <f t="shared" si="18"/>
        <v>N/A</v>
      </c>
      <c r="O4356" t="s">
        <v>49</v>
      </c>
      <c r="P4356" t="s">
        <v>68</v>
      </c>
      <c r="Q4356">
        <v>70.099999999999994</v>
      </c>
      <c r="R4356">
        <v>28</v>
      </c>
      <c r="S4356" t="s">
        <v>180</v>
      </c>
    </row>
    <row r="4357" spans="1:19" x14ac:dyDescent="0.35">
      <c r="A4357">
        <v>149088</v>
      </c>
      <c r="B4357" t="str">
        <f>"149088"</f>
        <v>149088</v>
      </c>
      <c r="C4357" t="s">
        <v>12715</v>
      </c>
      <c r="D4357" t="s">
        <v>12471</v>
      </c>
      <c r="E4357" t="s">
        <v>12048</v>
      </c>
      <c r="F4357" t="s">
        <v>3396</v>
      </c>
      <c r="G4357" t="s">
        <v>642</v>
      </c>
      <c r="H4357" t="s">
        <v>12716</v>
      </c>
      <c r="I4357" t="s">
        <v>12717</v>
      </c>
      <c r="J4357" t="s">
        <v>1461</v>
      </c>
      <c r="K4357" t="s">
        <v>55</v>
      </c>
      <c r="L4357" t="s">
        <v>1462</v>
      </c>
      <c r="M4357" t="s">
        <v>57</v>
      </c>
      <c r="N4357" t="str">
        <f t="shared" si="18"/>
        <v>N/A</v>
      </c>
      <c r="O4357" t="s">
        <v>49</v>
      </c>
      <c r="P4357" t="s">
        <v>68</v>
      </c>
      <c r="Q4357">
        <v>70.099999999999994</v>
      </c>
      <c r="R4357">
        <v>28</v>
      </c>
      <c r="S4357" t="s">
        <v>180</v>
      </c>
    </row>
    <row r="4358" spans="1:19" x14ac:dyDescent="0.35">
      <c r="A4358">
        <v>149088</v>
      </c>
      <c r="B4358" t="str">
        <f>"149088"</f>
        <v>149088</v>
      </c>
      <c r="C4358" t="s">
        <v>12715</v>
      </c>
      <c r="D4358" t="s">
        <v>12476</v>
      </c>
      <c r="E4358" t="s">
        <v>12048</v>
      </c>
      <c r="F4358" t="s">
        <v>3396</v>
      </c>
      <c r="G4358" t="s">
        <v>642</v>
      </c>
      <c r="H4358" t="s">
        <v>12716</v>
      </c>
      <c r="I4358" t="s">
        <v>12717</v>
      </c>
      <c r="J4358" t="s">
        <v>1461</v>
      </c>
      <c r="K4358" t="s">
        <v>55</v>
      </c>
      <c r="L4358" t="s">
        <v>1462</v>
      </c>
      <c r="M4358" t="s">
        <v>57</v>
      </c>
      <c r="N4358" t="str">
        <f t="shared" si="18"/>
        <v>N/A</v>
      </c>
      <c r="O4358" t="s">
        <v>49</v>
      </c>
      <c r="P4358" t="s">
        <v>68</v>
      </c>
      <c r="Q4358">
        <v>70.099999999999994</v>
      </c>
      <c r="R4358">
        <v>28</v>
      </c>
      <c r="S4358" t="s">
        <v>180</v>
      </c>
    </row>
    <row r="4359" spans="1:19" x14ac:dyDescent="0.35">
      <c r="A4359">
        <v>149088</v>
      </c>
      <c r="B4359" t="str">
        <f>"149088"</f>
        <v>149088</v>
      </c>
      <c r="C4359" t="s">
        <v>12715</v>
      </c>
      <c r="D4359" t="s">
        <v>12063</v>
      </c>
      <c r="E4359" t="s">
        <v>12048</v>
      </c>
      <c r="F4359" t="s">
        <v>3396</v>
      </c>
      <c r="G4359" t="s">
        <v>642</v>
      </c>
      <c r="H4359" t="s">
        <v>12716</v>
      </c>
      <c r="I4359" t="s">
        <v>12717</v>
      </c>
      <c r="J4359" t="s">
        <v>1461</v>
      </c>
      <c r="K4359" t="s">
        <v>55</v>
      </c>
      <c r="L4359" t="s">
        <v>1462</v>
      </c>
      <c r="M4359" t="s">
        <v>57</v>
      </c>
      <c r="N4359" t="str">
        <f t="shared" si="18"/>
        <v>N/A</v>
      </c>
      <c r="O4359" t="s">
        <v>49</v>
      </c>
      <c r="P4359" t="s">
        <v>68</v>
      </c>
      <c r="Q4359">
        <v>70.099999999999994</v>
      </c>
      <c r="R4359">
        <v>28</v>
      </c>
      <c r="S4359" t="s">
        <v>180</v>
      </c>
    </row>
    <row r="4360" spans="1:19" x14ac:dyDescent="0.35">
      <c r="A4360">
        <v>149302</v>
      </c>
      <c r="B4360" t="str">
        <f>"149302"</f>
        <v>149302</v>
      </c>
      <c r="C4360" t="s">
        <v>12718</v>
      </c>
      <c r="D4360" t="s">
        <v>3398</v>
      </c>
      <c r="E4360" t="s">
        <v>12048</v>
      </c>
      <c r="F4360" t="s">
        <v>3396</v>
      </c>
      <c r="G4360" t="s">
        <v>200</v>
      </c>
      <c r="H4360" t="s">
        <v>12719</v>
      </c>
      <c r="I4360" t="s">
        <v>12720</v>
      </c>
      <c r="J4360" t="s">
        <v>304</v>
      </c>
      <c r="K4360" t="s">
        <v>55</v>
      </c>
      <c r="L4360" t="s">
        <v>6788</v>
      </c>
      <c r="M4360" t="s">
        <v>57</v>
      </c>
      <c r="N4360" t="str">
        <f>"016826"</f>
        <v>016826</v>
      </c>
      <c r="O4360" t="s">
        <v>12721</v>
      </c>
      <c r="P4360" t="s">
        <v>68</v>
      </c>
      <c r="Q4360">
        <v>100</v>
      </c>
      <c r="R4360">
        <v>84.4</v>
      </c>
      <c r="S4360" t="s">
        <v>156</v>
      </c>
    </row>
    <row r="4361" spans="1:19" x14ac:dyDescent="0.35">
      <c r="A4361">
        <v>149302</v>
      </c>
      <c r="B4361" t="str">
        <f>"149302"</f>
        <v>149302</v>
      </c>
      <c r="C4361" t="s">
        <v>12718</v>
      </c>
      <c r="D4361" t="s">
        <v>12052</v>
      </c>
      <c r="E4361" t="s">
        <v>12048</v>
      </c>
      <c r="F4361" t="s">
        <v>3396</v>
      </c>
      <c r="G4361" t="s">
        <v>200</v>
      </c>
      <c r="H4361" t="s">
        <v>12719</v>
      </c>
      <c r="I4361" t="s">
        <v>12720</v>
      </c>
      <c r="J4361" t="s">
        <v>304</v>
      </c>
      <c r="K4361" t="s">
        <v>55</v>
      </c>
      <c r="L4361" t="s">
        <v>6788</v>
      </c>
      <c r="M4361" t="s">
        <v>57</v>
      </c>
      <c r="N4361" t="str">
        <f>"016826"</f>
        <v>016826</v>
      </c>
      <c r="O4361" t="s">
        <v>12721</v>
      </c>
      <c r="P4361" t="s">
        <v>68</v>
      </c>
      <c r="Q4361">
        <v>100</v>
      </c>
      <c r="R4361">
        <v>84.4</v>
      </c>
      <c r="S4361" t="s">
        <v>156</v>
      </c>
    </row>
    <row r="4362" spans="1:19" x14ac:dyDescent="0.35">
      <c r="A4362">
        <v>149302</v>
      </c>
      <c r="B4362" t="str">
        <f>"149302"</f>
        <v>149302</v>
      </c>
      <c r="C4362" t="s">
        <v>12718</v>
      </c>
      <c r="D4362" t="s">
        <v>12063</v>
      </c>
      <c r="E4362" t="s">
        <v>12048</v>
      </c>
      <c r="F4362" t="s">
        <v>3396</v>
      </c>
      <c r="G4362" t="s">
        <v>200</v>
      </c>
      <c r="H4362" t="s">
        <v>12719</v>
      </c>
      <c r="I4362" t="s">
        <v>12720</v>
      </c>
      <c r="J4362" t="s">
        <v>304</v>
      </c>
      <c r="K4362" t="s">
        <v>55</v>
      </c>
      <c r="L4362" t="s">
        <v>6788</v>
      </c>
      <c r="M4362" t="s">
        <v>57</v>
      </c>
      <c r="N4362" t="str">
        <f>"016826"</f>
        <v>016826</v>
      </c>
      <c r="O4362" t="s">
        <v>12721</v>
      </c>
      <c r="P4362" t="s">
        <v>68</v>
      </c>
      <c r="Q4362">
        <v>100</v>
      </c>
      <c r="R4362">
        <v>84.4</v>
      </c>
      <c r="S4362" t="s">
        <v>156</v>
      </c>
    </row>
    <row r="4363" spans="1:19" x14ac:dyDescent="0.35">
      <c r="A4363">
        <v>149328</v>
      </c>
      <c r="B4363" t="str">
        <f>"149328"</f>
        <v>149328</v>
      </c>
      <c r="C4363" t="s">
        <v>12722</v>
      </c>
      <c r="D4363" t="s">
        <v>3398</v>
      </c>
      <c r="E4363" t="s">
        <v>12048</v>
      </c>
      <c r="F4363" t="s">
        <v>3396</v>
      </c>
      <c r="G4363" t="s">
        <v>674</v>
      </c>
      <c r="H4363" t="s">
        <v>12723</v>
      </c>
      <c r="I4363" t="s">
        <v>12724</v>
      </c>
      <c r="J4363" t="s">
        <v>927</v>
      </c>
      <c r="K4363" t="s">
        <v>55</v>
      </c>
      <c r="L4363" t="s">
        <v>928</v>
      </c>
      <c r="M4363" t="s">
        <v>57</v>
      </c>
      <c r="N4363" t="str">
        <f t="shared" ref="N4363:N4369" si="19">"N/A"</f>
        <v>N/A</v>
      </c>
      <c r="O4363" t="s">
        <v>49</v>
      </c>
      <c r="P4363" t="s">
        <v>68</v>
      </c>
      <c r="Q4363">
        <v>99.6</v>
      </c>
      <c r="R4363">
        <v>18.700000000000003</v>
      </c>
      <c r="S4363" t="s">
        <v>130</v>
      </c>
    </row>
    <row r="4364" spans="1:19" x14ac:dyDescent="0.35">
      <c r="A4364">
        <v>149328</v>
      </c>
      <c r="B4364" t="str">
        <f>"149328"</f>
        <v>149328</v>
      </c>
      <c r="C4364" t="s">
        <v>12722</v>
      </c>
      <c r="D4364" t="s">
        <v>12471</v>
      </c>
      <c r="E4364" t="s">
        <v>12048</v>
      </c>
      <c r="F4364" t="s">
        <v>3396</v>
      </c>
      <c r="G4364" t="s">
        <v>674</v>
      </c>
      <c r="H4364" t="s">
        <v>12723</v>
      </c>
      <c r="I4364" t="s">
        <v>12724</v>
      </c>
      <c r="J4364" t="s">
        <v>927</v>
      </c>
      <c r="K4364" t="s">
        <v>55</v>
      </c>
      <c r="L4364" t="s">
        <v>928</v>
      </c>
      <c r="M4364" t="s">
        <v>57</v>
      </c>
      <c r="N4364" t="str">
        <f t="shared" si="19"/>
        <v>N/A</v>
      </c>
      <c r="O4364" t="s">
        <v>49</v>
      </c>
      <c r="P4364" t="s">
        <v>68</v>
      </c>
      <c r="Q4364">
        <v>99.6</v>
      </c>
      <c r="R4364">
        <v>18.700000000000003</v>
      </c>
      <c r="S4364" t="s">
        <v>130</v>
      </c>
    </row>
    <row r="4365" spans="1:19" x14ac:dyDescent="0.35">
      <c r="A4365">
        <v>149328</v>
      </c>
      <c r="B4365" t="str">
        <f>"149328"</f>
        <v>149328</v>
      </c>
      <c r="C4365" t="s">
        <v>12722</v>
      </c>
      <c r="D4365" t="s">
        <v>12063</v>
      </c>
      <c r="E4365" t="s">
        <v>12048</v>
      </c>
      <c r="F4365" t="s">
        <v>3396</v>
      </c>
      <c r="G4365" t="s">
        <v>674</v>
      </c>
      <c r="H4365" t="s">
        <v>12723</v>
      </c>
      <c r="I4365" t="s">
        <v>12724</v>
      </c>
      <c r="J4365" t="s">
        <v>927</v>
      </c>
      <c r="K4365" t="s">
        <v>55</v>
      </c>
      <c r="L4365" t="s">
        <v>928</v>
      </c>
      <c r="M4365" t="s">
        <v>57</v>
      </c>
      <c r="N4365" t="str">
        <f t="shared" si="19"/>
        <v>N/A</v>
      </c>
      <c r="O4365" t="s">
        <v>49</v>
      </c>
      <c r="P4365" t="s">
        <v>68</v>
      </c>
      <c r="Q4365">
        <v>99.6</v>
      </c>
      <c r="R4365">
        <v>18.700000000000003</v>
      </c>
      <c r="S4365" t="s">
        <v>130</v>
      </c>
    </row>
    <row r="4366" spans="1:19" x14ac:dyDescent="0.35">
      <c r="A4366">
        <v>151175</v>
      </c>
      <c r="B4366" t="str">
        <f>"151175"</f>
        <v>151175</v>
      </c>
      <c r="C4366" t="s">
        <v>12725</v>
      </c>
      <c r="D4366" t="s">
        <v>3398</v>
      </c>
      <c r="E4366" t="s">
        <v>12048</v>
      </c>
      <c r="F4366" t="s">
        <v>3396</v>
      </c>
      <c r="G4366" t="s">
        <v>1193</v>
      </c>
      <c r="H4366" t="s">
        <v>12726</v>
      </c>
      <c r="I4366" t="s">
        <v>12727</v>
      </c>
      <c r="J4366" t="s">
        <v>1196</v>
      </c>
      <c r="K4366" t="s">
        <v>55</v>
      </c>
      <c r="L4366" t="s">
        <v>1197</v>
      </c>
      <c r="M4366" t="s">
        <v>57</v>
      </c>
      <c r="N4366" t="str">
        <f t="shared" si="19"/>
        <v>N/A</v>
      </c>
      <c r="O4366" t="s">
        <v>49</v>
      </c>
      <c r="P4366" t="s">
        <v>68</v>
      </c>
      <c r="Q4366">
        <v>75</v>
      </c>
      <c r="R4366">
        <v>57.1</v>
      </c>
      <c r="S4366" t="s">
        <v>156</v>
      </c>
    </row>
    <row r="4367" spans="1:19" x14ac:dyDescent="0.35">
      <c r="A4367">
        <v>151175</v>
      </c>
      <c r="B4367" t="str">
        <f>"151175"</f>
        <v>151175</v>
      </c>
      <c r="C4367" t="s">
        <v>12725</v>
      </c>
      <c r="D4367" t="s">
        <v>12052</v>
      </c>
      <c r="E4367" t="s">
        <v>12048</v>
      </c>
      <c r="F4367" t="s">
        <v>3396</v>
      </c>
      <c r="G4367" t="s">
        <v>1193</v>
      </c>
      <c r="H4367" t="s">
        <v>12726</v>
      </c>
      <c r="I4367" t="s">
        <v>12727</v>
      </c>
      <c r="J4367" t="s">
        <v>1196</v>
      </c>
      <c r="K4367" t="s">
        <v>55</v>
      </c>
      <c r="L4367" t="s">
        <v>1197</v>
      </c>
      <c r="M4367" t="s">
        <v>57</v>
      </c>
      <c r="N4367" t="str">
        <f t="shared" si="19"/>
        <v>N/A</v>
      </c>
      <c r="O4367" t="s">
        <v>49</v>
      </c>
      <c r="P4367" t="s">
        <v>68</v>
      </c>
      <c r="Q4367">
        <v>75</v>
      </c>
      <c r="R4367">
        <v>57.1</v>
      </c>
      <c r="S4367" t="s">
        <v>156</v>
      </c>
    </row>
    <row r="4368" spans="1:19" x14ac:dyDescent="0.35">
      <c r="A4368">
        <v>151175</v>
      </c>
      <c r="B4368" t="str">
        <f>"151175"</f>
        <v>151175</v>
      </c>
      <c r="C4368" t="s">
        <v>12725</v>
      </c>
      <c r="D4368" t="s">
        <v>12063</v>
      </c>
      <c r="E4368" t="s">
        <v>12048</v>
      </c>
      <c r="F4368" t="s">
        <v>3396</v>
      </c>
      <c r="G4368" t="s">
        <v>1193</v>
      </c>
      <c r="H4368" t="s">
        <v>12726</v>
      </c>
      <c r="I4368" t="s">
        <v>12727</v>
      </c>
      <c r="J4368" t="s">
        <v>1196</v>
      </c>
      <c r="K4368" t="s">
        <v>55</v>
      </c>
      <c r="L4368" t="s">
        <v>1197</v>
      </c>
      <c r="M4368" t="s">
        <v>57</v>
      </c>
      <c r="N4368" t="str">
        <f t="shared" si="19"/>
        <v>N/A</v>
      </c>
      <c r="O4368" t="s">
        <v>49</v>
      </c>
      <c r="P4368" t="s">
        <v>68</v>
      </c>
      <c r="Q4368">
        <v>75</v>
      </c>
      <c r="R4368">
        <v>57.1</v>
      </c>
      <c r="S4368" t="s">
        <v>156</v>
      </c>
    </row>
    <row r="4369" spans="1:19" x14ac:dyDescent="0.35">
      <c r="A4369">
        <v>151175</v>
      </c>
      <c r="B4369" t="str">
        <f>"151175"</f>
        <v>151175</v>
      </c>
      <c r="C4369" t="s">
        <v>12725</v>
      </c>
      <c r="D4369" t="s">
        <v>12677</v>
      </c>
      <c r="E4369" t="s">
        <v>12048</v>
      </c>
      <c r="F4369" t="s">
        <v>3396</v>
      </c>
      <c r="G4369" t="s">
        <v>1193</v>
      </c>
      <c r="H4369" t="s">
        <v>12726</v>
      </c>
      <c r="I4369" t="s">
        <v>12727</v>
      </c>
      <c r="J4369" t="s">
        <v>1196</v>
      </c>
      <c r="K4369" t="s">
        <v>55</v>
      </c>
      <c r="L4369" t="s">
        <v>1197</v>
      </c>
      <c r="M4369" t="s">
        <v>57</v>
      </c>
      <c r="N4369" t="str">
        <f t="shared" si="19"/>
        <v>N/A</v>
      </c>
      <c r="O4369" t="s">
        <v>49</v>
      </c>
      <c r="P4369" t="s">
        <v>68</v>
      </c>
      <c r="Q4369">
        <v>75</v>
      </c>
      <c r="R4369">
        <v>57.1</v>
      </c>
      <c r="S4369" t="s">
        <v>156</v>
      </c>
    </row>
    <row r="4370" spans="1:19" x14ac:dyDescent="0.35">
      <c r="A4370">
        <v>151183</v>
      </c>
      <c r="B4370" t="str">
        <f>"151183"</f>
        <v>151183</v>
      </c>
      <c r="C4370" t="s">
        <v>12728</v>
      </c>
      <c r="D4370" t="s">
        <v>3398</v>
      </c>
      <c r="E4370" t="s">
        <v>12048</v>
      </c>
      <c r="F4370" t="s">
        <v>3396</v>
      </c>
      <c r="G4370" t="s">
        <v>63</v>
      </c>
      <c r="H4370" t="s">
        <v>12729</v>
      </c>
      <c r="I4370" t="s">
        <v>12730</v>
      </c>
      <c r="J4370" t="s">
        <v>285</v>
      </c>
      <c r="K4370" t="s">
        <v>55</v>
      </c>
      <c r="L4370" t="s">
        <v>3458</v>
      </c>
      <c r="M4370" t="s">
        <v>57</v>
      </c>
      <c r="N4370" t="str">
        <f>"017318"</f>
        <v>017318</v>
      </c>
      <c r="O4370" t="s">
        <v>12731</v>
      </c>
      <c r="P4370" t="s">
        <v>68</v>
      </c>
      <c r="Q4370">
        <v>100</v>
      </c>
      <c r="R4370">
        <v>64.5</v>
      </c>
      <c r="S4370" t="s">
        <v>69</v>
      </c>
    </row>
    <row r="4371" spans="1:19" x14ac:dyDescent="0.35">
      <c r="A4371">
        <v>151183</v>
      </c>
      <c r="B4371" t="str">
        <f>"151183"</f>
        <v>151183</v>
      </c>
      <c r="C4371" t="s">
        <v>12728</v>
      </c>
      <c r="D4371" t="s">
        <v>12052</v>
      </c>
      <c r="E4371" t="s">
        <v>12048</v>
      </c>
      <c r="F4371" t="s">
        <v>3396</v>
      </c>
      <c r="G4371" t="s">
        <v>63</v>
      </c>
      <c r="H4371" t="s">
        <v>12729</v>
      </c>
      <c r="I4371" t="s">
        <v>12730</v>
      </c>
      <c r="J4371" t="s">
        <v>285</v>
      </c>
      <c r="K4371" t="s">
        <v>55</v>
      </c>
      <c r="L4371" t="s">
        <v>3458</v>
      </c>
      <c r="M4371" t="s">
        <v>57</v>
      </c>
      <c r="N4371" t="str">
        <f>"017318"</f>
        <v>017318</v>
      </c>
      <c r="O4371" t="s">
        <v>12731</v>
      </c>
      <c r="P4371" t="s">
        <v>68</v>
      </c>
      <c r="Q4371">
        <v>100</v>
      </c>
      <c r="R4371">
        <v>64.5</v>
      </c>
      <c r="S4371" t="s">
        <v>69</v>
      </c>
    </row>
    <row r="4372" spans="1:19" x14ac:dyDescent="0.35">
      <c r="A4372">
        <v>151183</v>
      </c>
      <c r="B4372" t="str">
        <f>"151183"</f>
        <v>151183</v>
      </c>
      <c r="C4372" t="s">
        <v>12728</v>
      </c>
      <c r="D4372" t="s">
        <v>12063</v>
      </c>
      <c r="E4372" t="s">
        <v>12048</v>
      </c>
      <c r="F4372" t="s">
        <v>3396</v>
      </c>
      <c r="G4372" t="s">
        <v>63</v>
      </c>
      <c r="H4372" t="s">
        <v>12729</v>
      </c>
      <c r="I4372" t="s">
        <v>12730</v>
      </c>
      <c r="J4372" t="s">
        <v>285</v>
      </c>
      <c r="K4372" t="s">
        <v>55</v>
      </c>
      <c r="L4372" t="s">
        <v>3458</v>
      </c>
      <c r="M4372" t="s">
        <v>57</v>
      </c>
      <c r="N4372" t="str">
        <f>"017318"</f>
        <v>017318</v>
      </c>
      <c r="O4372" t="s">
        <v>12731</v>
      </c>
      <c r="P4372" t="s">
        <v>68</v>
      </c>
      <c r="Q4372">
        <v>100</v>
      </c>
      <c r="R4372">
        <v>64.5</v>
      </c>
      <c r="S4372" t="s">
        <v>69</v>
      </c>
    </row>
    <row r="4373" spans="1:19" x14ac:dyDescent="0.35">
      <c r="A4373">
        <v>151209</v>
      </c>
      <c r="B4373" t="str">
        <f>"151209"</f>
        <v>151209</v>
      </c>
      <c r="C4373" t="s">
        <v>12732</v>
      </c>
      <c r="D4373" t="s">
        <v>3398</v>
      </c>
      <c r="E4373" t="s">
        <v>12048</v>
      </c>
      <c r="F4373" t="s">
        <v>3396</v>
      </c>
      <c r="G4373" t="s">
        <v>63</v>
      </c>
      <c r="H4373" t="s">
        <v>12733</v>
      </c>
      <c r="I4373" t="s">
        <v>12734</v>
      </c>
      <c r="J4373" t="s">
        <v>12735</v>
      </c>
      <c r="K4373" t="s">
        <v>55</v>
      </c>
      <c r="L4373" t="s">
        <v>1711</v>
      </c>
      <c r="M4373" t="s">
        <v>57</v>
      </c>
      <c r="N4373" t="str">
        <f>"017297"</f>
        <v>017297</v>
      </c>
      <c r="O4373" t="s">
        <v>12062</v>
      </c>
      <c r="P4373" t="s">
        <v>68</v>
      </c>
      <c r="Q4373">
        <v>100</v>
      </c>
      <c r="R4373">
        <v>100</v>
      </c>
      <c r="S4373" t="s">
        <v>69</v>
      </c>
    </row>
    <row r="4374" spans="1:19" x14ac:dyDescent="0.35">
      <c r="A4374">
        <v>151209</v>
      </c>
      <c r="B4374" t="str">
        <f>"151209"</f>
        <v>151209</v>
      </c>
      <c r="C4374" t="s">
        <v>12732</v>
      </c>
      <c r="D4374" t="s">
        <v>12052</v>
      </c>
      <c r="E4374" t="s">
        <v>12048</v>
      </c>
      <c r="F4374" t="s">
        <v>3396</v>
      </c>
      <c r="G4374" t="s">
        <v>63</v>
      </c>
      <c r="H4374" t="s">
        <v>12733</v>
      </c>
      <c r="I4374" t="s">
        <v>12734</v>
      </c>
      <c r="J4374" t="s">
        <v>12735</v>
      </c>
      <c r="K4374" t="s">
        <v>55</v>
      </c>
      <c r="L4374" t="s">
        <v>1711</v>
      </c>
      <c r="M4374" t="s">
        <v>57</v>
      </c>
      <c r="N4374" t="str">
        <f>"017297"</f>
        <v>017297</v>
      </c>
      <c r="O4374" t="s">
        <v>12062</v>
      </c>
      <c r="P4374" t="s">
        <v>68</v>
      </c>
      <c r="Q4374">
        <v>100</v>
      </c>
      <c r="R4374">
        <v>100</v>
      </c>
      <c r="S4374" t="s">
        <v>69</v>
      </c>
    </row>
    <row r="4375" spans="1:19" x14ac:dyDescent="0.35">
      <c r="A4375">
        <v>151209</v>
      </c>
      <c r="B4375" t="str">
        <f>"151209"</f>
        <v>151209</v>
      </c>
      <c r="C4375" t="s">
        <v>12732</v>
      </c>
      <c r="D4375" t="s">
        <v>12063</v>
      </c>
      <c r="E4375" t="s">
        <v>12048</v>
      </c>
      <c r="F4375" t="s">
        <v>3396</v>
      </c>
      <c r="G4375" t="s">
        <v>63</v>
      </c>
      <c r="H4375" t="s">
        <v>12733</v>
      </c>
      <c r="I4375" t="s">
        <v>12734</v>
      </c>
      <c r="J4375" t="s">
        <v>12735</v>
      </c>
      <c r="K4375" t="s">
        <v>55</v>
      </c>
      <c r="L4375" t="s">
        <v>1711</v>
      </c>
      <c r="M4375" t="s">
        <v>57</v>
      </c>
      <c r="N4375" t="str">
        <f>"017297"</f>
        <v>017297</v>
      </c>
      <c r="O4375" t="s">
        <v>12062</v>
      </c>
      <c r="P4375" t="s">
        <v>68</v>
      </c>
      <c r="Q4375">
        <v>100</v>
      </c>
      <c r="R4375">
        <v>100</v>
      </c>
      <c r="S4375" t="s">
        <v>69</v>
      </c>
    </row>
    <row r="4376" spans="1:19" x14ac:dyDescent="0.35">
      <c r="A4376">
        <v>151928</v>
      </c>
      <c r="B4376" t="str">
        <f>"151928"</f>
        <v>151928</v>
      </c>
      <c r="C4376" t="s">
        <v>12736</v>
      </c>
      <c r="D4376" t="s">
        <v>3394</v>
      </c>
      <c r="E4376" t="s">
        <v>3395</v>
      </c>
      <c r="F4376" t="s">
        <v>3396</v>
      </c>
      <c r="G4376" t="s">
        <v>1041</v>
      </c>
      <c r="H4376" t="s">
        <v>12737</v>
      </c>
      <c r="I4376" t="s">
        <v>12738</v>
      </c>
      <c r="J4376" t="s">
        <v>1115</v>
      </c>
      <c r="K4376" t="s">
        <v>55</v>
      </c>
      <c r="L4376" t="s">
        <v>1116</v>
      </c>
      <c r="M4376" t="s">
        <v>57</v>
      </c>
      <c r="N4376" t="str">
        <f>"045500"</f>
        <v>045500</v>
      </c>
      <c r="O4376" t="s">
        <v>1112</v>
      </c>
      <c r="P4376" t="s">
        <v>68</v>
      </c>
      <c r="Q4376">
        <v>35</v>
      </c>
      <c r="R4376">
        <v>14.099999999999994</v>
      </c>
      <c r="S4376" t="s">
        <v>217</v>
      </c>
    </row>
    <row r="4377" spans="1:19" x14ac:dyDescent="0.35">
      <c r="A4377">
        <v>151936</v>
      </c>
      <c r="B4377" t="str">
        <f>"151936"</f>
        <v>151936</v>
      </c>
      <c r="C4377" t="s">
        <v>12739</v>
      </c>
      <c r="D4377" t="s">
        <v>3394</v>
      </c>
      <c r="E4377" t="s">
        <v>3395</v>
      </c>
      <c r="F4377" t="s">
        <v>3396</v>
      </c>
      <c r="G4377" t="s">
        <v>1041</v>
      </c>
      <c r="H4377" t="s">
        <v>12740</v>
      </c>
      <c r="I4377" t="s">
        <v>12741</v>
      </c>
      <c r="J4377" t="s">
        <v>3371</v>
      </c>
      <c r="K4377" t="s">
        <v>55</v>
      </c>
      <c r="L4377" t="s">
        <v>3372</v>
      </c>
      <c r="M4377" t="s">
        <v>57</v>
      </c>
      <c r="N4377" t="str">
        <f>"045500"</f>
        <v>045500</v>
      </c>
      <c r="O4377" t="s">
        <v>1112</v>
      </c>
      <c r="P4377" t="s">
        <v>68</v>
      </c>
      <c r="Q4377">
        <v>17.100000000000001</v>
      </c>
      <c r="R4377">
        <v>12.700000000000003</v>
      </c>
      <c r="S4377" t="s">
        <v>217</v>
      </c>
    </row>
    <row r="4378" spans="1:19" x14ac:dyDescent="0.35">
      <c r="A4378">
        <v>151944</v>
      </c>
      <c r="B4378" t="str">
        <f>"151944"</f>
        <v>151944</v>
      </c>
      <c r="C4378" t="s">
        <v>12742</v>
      </c>
      <c r="D4378" t="s">
        <v>3394</v>
      </c>
      <c r="E4378" t="s">
        <v>3395</v>
      </c>
      <c r="F4378" t="s">
        <v>3396</v>
      </c>
      <c r="G4378" t="s">
        <v>1041</v>
      </c>
      <c r="H4378" t="s">
        <v>12743</v>
      </c>
      <c r="I4378" t="s">
        <v>12744</v>
      </c>
      <c r="J4378" t="s">
        <v>1115</v>
      </c>
      <c r="K4378" t="s">
        <v>55</v>
      </c>
      <c r="L4378" t="s">
        <v>1116</v>
      </c>
      <c r="M4378" t="s">
        <v>57</v>
      </c>
      <c r="N4378" t="str">
        <f>"045500"</f>
        <v>045500</v>
      </c>
      <c r="O4378" t="s">
        <v>1112</v>
      </c>
      <c r="P4378" t="s">
        <v>68</v>
      </c>
      <c r="Q4378">
        <v>17.2</v>
      </c>
      <c r="R4378">
        <v>8.9000000000000057</v>
      </c>
      <c r="S4378" t="s">
        <v>217</v>
      </c>
    </row>
    <row r="4379" spans="1:19" x14ac:dyDescent="0.35">
      <c r="A4379">
        <v>151951</v>
      </c>
      <c r="B4379" t="str">
        <f>"151951"</f>
        <v>151951</v>
      </c>
      <c r="C4379" t="s">
        <v>12745</v>
      </c>
      <c r="D4379" t="s">
        <v>3394</v>
      </c>
      <c r="E4379" t="s">
        <v>3395</v>
      </c>
      <c r="F4379" t="s">
        <v>3396</v>
      </c>
      <c r="G4379" t="s">
        <v>1041</v>
      </c>
      <c r="H4379" t="s">
        <v>12746</v>
      </c>
      <c r="I4379" t="s">
        <v>12747</v>
      </c>
      <c r="J4379" t="s">
        <v>1115</v>
      </c>
      <c r="K4379" t="s">
        <v>55</v>
      </c>
      <c r="L4379" t="s">
        <v>1116</v>
      </c>
      <c r="M4379" t="s">
        <v>57</v>
      </c>
      <c r="N4379" t="str">
        <f>"045500"</f>
        <v>045500</v>
      </c>
      <c r="O4379" t="s">
        <v>1112</v>
      </c>
      <c r="P4379" t="s">
        <v>68</v>
      </c>
      <c r="Q4379">
        <v>13.8</v>
      </c>
      <c r="R4379">
        <v>9.4000000000000057</v>
      </c>
      <c r="S4379" t="s">
        <v>217</v>
      </c>
    </row>
    <row r="4380" spans="1:19" x14ac:dyDescent="0.35">
      <c r="A4380">
        <v>152116</v>
      </c>
      <c r="B4380" t="str">
        <f>"152116"</f>
        <v>152116</v>
      </c>
      <c r="C4380" t="s">
        <v>7413</v>
      </c>
      <c r="D4380" t="s">
        <v>3394</v>
      </c>
      <c r="E4380" t="s">
        <v>3395</v>
      </c>
      <c r="F4380" t="s">
        <v>3396</v>
      </c>
      <c r="G4380" t="s">
        <v>187</v>
      </c>
      <c r="H4380" t="s">
        <v>12748</v>
      </c>
      <c r="I4380" t="s">
        <v>12749</v>
      </c>
      <c r="J4380" t="s">
        <v>898</v>
      </c>
      <c r="K4380" t="s">
        <v>55</v>
      </c>
      <c r="L4380" t="s">
        <v>899</v>
      </c>
      <c r="M4380" t="s">
        <v>57</v>
      </c>
      <c r="N4380" t="str">
        <f>"050575"</f>
        <v>050575</v>
      </c>
      <c r="O4380" t="s">
        <v>895</v>
      </c>
      <c r="P4380" t="s">
        <v>68</v>
      </c>
      <c r="Q4380">
        <v>32.4</v>
      </c>
      <c r="R4380">
        <v>4.9000000000000057</v>
      </c>
      <c r="S4380" t="s">
        <v>77</v>
      </c>
    </row>
    <row r="4381" spans="1:19" x14ac:dyDescent="0.35">
      <c r="A4381">
        <v>152116</v>
      </c>
      <c r="B4381" t="str">
        <f>"152116"</f>
        <v>152116</v>
      </c>
      <c r="C4381" t="s">
        <v>7413</v>
      </c>
      <c r="D4381" t="s">
        <v>3929</v>
      </c>
      <c r="E4381" t="s">
        <v>3395</v>
      </c>
      <c r="F4381" t="s">
        <v>3396</v>
      </c>
      <c r="G4381" t="s">
        <v>187</v>
      </c>
      <c r="H4381" t="s">
        <v>12748</v>
      </c>
      <c r="I4381" t="s">
        <v>12749</v>
      </c>
      <c r="J4381" t="s">
        <v>898</v>
      </c>
      <c r="K4381" t="s">
        <v>55</v>
      </c>
      <c r="L4381" t="s">
        <v>899</v>
      </c>
      <c r="M4381" t="s">
        <v>57</v>
      </c>
      <c r="N4381" t="str">
        <f>"050575"</f>
        <v>050575</v>
      </c>
      <c r="O4381" t="s">
        <v>895</v>
      </c>
      <c r="P4381" t="s">
        <v>68</v>
      </c>
      <c r="Q4381">
        <v>32.4</v>
      </c>
      <c r="R4381">
        <v>4.9000000000000057</v>
      </c>
      <c r="S4381" t="s">
        <v>77</v>
      </c>
    </row>
    <row r="4382" spans="1:19" x14ac:dyDescent="0.35">
      <c r="A4382">
        <v>152132</v>
      </c>
      <c r="B4382" t="str">
        <f>"152132"</f>
        <v>152132</v>
      </c>
      <c r="C4382" t="s">
        <v>12750</v>
      </c>
      <c r="D4382" t="s">
        <v>3394</v>
      </c>
      <c r="E4382" t="s">
        <v>3395</v>
      </c>
      <c r="F4382" t="s">
        <v>3396</v>
      </c>
      <c r="G4382" t="s">
        <v>600</v>
      </c>
      <c r="H4382" t="s">
        <v>12751</v>
      </c>
      <c r="I4382" t="s">
        <v>12752</v>
      </c>
      <c r="J4382" t="s">
        <v>1136</v>
      </c>
      <c r="K4382" t="s">
        <v>55</v>
      </c>
      <c r="L4382" t="s">
        <v>1137</v>
      </c>
      <c r="M4382" t="s">
        <v>57</v>
      </c>
      <c r="N4382" t="str">
        <f>"044800"</f>
        <v>044800</v>
      </c>
      <c r="O4382" t="s">
        <v>1133</v>
      </c>
      <c r="P4382" t="s">
        <v>68</v>
      </c>
      <c r="Q4382">
        <v>20.8</v>
      </c>
      <c r="R4382">
        <v>18.700000000000003</v>
      </c>
      <c r="S4382" t="s">
        <v>60</v>
      </c>
    </row>
    <row r="4383" spans="1:19" x14ac:dyDescent="0.35">
      <c r="A4383">
        <v>152157</v>
      </c>
      <c r="B4383" t="str">
        <f>"152157"</f>
        <v>152157</v>
      </c>
      <c r="C4383" t="s">
        <v>12753</v>
      </c>
      <c r="D4383" t="s">
        <v>3400</v>
      </c>
      <c r="E4383" t="s">
        <v>3395</v>
      </c>
      <c r="F4383" t="s">
        <v>3396</v>
      </c>
      <c r="G4383" t="s">
        <v>434</v>
      </c>
      <c r="H4383" t="s">
        <v>435</v>
      </c>
      <c r="I4383" t="s">
        <v>436</v>
      </c>
      <c r="J4383" t="s">
        <v>437</v>
      </c>
      <c r="K4383" t="s">
        <v>55</v>
      </c>
      <c r="L4383" t="s">
        <v>438</v>
      </c>
      <c r="M4383" t="s">
        <v>57</v>
      </c>
      <c r="N4383" t="str">
        <f>"048991"</f>
        <v>048991</v>
      </c>
      <c r="O4383" t="s">
        <v>433</v>
      </c>
      <c r="P4383" t="s">
        <v>68</v>
      </c>
      <c r="Q4383">
        <v>35.5</v>
      </c>
      <c r="R4383">
        <v>6.5999999999999943</v>
      </c>
      <c r="S4383" t="s">
        <v>156</v>
      </c>
    </row>
    <row r="4384" spans="1:19" x14ac:dyDescent="0.35">
      <c r="A4384">
        <v>152280</v>
      </c>
      <c r="B4384" t="str">
        <f>"152280"</f>
        <v>152280</v>
      </c>
      <c r="C4384" t="s">
        <v>12754</v>
      </c>
      <c r="D4384" t="s">
        <v>3394</v>
      </c>
      <c r="E4384" t="s">
        <v>3395</v>
      </c>
      <c r="F4384" t="s">
        <v>3396</v>
      </c>
      <c r="G4384" t="s">
        <v>674</v>
      </c>
      <c r="H4384" t="s">
        <v>12755</v>
      </c>
      <c r="I4384" t="s">
        <v>12756</v>
      </c>
      <c r="J4384" t="s">
        <v>677</v>
      </c>
      <c r="K4384" t="s">
        <v>55</v>
      </c>
      <c r="L4384" t="s">
        <v>678</v>
      </c>
      <c r="M4384" t="s">
        <v>57</v>
      </c>
      <c r="N4384" t="str">
        <f>"048835"</f>
        <v>048835</v>
      </c>
      <c r="O4384" t="s">
        <v>673</v>
      </c>
      <c r="P4384" t="s">
        <v>68</v>
      </c>
      <c r="Q4384">
        <v>33.6</v>
      </c>
      <c r="R4384">
        <v>4.7000000000000028</v>
      </c>
      <c r="S4384" t="s">
        <v>130</v>
      </c>
    </row>
    <row r="4385" spans="1:19" x14ac:dyDescent="0.35">
      <c r="A4385">
        <v>152298</v>
      </c>
      <c r="B4385" t="str">
        <f>"152298"</f>
        <v>152298</v>
      </c>
      <c r="C4385" t="s">
        <v>12757</v>
      </c>
      <c r="D4385" t="s">
        <v>3394</v>
      </c>
      <c r="E4385" t="s">
        <v>3395</v>
      </c>
      <c r="F4385" t="s">
        <v>3396</v>
      </c>
      <c r="G4385" t="s">
        <v>351</v>
      </c>
      <c r="H4385" t="s">
        <v>12758</v>
      </c>
      <c r="I4385" t="s">
        <v>12759</v>
      </c>
      <c r="J4385" t="s">
        <v>351</v>
      </c>
      <c r="K4385" t="s">
        <v>55</v>
      </c>
      <c r="L4385" t="s">
        <v>2771</v>
      </c>
      <c r="M4385" t="s">
        <v>57</v>
      </c>
      <c r="N4385" t="str">
        <f>"044156"</f>
        <v>044156</v>
      </c>
      <c r="O4385" t="s">
        <v>2768</v>
      </c>
      <c r="P4385" t="s">
        <v>68</v>
      </c>
      <c r="Q4385">
        <v>43</v>
      </c>
      <c r="R4385">
        <v>3.4000000000000057</v>
      </c>
      <c r="S4385" t="s">
        <v>130</v>
      </c>
    </row>
    <row r="4386" spans="1:19" x14ac:dyDescent="0.35">
      <c r="A4386">
        <v>88377</v>
      </c>
      <c r="B4386" t="str">
        <f>"088377"</f>
        <v>088377</v>
      </c>
      <c r="C4386" t="s">
        <v>12760</v>
      </c>
      <c r="D4386" t="s">
        <v>3543</v>
      </c>
      <c r="E4386" t="s">
        <v>9538</v>
      </c>
      <c r="F4386" t="s">
        <v>3396</v>
      </c>
      <c r="G4386" t="s">
        <v>543</v>
      </c>
      <c r="H4386" t="s">
        <v>12761</v>
      </c>
      <c r="I4386" t="s">
        <v>12762</v>
      </c>
      <c r="J4386" t="s">
        <v>687</v>
      </c>
      <c r="K4386" t="s">
        <v>55</v>
      </c>
      <c r="L4386" t="s">
        <v>1990</v>
      </c>
      <c r="M4386" t="s">
        <v>57</v>
      </c>
      <c r="N4386" t="str">
        <f>"088377"</f>
        <v>088377</v>
      </c>
      <c r="O4386" t="s">
        <v>12760</v>
      </c>
      <c r="P4386" t="s">
        <v>68</v>
      </c>
      <c r="Q4386" t="s">
        <v>68</v>
      </c>
      <c r="R4386" t="s">
        <v>68</v>
      </c>
      <c r="S4386" t="s">
        <v>180</v>
      </c>
    </row>
    <row r="4387" spans="1:19" x14ac:dyDescent="0.35">
      <c r="A4387">
        <v>88377</v>
      </c>
      <c r="B4387" t="str">
        <f>"088377"</f>
        <v>088377</v>
      </c>
      <c r="C4387" t="s">
        <v>12760</v>
      </c>
      <c r="D4387" t="s">
        <v>9541</v>
      </c>
      <c r="E4387" t="s">
        <v>9538</v>
      </c>
      <c r="F4387" t="s">
        <v>3396</v>
      </c>
      <c r="G4387" t="s">
        <v>543</v>
      </c>
      <c r="H4387" t="s">
        <v>12761</v>
      </c>
      <c r="I4387" t="s">
        <v>12762</v>
      </c>
      <c r="J4387" t="s">
        <v>687</v>
      </c>
      <c r="K4387" t="s">
        <v>55</v>
      </c>
      <c r="L4387" t="s">
        <v>1990</v>
      </c>
      <c r="M4387" t="s">
        <v>57</v>
      </c>
      <c r="N4387" t="str">
        <f>"088377"</f>
        <v>088377</v>
      </c>
      <c r="O4387" t="s">
        <v>12760</v>
      </c>
      <c r="P4387" t="s">
        <v>68</v>
      </c>
      <c r="Q4387" t="s">
        <v>68</v>
      </c>
      <c r="R4387" t="s">
        <v>68</v>
      </c>
      <c r="S4387" t="s">
        <v>180</v>
      </c>
    </row>
    <row r="4388" spans="1:19" x14ac:dyDescent="0.35">
      <c r="A4388">
        <v>114462</v>
      </c>
      <c r="B4388" t="str">
        <f>"114462"</f>
        <v>114462</v>
      </c>
      <c r="C4388" t="s">
        <v>12763</v>
      </c>
      <c r="D4388" t="s">
        <v>3394</v>
      </c>
      <c r="E4388" t="s">
        <v>3395</v>
      </c>
      <c r="F4388" t="s">
        <v>3396</v>
      </c>
      <c r="G4388" t="s">
        <v>600</v>
      </c>
      <c r="H4388" t="s">
        <v>12764</v>
      </c>
      <c r="I4388" t="s">
        <v>12765</v>
      </c>
      <c r="J4388" t="s">
        <v>1136</v>
      </c>
      <c r="K4388" t="s">
        <v>55</v>
      </c>
      <c r="L4388" t="s">
        <v>1137</v>
      </c>
      <c r="M4388" t="s">
        <v>57</v>
      </c>
      <c r="N4388" t="str">
        <f>"044800"</f>
        <v>044800</v>
      </c>
      <c r="O4388" t="s">
        <v>1133</v>
      </c>
      <c r="P4388" t="s">
        <v>68</v>
      </c>
      <c r="Q4388" t="s">
        <v>68</v>
      </c>
      <c r="R4388" t="s">
        <v>68</v>
      </c>
      <c r="S4388" t="s">
        <v>60</v>
      </c>
    </row>
    <row r="4389" spans="1:19" x14ac:dyDescent="0.35">
      <c r="A4389">
        <v>105</v>
      </c>
      <c r="B4389" t="str">
        <f>"000105"</f>
        <v>000105</v>
      </c>
      <c r="C4389" t="s">
        <v>12766</v>
      </c>
      <c r="D4389" t="s">
        <v>3394</v>
      </c>
      <c r="E4389" t="s">
        <v>3395</v>
      </c>
      <c r="F4389" t="s">
        <v>3396</v>
      </c>
      <c r="G4389" t="s">
        <v>966</v>
      </c>
      <c r="H4389" t="s">
        <v>12767</v>
      </c>
      <c r="I4389" t="s">
        <v>12768</v>
      </c>
      <c r="J4389" t="s">
        <v>12769</v>
      </c>
      <c r="K4389" t="s">
        <v>55</v>
      </c>
      <c r="L4389" t="s">
        <v>12770</v>
      </c>
      <c r="M4389" t="s">
        <v>57</v>
      </c>
      <c r="N4389" t="str">
        <f>"048520"</f>
        <v>048520</v>
      </c>
      <c r="O4389" t="s">
        <v>1264</v>
      </c>
      <c r="P4389" t="s">
        <v>68</v>
      </c>
      <c r="Q4389">
        <v>100</v>
      </c>
      <c r="R4389">
        <v>6</v>
      </c>
      <c r="S4389" t="s">
        <v>130</v>
      </c>
    </row>
    <row r="4390" spans="1:19" x14ac:dyDescent="0.35">
      <c r="A4390">
        <v>102</v>
      </c>
      <c r="B4390" t="str">
        <f>"000102"</f>
        <v>000102</v>
      </c>
      <c r="C4390" t="s">
        <v>12771</v>
      </c>
      <c r="D4390" t="s">
        <v>3394</v>
      </c>
      <c r="E4390" t="s">
        <v>3395</v>
      </c>
      <c r="F4390" t="s">
        <v>3396</v>
      </c>
      <c r="G4390" t="s">
        <v>966</v>
      </c>
      <c r="H4390" t="s">
        <v>12767</v>
      </c>
      <c r="I4390" t="s">
        <v>12768</v>
      </c>
      <c r="J4390" t="s">
        <v>12769</v>
      </c>
      <c r="K4390" t="s">
        <v>55</v>
      </c>
      <c r="L4390" t="s">
        <v>12770</v>
      </c>
      <c r="M4390" t="s">
        <v>57</v>
      </c>
      <c r="N4390" t="str">
        <f>"048520"</f>
        <v>048520</v>
      </c>
      <c r="O4390" t="s">
        <v>1264</v>
      </c>
      <c r="P4390" t="s">
        <v>68</v>
      </c>
      <c r="Q4390">
        <v>99.5</v>
      </c>
      <c r="R4390">
        <v>5.4000000000000057</v>
      </c>
      <c r="S4390" t="s">
        <v>130</v>
      </c>
    </row>
    <row r="4391" spans="1:19" x14ac:dyDescent="0.35">
      <c r="A4391">
        <v>118</v>
      </c>
      <c r="B4391" t="str">
        <f>"000118"</f>
        <v>000118</v>
      </c>
      <c r="C4391" t="s">
        <v>12772</v>
      </c>
      <c r="D4391" t="s">
        <v>3400</v>
      </c>
      <c r="E4391" t="s">
        <v>3395</v>
      </c>
      <c r="F4391" t="s">
        <v>3396</v>
      </c>
      <c r="G4391" t="s">
        <v>600</v>
      </c>
      <c r="H4391" t="s">
        <v>12773</v>
      </c>
      <c r="I4391" t="s">
        <v>12774</v>
      </c>
      <c r="J4391" t="s">
        <v>1348</v>
      </c>
      <c r="K4391" t="s">
        <v>55</v>
      </c>
      <c r="L4391" t="s">
        <v>2733</v>
      </c>
      <c r="M4391" t="s">
        <v>57</v>
      </c>
      <c r="N4391" t="str">
        <f>"046953"</f>
        <v>046953</v>
      </c>
      <c r="O4391" t="s">
        <v>2730</v>
      </c>
      <c r="P4391" t="s">
        <v>68</v>
      </c>
      <c r="Q4391">
        <v>63.7</v>
      </c>
      <c r="R4391">
        <v>33.5</v>
      </c>
      <c r="S4391" t="s">
        <v>60</v>
      </c>
    </row>
    <row r="4392" spans="1:19" x14ac:dyDescent="0.35">
      <c r="A4392">
        <v>119</v>
      </c>
      <c r="B4392" t="str">
        <f>"000119"</f>
        <v>000119</v>
      </c>
      <c r="C4392" t="s">
        <v>12775</v>
      </c>
      <c r="D4392" t="s">
        <v>3398</v>
      </c>
      <c r="E4392" t="s">
        <v>3395</v>
      </c>
      <c r="F4392" t="s">
        <v>3396</v>
      </c>
      <c r="G4392" t="s">
        <v>351</v>
      </c>
      <c r="H4392" t="s">
        <v>12776</v>
      </c>
      <c r="I4392" t="s">
        <v>12777</v>
      </c>
      <c r="J4392" t="s">
        <v>354</v>
      </c>
      <c r="K4392" t="s">
        <v>55</v>
      </c>
      <c r="L4392" t="s">
        <v>355</v>
      </c>
      <c r="M4392" t="s">
        <v>57</v>
      </c>
      <c r="N4392" t="str">
        <f>"047761"</f>
        <v>047761</v>
      </c>
      <c r="O4392" t="s">
        <v>350</v>
      </c>
      <c r="P4392" t="s">
        <v>68</v>
      </c>
      <c r="Q4392">
        <v>100</v>
      </c>
      <c r="R4392">
        <v>1.5999999999999943</v>
      </c>
      <c r="S4392" t="s">
        <v>130</v>
      </c>
    </row>
    <row r="4393" spans="1:19" x14ac:dyDescent="0.35">
      <c r="A4393">
        <v>124</v>
      </c>
      <c r="B4393" t="str">
        <f>"000124"</f>
        <v>000124</v>
      </c>
      <c r="C4393" t="s">
        <v>12778</v>
      </c>
      <c r="D4393" t="s">
        <v>3394</v>
      </c>
      <c r="E4393" t="s">
        <v>3395</v>
      </c>
      <c r="F4393" t="s">
        <v>3396</v>
      </c>
      <c r="G4393" t="s">
        <v>351</v>
      </c>
      <c r="H4393" t="s">
        <v>12779</v>
      </c>
      <c r="I4393" t="s">
        <v>12780</v>
      </c>
      <c r="J4393" t="s">
        <v>354</v>
      </c>
      <c r="K4393" t="s">
        <v>55</v>
      </c>
      <c r="L4393" t="s">
        <v>355</v>
      </c>
      <c r="M4393" t="s">
        <v>57</v>
      </c>
      <c r="N4393" t="str">
        <f>"047761"</f>
        <v>047761</v>
      </c>
      <c r="O4393" t="s">
        <v>350</v>
      </c>
      <c r="P4393" t="s">
        <v>68</v>
      </c>
      <c r="Q4393">
        <v>100</v>
      </c>
      <c r="R4393">
        <v>0.20000000000000284</v>
      </c>
      <c r="S4393" t="s">
        <v>130</v>
      </c>
    </row>
    <row r="4394" spans="1:19" x14ac:dyDescent="0.35">
      <c r="A4394">
        <v>131</v>
      </c>
      <c r="B4394" t="str">
        <f>"000131"</f>
        <v>000131</v>
      </c>
      <c r="C4394" t="s">
        <v>12781</v>
      </c>
      <c r="D4394" t="s">
        <v>3398</v>
      </c>
      <c r="E4394" t="s">
        <v>12048</v>
      </c>
      <c r="F4394" t="s">
        <v>3396</v>
      </c>
      <c r="G4394" t="s">
        <v>200</v>
      </c>
      <c r="H4394" t="s">
        <v>12782</v>
      </c>
      <c r="I4394" t="s">
        <v>12783</v>
      </c>
      <c r="J4394" t="s">
        <v>304</v>
      </c>
      <c r="K4394" t="s">
        <v>55</v>
      </c>
      <c r="L4394" t="s">
        <v>3170</v>
      </c>
      <c r="M4394" t="s">
        <v>57</v>
      </c>
      <c r="N4394" t="str">
        <f>"N/A"</f>
        <v>N/A</v>
      </c>
      <c r="O4394" t="s">
        <v>49</v>
      </c>
      <c r="P4394" t="s">
        <v>68</v>
      </c>
      <c r="Q4394">
        <v>79.5</v>
      </c>
      <c r="R4394">
        <v>85</v>
      </c>
      <c r="S4394" t="s">
        <v>156</v>
      </c>
    </row>
    <row r="4395" spans="1:19" x14ac:dyDescent="0.35">
      <c r="A4395">
        <v>131</v>
      </c>
      <c r="B4395" t="str">
        <f>"000131"</f>
        <v>000131</v>
      </c>
      <c r="C4395" t="s">
        <v>12781</v>
      </c>
      <c r="D4395" t="s">
        <v>12052</v>
      </c>
      <c r="E4395" t="s">
        <v>12048</v>
      </c>
      <c r="F4395" t="s">
        <v>3396</v>
      </c>
      <c r="G4395" t="s">
        <v>200</v>
      </c>
      <c r="H4395" t="s">
        <v>12782</v>
      </c>
      <c r="I4395" t="s">
        <v>12783</v>
      </c>
      <c r="J4395" t="s">
        <v>304</v>
      </c>
      <c r="K4395" t="s">
        <v>55</v>
      </c>
      <c r="L4395" t="s">
        <v>3170</v>
      </c>
      <c r="M4395" t="s">
        <v>57</v>
      </c>
      <c r="N4395" t="str">
        <f>"N/A"</f>
        <v>N/A</v>
      </c>
      <c r="O4395" t="s">
        <v>49</v>
      </c>
      <c r="P4395" t="s">
        <v>68</v>
      </c>
      <c r="Q4395">
        <v>79.5</v>
      </c>
      <c r="R4395">
        <v>85</v>
      </c>
      <c r="S4395" t="s">
        <v>156</v>
      </c>
    </row>
    <row r="4396" spans="1:19" x14ac:dyDescent="0.35">
      <c r="A4396">
        <v>131</v>
      </c>
      <c r="B4396" t="str">
        <f>"000131"</f>
        <v>000131</v>
      </c>
      <c r="C4396" t="s">
        <v>12781</v>
      </c>
      <c r="D4396" t="s">
        <v>12063</v>
      </c>
      <c r="E4396" t="s">
        <v>12048</v>
      </c>
      <c r="F4396" t="s">
        <v>3396</v>
      </c>
      <c r="G4396" t="s">
        <v>200</v>
      </c>
      <c r="H4396" t="s">
        <v>12782</v>
      </c>
      <c r="I4396" t="s">
        <v>12783</v>
      </c>
      <c r="J4396" t="s">
        <v>304</v>
      </c>
      <c r="K4396" t="s">
        <v>55</v>
      </c>
      <c r="L4396" t="s">
        <v>3170</v>
      </c>
      <c r="M4396" t="s">
        <v>57</v>
      </c>
      <c r="N4396" t="str">
        <f>"N/A"</f>
        <v>N/A</v>
      </c>
      <c r="O4396" t="s">
        <v>49</v>
      </c>
      <c r="P4396" t="s">
        <v>68</v>
      </c>
      <c r="Q4396">
        <v>79.5</v>
      </c>
      <c r="R4396">
        <v>85</v>
      </c>
      <c r="S4396" t="s">
        <v>156</v>
      </c>
    </row>
    <row r="4397" spans="1:19" x14ac:dyDescent="0.35">
      <c r="A4397">
        <v>138</v>
      </c>
      <c r="B4397" t="str">
        <f>"000138"</f>
        <v>000138</v>
      </c>
      <c r="C4397" t="s">
        <v>12784</v>
      </c>
      <c r="D4397" t="s">
        <v>3394</v>
      </c>
      <c r="E4397" t="s">
        <v>12048</v>
      </c>
      <c r="F4397" t="s">
        <v>3396</v>
      </c>
      <c r="G4397" t="s">
        <v>543</v>
      </c>
      <c r="H4397" t="s">
        <v>12785</v>
      </c>
      <c r="I4397" t="s">
        <v>12786</v>
      </c>
      <c r="J4397" t="s">
        <v>687</v>
      </c>
      <c r="K4397" t="s">
        <v>55</v>
      </c>
      <c r="L4397" t="s">
        <v>3956</v>
      </c>
      <c r="M4397" t="s">
        <v>57</v>
      </c>
      <c r="N4397" t="str">
        <f>"014980"</f>
        <v>014980</v>
      </c>
      <c r="O4397" t="s">
        <v>12538</v>
      </c>
      <c r="P4397" t="s">
        <v>68</v>
      </c>
      <c r="Q4397">
        <v>86.2</v>
      </c>
      <c r="R4397">
        <v>61.7</v>
      </c>
      <c r="S4397" t="s">
        <v>180</v>
      </c>
    </row>
    <row r="4398" spans="1:19" x14ac:dyDescent="0.35">
      <c r="A4398">
        <v>138</v>
      </c>
      <c r="B4398" t="str">
        <f>"000138"</f>
        <v>000138</v>
      </c>
      <c r="C4398" t="s">
        <v>12784</v>
      </c>
      <c r="D4398" t="s">
        <v>12052</v>
      </c>
      <c r="E4398" t="s">
        <v>12048</v>
      </c>
      <c r="F4398" t="s">
        <v>3396</v>
      </c>
      <c r="G4398" t="s">
        <v>543</v>
      </c>
      <c r="H4398" t="s">
        <v>12785</v>
      </c>
      <c r="I4398" t="s">
        <v>12786</v>
      </c>
      <c r="J4398" t="s">
        <v>687</v>
      </c>
      <c r="K4398" t="s">
        <v>55</v>
      </c>
      <c r="L4398" t="s">
        <v>3956</v>
      </c>
      <c r="M4398" t="s">
        <v>57</v>
      </c>
      <c r="N4398" t="str">
        <f>"014980"</f>
        <v>014980</v>
      </c>
      <c r="O4398" t="s">
        <v>12538</v>
      </c>
      <c r="P4398" t="s">
        <v>68</v>
      </c>
      <c r="Q4398">
        <v>86.2</v>
      </c>
      <c r="R4398">
        <v>61.7</v>
      </c>
      <c r="S4398" t="s">
        <v>180</v>
      </c>
    </row>
    <row r="4399" spans="1:19" x14ac:dyDescent="0.35">
      <c r="A4399">
        <v>139</v>
      </c>
      <c r="B4399" t="str">
        <f>"000139"</f>
        <v>000139</v>
      </c>
      <c r="C4399" t="s">
        <v>12787</v>
      </c>
      <c r="D4399" t="s">
        <v>3394</v>
      </c>
      <c r="E4399" t="s">
        <v>12048</v>
      </c>
      <c r="F4399" t="s">
        <v>3396</v>
      </c>
      <c r="G4399" t="s">
        <v>212</v>
      </c>
      <c r="H4399" t="s">
        <v>12788</v>
      </c>
      <c r="I4399" t="s">
        <v>12789</v>
      </c>
      <c r="J4399" t="s">
        <v>215</v>
      </c>
      <c r="K4399" t="s">
        <v>55</v>
      </c>
      <c r="L4399" t="s">
        <v>5876</v>
      </c>
      <c r="M4399" t="s">
        <v>57</v>
      </c>
      <c r="N4399" t="str">
        <f>"014980"</f>
        <v>014980</v>
      </c>
      <c r="O4399" t="s">
        <v>12538</v>
      </c>
      <c r="P4399" t="s">
        <v>68</v>
      </c>
      <c r="Q4399">
        <v>100</v>
      </c>
      <c r="R4399">
        <v>97.3</v>
      </c>
      <c r="S4399" t="s">
        <v>217</v>
      </c>
    </row>
    <row r="4400" spans="1:19" x14ac:dyDescent="0.35">
      <c r="A4400">
        <v>139</v>
      </c>
      <c r="B4400" t="str">
        <f>"000139"</f>
        <v>000139</v>
      </c>
      <c r="C4400" t="s">
        <v>12787</v>
      </c>
      <c r="D4400" t="s">
        <v>12052</v>
      </c>
      <c r="E4400" t="s">
        <v>12048</v>
      </c>
      <c r="F4400" t="s">
        <v>3396</v>
      </c>
      <c r="G4400" t="s">
        <v>212</v>
      </c>
      <c r="H4400" t="s">
        <v>12788</v>
      </c>
      <c r="I4400" t="s">
        <v>12789</v>
      </c>
      <c r="J4400" t="s">
        <v>215</v>
      </c>
      <c r="K4400" t="s">
        <v>55</v>
      </c>
      <c r="L4400" t="s">
        <v>5876</v>
      </c>
      <c r="M4400" t="s">
        <v>57</v>
      </c>
      <c r="N4400" t="str">
        <f>"014980"</f>
        <v>014980</v>
      </c>
      <c r="O4400" t="s">
        <v>12538</v>
      </c>
      <c r="P4400" t="s">
        <v>68</v>
      </c>
      <c r="Q4400">
        <v>100</v>
      </c>
      <c r="R4400">
        <v>97.3</v>
      </c>
      <c r="S4400" t="s">
        <v>217</v>
      </c>
    </row>
    <row r="4401" spans="1:19" x14ac:dyDescent="0.35">
      <c r="A4401">
        <v>176</v>
      </c>
      <c r="B4401" t="str">
        <f>"000176"</f>
        <v>000176</v>
      </c>
      <c r="C4401" t="s">
        <v>12790</v>
      </c>
      <c r="D4401" t="s">
        <v>3394</v>
      </c>
      <c r="E4401" t="s">
        <v>9538</v>
      </c>
      <c r="F4401" t="s">
        <v>3396</v>
      </c>
      <c r="G4401" t="s">
        <v>63</v>
      </c>
      <c r="H4401" t="s">
        <v>12791</v>
      </c>
      <c r="I4401" t="s">
        <v>12792</v>
      </c>
      <c r="J4401" t="s">
        <v>285</v>
      </c>
      <c r="K4401" t="s">
        <v>55</v>
      </c>
      <c r="L4401" t="s">
        <v>3561</v>
      </c>
      <c r="M4401" t="s">
        <v>57</v>
      </c>
      <c r="N4401" t="str">
        <f>"000176"</f>
        <v>000176</v>
      </c>
      <c r="O4401" t="s">
        <v>12790</v>
      </c>
      <c r="P4401" t="s">
        <v>68</v>
      </c>
      <c r="Q4401" t="s">
        <v>68</v>
      </c>
      <c r="R4401" t="s">
        <v>68</v>
      </c>
      <c r="S4401" t="s">
        <v>69</v>
      </c>
    </row>
    <row r="4402" spans="1:19" x14ac:dyDescent="0.35">
      <c r="A4402">
        <v>177</v>
      </c>
      <c r="B4402" t="str">
        <f>"000177"</f>
        <v>000177</v>
      </c>
      <c r="C4402" t="s">
        <v>12793</v>
      </c>
      <c r="D4402" t="s">
        <v>3394</v>
      </c>
      <c r="E4402" t="s">
        <v>3395</v>
      </c>
      <c r="F4402" t="s">
        <v>3396</v>
      </c>
      <c r="G4402" t="s">
        <v>1335</v>
      </c>
      <c r="H4402" t="s">
        <v>12794</v>
      </c>
      <c r="I4402" t="s">
        <v>12795</v>
      </c>
      <c r="J4402" t="s">
        <v>1452</v>
      </c>
      <c r="K4402" t="s">
        <v>55</v>
      </c>
      <c r="L4402" t="s">
        <v>1453</v>
      </c>
      <c r="M4402" t="s">
        <v>57</v>
      </c>
      <c r="N4402" t="str">
        <f>"047936"</f>
        <v>047936</v>
      </c>
      <c r="O4402" t="s">
        <v>1449</v>
      </c>
      <c r="P4402" t="s">
        <v>68</v>
      </c>
      <c r="Q4402">
        <v>43.5</v>
      </c>
      <c r="R4402">
        <v>6.0999999999999943</v>
      </c>
      <c r="S4402" t="s">
        <v>130</v>
      </c>
    </row>
    <row r="4403" spans="1:19" x14ac:dyDescent="0.35">
      <c r="A4403">
        <v>187</v>
      </c>
      <c r="B4403" t="str">
        <f>"000187"</f>
        <v>000187</v>
      </c>
      <c r="C4403" t="s">
        <v>12796</v>
      </c>
      <c r="D4403" t="s">
        <v>3400</v>
      </c>
      <c r="E4403" t="s">
        <v>3395</v>
      </c>
      <c r="F4403" t="s">
        <v>3396</v>
      </c>
      <c r="G4403" t="s">
        <v>901</v>
      </c>
      <c r="H4403" t="s">
        <v>4241</v>
      </c>
      <c r="I4403" t="s">
        <v>4242</v>
      </c>
      <c r="J4403" t="s">
        <v>2509</v>
      </c>
      <c r="K4403" t="s">
        <v>55</v>
      </c>
      <c r="L4403" t="s">
        <v>2510</v>
      </c>
      <c r="M4403" t="s">
        <v>57</v>
      </c>
      <c r="N4403" t="str">
        <f>"047829"</f>
        <v>047829</v>
      </c>
      <c r="O4403" t="s">
        <v>2506</v>
      </c>
      <c r="P4403" t="s">
        <v>68</v>
      </c>
      <c r="Q4403">
        <v>22.8</v>
      </c>
      <c r="R4403">
        <v>6.2000000000000028</v>
      </c>
      <c r="S4403" t="s">
        <v>60</v>
      </c>
    </row>
    <row r="4404" spans="1:19" x14ac:dyDescent="0.35">
      <c r="A4404">
        <v>204</v>
      </c>
      <c r="B4404" t="str">
        <f>"000204"</f>
        <v>000204</v>
      </c>
      <c r="C4404" t="s">
        <v>12797</v>
      </c>
      <c r="D4404" t="s">
        <v>3394</v>
      </c>
      <c r="E4404" t="s">
        <v>9538</v>
      </c>
      <c r="F4404" t="s">
        <v>3396</v>
      </c>
      <c r="G4404" t="s">
        <v>169</v>
      </c>
      <c r="H4404" t="s">
        <v>12798</v>
      </c>
      <c r="I4404" t="s">
        <v>12799</v>
      </c>
      <c r="J4404" t="s">
        <v>172</v>
      </c>
      <c r="K4404" t="s">
        <v>55</v>
      </c>
      <c r="L4404" t="s">
        <v>173</v>
      </c>
      <c r="M4404" t="s">
        <v>57</v>
      </c>
      <c r="N4404" t="str">
        <f>"000204"</f>
        <v>000204</v>
      </c>
      <c r="O4404" t="s">
        <v>12797</v>
      </c>
      <c r="P4404" t="s">
        <v>68</v>
      </c>
      <c r="Q4404" t="s">
        <v>68</v>
      </c>
      <c r="R4404" t="s">
        <v>68</v>
      </c>
      <c r="S4404" t="s">
        <v>77</v>
      </c>
    </row>
    <row r="4405" spans="1:19" x14ac:dyDescent="0.35">
      <c r="A4405">
        <v>222</v>
      </c>
      <c r="B4405" t="str">
        <f>"000222"</f>
        <v>000222</v>
      </c>
      <c r="C4405" t="s">
        <v>12800</v>
      </c>
      <c r="D4405" t="s">
        <v>3398</v>
      </c>
      <c r="E4405" t="s">
        <v>12048</v>
      </c>
      <c r="F4405" t="s">
        <v>3396</v>
      </c>
      <c r="G4405" t="s">
        <v>200</v>
      </c>
      <c r="H4405" t="s">
        <v>12801</v>
      </c>
      <c r="I4405" t="s">
        <v>12802</v>
      </c>
      <c r="J4405" t="s">
        <v>3036</v>
      </c>
      <c r="K4405" t="s">
        <v>55</v>
      </c>
      <c r="L4405" t="s">
        <v>3037</v>
      </c>
      <c r="M4405" t="s">
        <v>57</v>
      </c>
      <c r="N4405" t="str">
        <f>"014977"</f>
        <v>014977</v>
      </c>
      <c r="O4405" t="s">
        <v>12803</v>
      </c>
      <c r="P4405" t="s">
        <v>68</v>
      </c>
      <c r="Q4405">
        <v>61.2</v>
      </c>
      <c r="R4405">
        <v>37.299999999999997</v>
      </c>
      <c r="S4405" t="s">
        <v>156</v>
      </c>
    </row>
    <row r="4406" spans="1:19" x14ac:dyDescent="0.35">
      <c r="A4406">
        <v>222</v>
      </c>
      <c r="B4406" t="str">
        <f>"000222"</f>
        <v>000222</v>
      </c>
      <c r="C4406" t="s">
        <v>12800</v>
      </c>
      <c r="D4406" t="s">
        <v>12052</v>
      </c>
      <c r="E4406" t="s">
        <v>12048</v>
      </c>
      <c r="F4406" t="s">
        <v>3396</v>
      </c>
      <c r="G4406" t="s">
        <v>200</v>
      </c>
      <c r="H4406" t="s">
        <v>12801</v>
      </c>
      <c r="I4406" t="s">
        <v>12802</v>
      </c>
      <c r="J4406" t="s">
        <v>3036</v>
      </c>
      <c r="K4406" t="s">
        <v>55</v>
      </c>
      <c r="L4406" t="s">
        <v>3037</v>
      </c>
      <c r="M4406" t="s">
        <v>57</v>
      </c>
      <c r="N4406" t="str">
        <f>"014977"</f>
        <v>014977</v>
      </c>
      <c r="O4406" t="s">
        <v>12803</v>
      </c>
      <c r="P4406" t="s">
        <v>68</v>
      </c>
      <c r="Q4406">
        <v>61.2</v>
      </c>
      <c r="R4406">
        <v>37.299999999999997</v>
      </c>
      <c r="S4406" t="s">
        <v>156</v>
      </c>
    </row>
    <row r="4407" spans="1:19" x14ac:dyDescent="0.35">
      <c r="A4407">
        <v>231</v>
      </c>
      <c r="B4407" t="str">
        <f>"000231"</f>
        <v>000231</v>
      </c>
      <c r="C4407" t="s">
        <v>12804</v>
      </c>
      <c r="D4407" t="s">
        <v>3394</v>
      </c>
      <c r="E4407" t="s">
        <v>3395</v>
      </c>
      <c r="F4407" t="s">
        <v>3396</v>
      </c>
      <c r="G4407" t="s">
        <v>318</v>
      </c>
      <c r="H4407" t="s">
        <v>12805</v>
      </c>
      <c r="I4407" t="s">
        <v>12806</v>
      </c>
      <c r="J4407" t="s">
        <v>321</v>
      </c>
      <c r="K4407" t="s">
        <v>55</v>
      </c>
      <c r="L4407" t="s">
        <v>322</v>
      </c>
      <c r="M4407" t="s">
        <v>57</v>
      </c>
      <c r="N4407" t="str">
        <f>"049536"</f>
        <v>049536</v>
      </c>
      <c r="O4407" t="s">
        <v>317</v>
      </c>
      <c r="P4407" t="s">
        <v>68</v>
      </c>
      <c r="Q4407">
        <v>45.9</v>
      </c>
      <c r="R4407">
        <v>13.200000000000003</v>
      </c>
      <c r="S4407" t="s">
        <v>130</v>
      </c>
    </row>
    <row r="4408" spans="1:19" x14ac:dyDescent="0.35">
      <c r="A4408">
        <v>234</v>
      </c>
      <c r="B4408" t="str">
        <f>"000234"</f>
        <v>000234</v>
      </c>
      <c r="C4408" t="s">
        <v>12807</v>
      </c>
      <c r="D4408" t="s">
        <v>3394</v>
      </c>
      <c r="E4408" t="s">
        <v>3395</v>
      </c>
      <c r="F4408" t="s">
        <v>3396</v>
      </c>
      <c r="G4408" t="s">
        <v>200</v>
      </c>
      <c r="H4408" t="s">
        <v>12808</v>
      </c>
      <c r="I4408" t="s">
        <v>12809</v>
      </c>
      <c r="J4408" t="s">
        <v>304</v>
      </c>
      <c r="K4408" t="s">
        <v>55</v>
      </c>
      <c r="L4408" t="s">
        <v>3170</v>
      </c>
      <c r="M4408" t="s">
        <v>57</v>
      </c>
      <c r="N4408" t="str">
        <f>"044909"</f>
        <v>044909</v>
      </c>
      <c r="O4408" t="s">
        <v>3318</v>
      </c>
      <c r="P4408" t="s">
        <v>68</v>
      </c>
      <c r="Q4408">
        <v>92.5</v>
      </c>
      <c r="R4408">
        <v>100</v>
      </c>
      <c r="S4408" t="s">
        <v>156</v>
      </c>
    </row>
    <row r="4409" spans="1:19" x14ac:dyDescent="0.35">
      <c r="A4409">
        <v>236</v>
      </c>
      <c r="B4409" t="str">
        <f>"000236"</f>
        <v>000236</v>
      </c>
      <c r="C4409" t="s">
        <v>12810</v>
      </c>
      <c r="D4409" t="s">
        <v>3398</v>
      </c>
      <c r="E4409" t="s">
        <v>12048</v>
      </c>
      <c r="F4409" t="s">
        <v>3396</v>
      </c>
      <c r="G4409" t="s">
        <v>63</v>
      </c>
      <c r="H4409" t="s">
        <v>12811</v>
      </c>
      <c r="I4409" t="s">
        <v>12812</v>
      </c>
      <c r="J4409" t="s">
        <v>1500</v>
      </c>
      <c r="K4409" t="s">
        <v>55</v>
      </c>
      <c r="L4409" t="s">
        <v>1501</v>
      </c>
      <c r="M4409" t="s">
        <v>57</v>
      </c>
      <c r="N4409" t="str">
        <f>"015029"</f>
        <v>015029</v>
      </c>
      <c r="O4409" t="s">
        <v>12813</v>
      </c>
      <c r="P4409" t="s">
        <v>68</v>
      </c>
      <c r="Q4409">
        <v>43</v>
      </c>
      <c r="R4409">
        <v>30.200000000000003</v>
      </c>
      <c r="S4409" t="s">
        <v>69</v>
      </c>
    </row>
    <row r="4410" spans="1:19" x14ac:dyDescent="0.35">
      <c r="A4410">
        <v>236</v>
      </c>
      <c r="B4410" t="str">
        <f>"000236"</f>
        <v>000236</v>
      </c>
      <c r="C4410" t="s">
        <v>12810</v>
      </c>
      <c r="D4410" t="s">
        <v>12052</v>
      </c>
      <c r="E4410" t="s">
        <v>12048</v>
      </c>
      <c r="F4410" t="s">
        <v>3396</v>
      </c>
      <c r="G4410" t="s">
        <v>63</v>
      </c>
      <c r="H4410" t="s">
        <v>12811</v>
      </c>
      <c r="I4410" t="s">
        <v>12812</v>
      </c>
      <c r="J4410" t="s">
        <v>1500</v>
      </c>
      <c r="K4410" t="s">
        <v>55</v>
      </c>
      <c r="L4410" t="s">
        <v>1501</v>
      </c>
      <c r="M4410" t="s">
        <v>57</v>
      </c>
      <c r="N4410" t="str">
        <f>"015029"</f>
        <v>015029</v>
      </c>
      <c r="O4410" t="s">
        <v>12813</v>
      </c>
      <c r="P4410" t="s">
        <v>68</v>
      </c>
      <c r="Q4410">
        <v>43</v>
      </c>
      <c r="R4410">
        <v>30.200000000000003</v>
      </c>
      <c r="S4410" t="s">
        <v>69</v>
      </c>
    </row>
    <row r="4411" spans="1:19" x14ac:dyDescent="0.35">
      <c r="A4411">
        <v>236</v>
      </c>
      <c r="B4411" t="str">
        <f>"000236"</f>
        <v>000236</v>
      </c>
      <c r="C4411" t="s">
        <v>12810</v>
      </c>
      <c r="D4411" t="s">
        <v>12476</v>
      </c>
      <c r="E4411" t="s">
        <v>12048</v>
      </c>
      <c r="F4411" t="s">
        <v>3396</v>
      </c>
      <c r="G4411" t="s">
        <v>63</v>
      </c>
      <c r="H4411" t="s">
        <v>12811</v>
      </c>
      <c r="I4411" t="s">
        <v>12812</v>
      </c>
      <c r="J4411" t="s">
        <v>1500</v>
      </c>
      <c r="K4411" t="s">
        <v>55</v>
      </c>
      <c r="L4411" t="s">
        <v>1501</v>
      </c>
      <c r="M4411" t="s">
        <v>57</v>
      </c>
      <c r="N4411" t="str">
        <f>"015029"</f>
        <v>015029</v>
      </c>
      <c r="O4411" t="s">
        <v>12813</v>
      </c>
      <c r="P4411" t="s">
        <v>68</v>
      </c>
      <c r="Q4411">
        <v>43</v>
      </c>
      <c r="R4411">
        <v>30.200000000000003</v>
      </c>
      <c r="S4411" t="s">
        <v>69</v>
      </c>
    </row>
    <row r="4412" spans="1:19" x14ac:dyDescent="0.35">
      <c r="A4412">
        <v>241</v>
      </c>
      <c r="B4412" t="str">
        <f>"000241"</f>
        <v>000241</v>
      </c>
      <c r="C4412" t="s">
        <v>12814</v>
      </c>
      <c r="D4412" t="s">
        <v>3398</v>
      </c>
      <c r="E4412" t="s">
        <v>12048</v>
      </c>
      <c r="F4412" t="s">
        <v>3396</v>
      </c>
      <c r="G4412" t="s">
        <v>71</v>
      </c>
      <c r="H4412" t="s">
        <v>12815</v>
      </c>
      <c r="I4412" t="s">
        <v>12816</v>
      </c>
      <c r="J4412" t="s">
        <v>447</v>
      </c>
      <c r="K4412" t="s">
        <v>55</v>
      </c>
      <c r="L4412" t="s">
        <v>448</v>
      </c>
      <c r="M4412" t="s">
        <v>57</v>
      </c>
      <c r="N4412" t="str">
        <f>"N/A"</f>
        <v>N/A</v>
      </c>
      <c r="O4412" t="s">
        <v>49</v>
      </c>
      <c r="P4412" t="s">
        <v>68</v>
      </c>
      <c r="Q4412">
        <v>51.5</v>
      </c>
      <c r="R4412">
        <v>14.200000000000003</v>
      </c>
      <c r="S4412" t="s">
        <v>77</v>
      </c>
    </row>
    <row r="4413" spans="1:19" x14ac:dyDescent="0.35">
      <c r="A4413">
        <v>241</v>
      </c>
      <c r="B4413" t="str">
        <f>"000241"</f>
        <v>000241</v>
      </c>
      <c r="C4413" t="s">
        <v>12814</v>
      </c>
      <c r="D4413" t="s">
        <v>12471</v>
      </c>
      <c r="E4413" t="s">
        <v>12048</v>
      </c>
      <c r="F4413" t="s">
        <v>3396</v>
      </c>
      <c r="G4413" t="s">
        <v>71</v>
      </c>
      <c r="H4413" t="s">
        <v>12815</v>
      </c>
      <c r="I4413" t="s">
        <v>12816</v>
      </c>
      <c r="J4413" t="s">
        <v>447</v>
      </c>
      <c r="K4413" t="s">
        <v>55</v>
      </c>
      <c r="L4413" t="s">
        <v>448</v>
      </c>
      <c r="M4413" t="s">
        <v>57</v>
      </c>
      <c r="N4413" t="str">
        <f>"N/A"</f>
        <v>N/A</v>
      </c>
      <c r="O4413" t="s">
        <v>49</v>
      </c>
      <c r="P4413" t="s">
        <v>68</v>
      </c>
      <c r="Q4413">
        <v>51.5</v>
      </c>
      <c r="R4413">
        <v>14.200000000000003</v>
      </c>
      <c r="S4413" t="s">
        <v>77</v>
      </c>
    </row>
    <row r="4414" spans="1:19" x14ac:dyDescent="0.35">
      <c r="A4414">
        <v>241</v>
      </c>
      <c r="B4414" t="str">
        <f>"000241"</f>
        <v>000241</v>
      </c>
      <c r="C4414" t="s">
        <v>12814</v>
      </c>
      <c r="D4414" t="s">
        <v>12476</v>
      </c>
      <c r="E4414" t="s">
        <v>12048</v>
      </c>
      <c r="F4414" t="s">
        <v>3396</v>
      </c>
      <c r="G4414" t="s">
        <v>71</v>
      </c>
      <c r="H4414" t="s">
        <v>12815</v>
      </c>
      <c r="I4414" t="s">
        <v>12816</v>
      </c>
      <c r="J4414" t="s">
        <v>447</v>
      </c>
      <c r="K4414" t="s">
        <v>55</v>
      </c>
      <c r="L4414" t="s">
        <v>448</v>
      </c>
      <c r="M4414" t="s">
        <v>57</v>
      </c>
      <c r="N4414" t="str">
        <f>"N/A"</f>
        <v>N/A</v>
      </c>
      <c r="O4414" t="s">
        <v>49</v>
      </c>
      <c r="P4414" t="s">
        <v>68</v>
      </c>
      <c r="Q4414">
        <v>51.5</v>
      </c>
      <c r="R4414">
        <v>14.200000000000003</v>
      </c>
      <c r="S4414" t="s">
        <v>77</v>
      </c>
    </row>
    <row r="4415" spans="1:19" x14ac:dyDescent="0.35">
      <c r="A4415">
        <v>241</v>
      </c>
      <c r="B4415" t="str">
        <f>"000241"</f>
        <v>000241</v>
      </c>
      <c r="C4415" t="s">
        <v>12814</v>
      </c>
      <c r="D4415" t="s">
        <v>12063</v>
      </c>
      <c r="E4415" t="s">
        <v>12048</v>
      </c>
      <c r="F4415" t="s">
        <v>3396</v>
      </c>
      <c r="G4415" t="s">
        <v>71</v>
      </c>
      <c r="H4415" t="s">
        <v>12815</v>
      </c>
      <c r="I4415" t="s">
        <v>12816</v>
      </c>
      <c r="J4415" t="s">
        <v>447</v>
      </c>
      <c r="K4415" t="s">
        <v>55</v>
      </c>
      <c r="L4415" t="s">
        <v>448</v>
      </c>
      <c r="M4415" t="s">
        <v>57</v>
      </c>
      <c r="N4415" t="str">
        <f>"N/A"</f>
        <v>N/A</v>
      </c>
      <c r="O4415" t="s">
        <v>49</v>
      </c>
      <c r="P4415" t="s">
        <v>68</v>
      </c>
      <c r="Q4415">
        <v>51.5</v>
      </c>
      <c r="R4415">
        <v>14.200000000000003</v>
      </c>
      <c r="S4415" t="s">
        <v>77</v>
      </c>
    </row>
    <row r="4416" spans="1:19" x14ac:dyDescent="0.35">
      <c r="A4416">
        <v>242</v>
      </c>
      <c r="B4416" t="str">
        <f>"000242"</f>
        <v>000242</v>
      </c>
      <c r="C4416" t="s">
        <v>12817</v>
      </c>
      <c r="D4416" t="s">
        <v>3394</v>
      </c>
      <c r="E4416" t="s">
        <v>3395</v>
      </c>
      <c r="F4416" t="s">
        <v>3396</v>
      </c>
      <c r="G4416" t="s">
        <v>1948</v>
      </c>
      <c r="H4416" t="s">
        <v>12818</v>
      </c>
      <c r="I4416" t="s">
        <v>12819</v>
      </c>
      <c r="J4416" t="s">
        <v>2864</v>
      </c>
      <c r="K4416" t="s">
        <v>55</v>
      </c>
      <c r="L4416" t="s">
        <v>2865</v>
      </c>
      <c r="M4416" t="s">
        <v>57</v>
      </c>
      <c r="N4416" t="str">
        <f>"050336"</f>
        <v>050336</v>
      </c>
      <c r="O4416" t="s">
        <v>2861</v>
      </c>
      <c r="P4416" t="s">
        <v>68</v>
      </c>
      <c r="Q4416">
        <v>38.1</v>
      </c>
      <c r="R4416">
        <v>5.0999999999999943</v>
      </c>
      <c r="S4416" t="s">
        <v>60</v>
      </c>
    </row>
    <row r="4417" spans="1:19" x14ac:dyDescent="0.35">
      <c r="A4417">
        <v>270</v>
      </c>
      <c r="B4417" t="str">
        <f>"000270"</f>
        <v>000270</v>
      </c>
      <c r="C4417" t="s">
        <v>12820</v>
      </c>
      <c r="D4417" t="s">
        <v>3394</v>
      </c>
      <c r="E4417" t="s">
        <v>3395</v>
      </c>
      <c r="F4417" t="s">
        <v>3396</v>
      </c>
      <c r="G4417" t="s">
        <v>79</v>
      </c>
      <c r="H4417" t="s">
        <v>12821</v>
      </c>
      <c r="I4417" t="s">
        <v>12822</v>
      </c>
      <c r="J4417" t="s">
        <v>1802</v>
      </c>
      <c r="K4417" t="s">
        <v>55</v>
      </c>
      <c r="L4417" t="s">
        <v>1803</v>
      </c>
      <c r="M4417" t="s">
        <v>57</v>
      </c>
      <c r="N4417" t="str">
        <f>"044560"</f>
        <v>044560</v>
      </c>
      <c r="O4417" t="s">
        <v>1799</v>
      </c>
      <c r="P4417" t="s">
        <v>68</v>
      </c>
      <c r="Q4417">
        <v>48.7</v>
      </c>
      <c r="R4417">
        <v>21.200000000000003</v>
      </c>
      <c r="S4417" t="s">
        <v>69</v>
      </c>
    </row>
    <row r="4418" spans="1:19" x14ac:dyDescent="0.35">
      <c r="A4418">
        <v>274</v>
      </c>
      <c r="B4418" t="str">
        <f>"000274"</f>
        <v>000274</v>
      </c>
      <c r="C4418" t="s">
        <v>12823</v>
      </c>
      <c r="D4418" t="s">
        <v>3394</v>
      </c>
      <c r="E4418" t="s">
        <v>3395</v>
      </c>
      <c r="F4418" t="s">
        <v>3396</v>
      </c>
      <c r="G4418" t="s">
        <v>663</v>
      </c>
      <c r="H4418" t="s">
        <v>4100</v>
      </c>
      <c r="I4418" t="s">
        <v>4101</v>
      </c>
      <c r="J4418" t="s">
        <v>244</v>
      </c>
      <c r="K4418" t="s">
        <v>55</v>
      </c>
      <c r="L4418" t="s">
        <v>4102</v>
      </c>
      <c r="M4418" t="s">
        <v>57</v>
      </c>
      <c r="N4418" t="str">
        <f>"049411"</f>
        <v>049411</v>
      </c>
      <c r="O4418" t="s">
        <v>929</v>
      </c>
      <c r="P4418" t="s">
        <v>68</v>
      </c>
      <c r="Q4418" t="s">
        <v>68</v>
      </c>
      <c r="R4418" t="s">
        <v>68</v>
      </c>
      <c r="S4418" t="s">
        <v>77</v>
      </c>
    </row>
    <row r="4419" spans="1:19" x14ac:dyDescent="0.35">
      <c r="A4419">
        <v>282</v>
      </c>
      <c r="B4419" t="str">
        <f>"000282"</f>
        <v>000282</v>
      </c>
      <c r="C4419" t="s">
        <v>12824</v>
      </c>
      <c r="D4419" t="s">
        <v>3398</v>
      </c>
      <c r="E4419" t="s">
        <v>12048</v>
      </c>
      <c r="F4419" t="s">
        <v>3396</v>
      </c>
      <c r="G4419" t="s">
        <v>172</v>
      </c>
      <c r="H4419" t="s">
        <v>12825</v>
      </c>
      <c r="I4419" t="s">
        <v>12826</v>
      </c>
      <c r="J4419" t="s">
        <v>629</v>
      </c>
      <c r="K4419" t="s">
        <v>55</v>
      </c>
      <c r="L4419" t="s">
        <v>630</v>
      </c>
      <c r="M4419" t="s">
        <v>57</v>
      </c>
      <c r="N4419" t="str">
        <f>"N/A"</f>
        <v>N/A</v>
      </c>
      <c r="O4419" t="s">
        <v>49</v>
      </c>
      <c r="P4419" t="s">
        <v>68</v>
      </c>
      <c r="Q4419">
        <v>12.6</v>
      </c>
      <c r="R4419">
        <v>13.400000000000006</v>
      </c>
      <c r="S4419" t="s">
        <v>217</v>
      </c>
    </row>
    <row r="4420" spans="1:19" x14ac:dyDescent="0.35">
      <c r="A4420">
        <v>282</v>
      </c>
      <c r="B4420" t="str">
        <f>"000282"</f>
        <v>000282</v>
      </c>
      <c r="C4420" t="s">
        <v>12824</v>
      </c>
      <c r="D4420" t="s">
        <v>12052</v>
      </c>
      <c r="E4420" t="s">
        <v>12048</v>
      </c>
      <c r="F4420" t="s">
        <v>3396</v>
      </c>
      <c r="G4420" t="s">
        <v>172</v>
      </c>
      <c r="H4420" t="s">
        <v>12825</v>
      </c>
      <c r="I4420" t="s">
        <v>12826</v>
      </c>
      <c r="J4420" t="s">
        <v>629</v>
      </c>
      <c r="K4420" t="s">
        <v>55</v>
      </c>
      <c r="L4420" t="s">
        <v>630</v>
      </c>
      <c r="M4420" t="s">
        <v>57</v>
      </c>
      <c r="N4420" t="str">
        <f>"N/A"</f>
        <v>N/A</v>
      </c>
      <c r="O4420" t="s">
        <v>49</v>
      </c>
      <c r="P4420" t="s">
        <v>68</v>
      </c>
      <c r="Q4420">
        <v>12.6</v>
      </c>
      <c r="R4420">
        <v>13.400000000000006</v>
      </c>
      <c r="S4420" t="s">
        <v>217</v>
      </c>
    </row>
    <row r="4421" spans="1:19" x14ac:dyDescent="0.35">
      <c r="A4421">
        <v>282</v>
      </c>
      <c r="B4421" t="str">
        <f>"000282"</f>
        <v>000282</v>
      </c>
      <c r="C4421" t="s">
        <v>12824</v>
      </c>
      <c r="D4421" t="s">
        <v>12476</v>
      </c>
      <c r="E4421" t="s">
        <v>12048</v>
      </c>
      <c r="F4421" t="s">
        <v>3396</v>
      </c>
      <c r="G4421" t="s">
        <v>172</v>
      </c>
      <c r="H4421" t="s">
        <v>12825</v>
      </c>
      <c r="I4421" t="s">
        <v>12826</v>
      </c>
      <c r="J4421" t="s">
        <v>629</v>
      </c>
      <c r="K4421" t="s">
        <v>55</v>
      </c>
      <c r="L4421" t="s">
        <v>630</v>
      </c>
      <c r="M4421" t="s">
        <v>57</v>
      </c>
      <c r="N4421" t="str">
        <f>"N/A"</f>
        <v>N/A</v>
      </c>
      <c r="O4421" t="s">
        <v>49</v>
      </c>
      <c r="P4421" t="s">
        <v>68</v>
      </c>
      <c r="Q4421">
        <v>12.6</v>
      </c>
      <c r="R4421">
        <v>13.400000000000006</v>
      </c>
      <c r="S4421" t="s">
        <v>217</v>
      </c>
    </row>
    <row r="4422" spans="1:19" x14ac:dyDescent="0.35">
      <c r="A4422">
        <v>282</v>
      </c>
      <c r="B4422" t="str">
        <f>"000282"</f>
        <v>000282</v>
      </c>
      <c r="C4422" t="s">
        <v>12824</v>
      </c>
      <c r="D4422" t="s">
        <v>12063</v>
      </c>
      <c r="E4422" t="s">
        <v>12048</v>
      </c>
      <c r="F4422" t="s">
        <v>3396</v>
      </c>
      <c r="G4422" t="s">
        <v>172</v>
      </c>
      <c r="H4422" t="s">
        <v>12825</v>
      </c>
      <c r="I4422" t="s">
        <v>12826</v>
      </c>
      <c r="J4422" t="s">
        <v>629</v>
      </c>
      <c r="K4422" t="s">
        <v>55</v>
      </c>
      <c r="L4422" t="s">
        <v>630</v>
      </c>
      <c r="M4422" t="s">
        <v>57</v>
      </c>
      <c r="N4422" t="str">
        <f>"N/A"</f>
        <v>N/A</v>
      </c>
      <c r="O4422" t="s">
        <v>49</v>
      </c>
      <c r="P4422" t="s">
        <v>68</v>
      </c>
      <c r="Q4422">
        <v>12.6</v>
      </c>
      <c r="R4422">
        <v>13.400000000000006</v>
      </c>
      <c r="S4422" t="s">
        <v>217</v>
      </c>
    </row>
    <row r="4423" spans="1:19" x14ac:dyDescent="0.35">
      <c r="A4423">
        <v>288</v>
      </c>
      <c r="B4423" t="str">
        <f>"000288"</f>
        <v>000288</v>
      </c>
      <c r="C4423" t="s">
        <v>12827</v>
      </c>
      <c r="D4423" t="s">
        <v>3398</v>
      </c>
      <c r="E4423" t="s">
        <v>12048</v>
      </c>
      <c r="F4423" t="s">
        <v>3396</v>
      </c>
      <c r="G4423" t="s">
        <v>554</v>
      </c>
      <c r="H4423" t="s">
        <v>12828</v>
      </c>
      <c r="I4423" t="s">
        <v>12829</v>
      </c>
      <c r="J4423" t="s">
        <v>1184</v>
      </c>
      <c r="K4423" t="s">
        <v>55</v>
      </c>
      <c r="L4423" t="s">
        <v>1185</v>
      </c>
      <c r="M4423" t="s">
        <v>57</v>
      </c>
      <c r="N4423" t="str">
        <f>"045930"</f>
        <v>045930</v>
      </c>
      <c r="O4423" t="s">
        <v>559</v>
      </c>
      <c r="P4423" t="s">
        <v>68</v>
      </c>
      <c r="Q4423">
        <v>61</v>
      </c>
      <c r="R4423">
        <v>20.700000000000003</v>
      </c>
      <c r="S4423" t="s">
        <v>156</v>
      </c>
    </row>
    <row r="4424" spans="1:19" x14ac:dyDescent="0.35">
      <c r="A4424">
        <v>288</v>
      </c>
      <c r="B4424" t="str">
        <f>"000288"</f>
        <v>000288</v>
      </c>
      <c r="C4424" t="s">
        <v>12827</v>
      </c>
      <c r="D4424" t="s">
        <v>12052</v>
      </c>
      <c r="E4424" t="s">
        <v>12048</v>
      </c>
      <c r="F4424" t="s">
        <v>3396</v>
      </c>
      <c r="G4424" t="s">
        <v>554</v>
      </c>
      <c r="H4424" t="s">
        <v>12828</v>
      </c>
      <c r="I4424" t="s">
        <v>12829</v>
      </c>
      <c r="J4424" t="s">
        <v>1184</v>
      </c>
      <c r="K4424" t="s">
        <v>55</v>
      </c>
      <c r="L4424" t="s">
        <v>1185</v>
      </c>
      <c r="M4424" t="s">
        <v>57</v>
      </c>
      <c r="N4424" t="str">
        <f>"045930"</f>
        <v>045930</v>
      </c>
      <c r="O4424" t="s">
        <v>559</v>
      </c>
      <c r="P4424" t="s">
        <v>68</v>
      </c>
      <c r="Q4424">
        <v>61</v>
      </c>
      <c r="R4424">
        <v>20.700000000000003</v>
      </c>
      <c r="S4424" t="s">
        <v>156</v>
      </c>
    </row>
    <row r="4425" spans="1:19" x14ac:dyDescent="0.35">
      <c r="A4425">
        <v>288</v>
      </c>
      <c r="B4425" t="str">
        <f>"000288"</f>
        <v>000288</v>
      </c>
      <c r="C4425" t="s">
        <v>12827</v>
      </c>
      <c r="D4425" t="s">
        <v>12476</v>
      </c>
      <c r="E4425" t="s">
        <v>12048</v>
      </c>
      <c r="F4425" t="s">
        <v>3396</v>
      </c>
      <c r="G4425" t="s">
        <v>554</v>
      </c>
      <c r="H4425" t="s">
        <v>12828</v>
      </c>
      <c r="I4425" t="s">
        <v>12829</v>
      </c>
      <c r="J4425" t="s">
        <v>1184</v>
      </c>
      <c r="K4425" t="s">
        <v>55</v>
      </c>
      <c r="L4425" t="s">
        <v>1185</v>
      </c>
      <c r="M4425" t="s">
        <v>57</v>
      </c>
      <c r="N4425" t="str">
        <f>"045930"</f>
        <v>045930</v>
      </c>
      <c r="O4425" t="s">
        <v>559</v>
      </c>
      <c r="P4425" t="s">
        <v>68</v>
      </c>
      <c r="Q4425">
        <v>61</v>
      </c>
      <c r="R4425">
        <v>20.700000000000003</v>
      </c>
      <c r="S4425" t="s">
        <v>156</v>
      </c>
    </row>
    <row r="4426" spans="1:19" x14ac:dyDescent="0.35">
      <c r="A4426">
        <v>288</v>
      </c>
      <c r="B4426" t="str">
        <f>"000288"</f>
        <v>000288</v>
      </c>
      <c r="C4426" t="s">
        <v>12827</v>
      </c>
      <c r="D4426" t="s">
        <v>12063</v>
      </c>
      <c r="E4426" t="s">
        <v>12048</v>
      </c>
      <c r="F4426" t="s">
        <v>3396</v>
      </c>
      <c r="G4426" t="s">
        <v>554</v>
      </c>
      <c r="H4426" t="s">
        <v>12828</v>
      </c>
      <c r="I4426" t="s">
        <v>12829</v>
      </c>
      <c r="J4426" t="s">
        <v>1184</v>
      </c>
      <c r="K4426" t="s">
        <v>55</v>
      </c>
      <c r="L4426" t="s">
        <v>1185</v>
      </c>
      <c r="M4426" t="s">
        <v>57</v>
      </c>
      <c r="N4426" t="str">
        <f>"045930"</f>
        <v>045930</v>
      </c>
      <c r="O4426" t="s">
        <v>559</v>
      </c>
      <c r="P4426" t="s">
        <v>68</v>
      </c>
      <c r="Q4426">
        <v>61</v>
      </c>
      <c r="R4426">
        <v>20.700000000000003</v>
      </c>
      <c r="S4426" t="s">
        <v>156</v>
      </c>
    </row>
    <row r="4427" spans="1:19" x14ac:dyDescent="0.35">
      <c r="A4427">
        <v>291</v>
      </c>
      <c r="B4427" t="str">
        <f>"000291"</f>
        <v>000291</v>
      </c>
      <c r="C4427" t="s">
        <v>12830</v>
      </c>
      <c r="D4427" t="s">
        <v>3400</v>
      </c>
      <c r="E4427" t="s">
        <v>3395</v>
      </c>
      <c r="F4427" t="s">
        <v>3396</v>
      </c>
      <c r="G4427" t="s">
        <v>104</v>
      </c>
      <c r="H4427" t="s">
        <v>2693</v>
      </c>
      <c r="I4427" t="s">
        <v>2694</v>
      </c>
      <c r="J4427" t="s">
        <v>1673</v>
      </c>
      <c r="K4427" t="s">
        <v>55</v>
      </c>
      <c r="L4427" t="s">
        <v>1674</v>
      </c>
      <c r="M4427" t="s">
        <v>57</v>
      </c>
      <c r="N4427" t="str">
        <f>"046177"</f>
        <v>046177</v>
      </c>
      <c r="O4427" t="s">
        <v>2692</v>
      </c>
      <c r="P4427" t="s">
        <v>68</v>
      </c>
      <c r="Q4427">
        <v>41.9</v>
      </c>
      <c r="R4427">
        <v>7.7000000000000028</v>
      </c>
      <c r="S4427" t="s">
        <v>77</v>
      </c>
    </row>
    <row r="4428" spans="1:19" x14ac:dyDescent="0.35">
      <c r="A4428">
        <v>306</v>
      </c>
      <c r="B4428" t="str">
        <f>"000306"</f>
        <v>000306</v>
      </c>
      <c r="C4428" t="s">
        <v>12831</v>
      </c>
      <c r="D4428" t="s">
        <v>3394</v>
      </c>
      <c r="E4428" t="s">
        <v>12048</v>
      </c>
      <c r="F4428" t="s">
        <v>3396</v>
      </c>
      <c r="G4428" t="s">
        <v>212</v>
      </c>
      <c r="H4428" t="s">
        <v>12832</v>
      </c>
      <c r="I4428" t="s">
        <v>12833</v>
      </c>
      <c r="J4428" t="s">
        <v>215</v>
      </c>
      <c r="K4428" t="s">
        <v>55</v>
      </c>
      <c r="L4428" t="s">
        <v>3919</v>
      </c>
      <c r="M4428" t="s">
        <v>57</v>
      </c>
      <c r="N4428" t="str">
        <f t="shared" ref="N4428:N4445" si="20">"014992"</f>
        <v>014992</v>
      </c>
      <c r="O4428" t="s">
        <v>12051</v>
      </c>
      <c r="P4428" t="s">
        <v>68</v>
      </c>
      <c r="Q4428">
        <v>100</v>
      </c>
      <c r="R4428">
        <v>72.5</v>
      </c>
      <c r="S4428" t="s">
        <v>217</v>
      </c>
    </row>
    <row r="4429" spans="1:19" x14ac:dyDescent="0.35">
      <c r="A4429">
        <v>306</v>
      </c>
      <c r="B4429" t="str">
        <f>"000306"</f>
        <v>000306</v>
      </c>
      <c r="C4429" t="s">
        <v>12831</v>
      </c>
      <c r="D4429" t="s">
        <v>12052</v>
      </c>
      <c r="E4429" t="s">
        <v>12048</v>
      </c>
      <c r="F4429" t="s">
        <v>3396</v>
      </c>
      <c r="G4429" t="s">
        <v>212</v>
      </c>
      <c r="H4429" t="s">
        <v>12832</v>
      </c>
      <c r="I4429" t="s">
        <v>12833</v>
      </c>
      <c r="J4429" t="s">
        <v>215</v>
      </c>
      <c r="K4429" t="s">
        <v>55</v>
      </c>
      <c r="L4429" t="s">
        <v>3919</v>
      </c>
      <c r="M4429" t="s">
        <v>57</v>
      </c>
      <c r="N4429" t="str">
        <f t="shared" si="20"/>
        <v>014992</v>
      </c>
      <c r="O4429" t="s">
        <v>12051</v>
      </c>
      <c r="P4429" t="s">
        <v>68</v>
      </c>
      <c r="Q4429">
        <v>100</v>
      </c>
      <c r="R4429">
        <v>72.5</v>
      </c>
      <c r="S4429" t="s">
        <v>217</v>
      </c>
    </row>
    <row r="4430" spans="1:19" x14ac:dyDescent="0.35">
      <c r="A4430">
        <v>296</v>
      </c>
      <c r="B4430" t="str">
        <f>"000296"</f>
        <v>000296</v>
      </c>
      <c r="C4430" t="s">
        <v>12834</v>
      </c>
      <c r="D4430" t="s">
        <v>3394</v>
      </c>
      <c r="E4430" t="s">
        <v>12048</v>
      </c>
      <c r="F4430" t="s">
        <v>3396</v>
      </c>
      <c r="G4430" t="s">
        <v>600</v>
      </c>
      <c r="H4430" t="s">
        <v>12835</v>
      </c>
      <c r="I4430" t="s">
        <v>12836</v>
      </c>
      <c r="J4430" t="s">
        <v>1348</v>
      </c>
      <c r="K4430" t="s">
        <v>55</v>
      </c>
      <c r="L4430" t="s">
        <v>2733</v>
      </c>
      <c r="M4430" t="s">
        <v>57</v>
      </c>
      <c r="N4430" t="str">
        <f t="shared" si="20"/>
        <v>014992</v>
      </c>
      <c r="O4430" t="s">
        <v>12051</v>
      </c>
      <c r="P4430" t="s">
        <v>68</v>
      </c>
      <c r="Q4430">
        <v>100</v>
      </c>
      <c r="R4430">
        <v>100</v>
      </c>
      <c r="S4430" t="s">
        <v>60</v>
      </c>
    </row>
    <row r="4431" spans="1:19" x14ac:dyDescent="0.35">
      <c r="A4431">
        <v>296</v>
      </c>
      <c r="B4431" t="str">
        <f>"000296"</f>
        <v>000296</v>
      </c>
      <c r="C4431" t="s">
        <v>12834</v>
      </c>
      <c r="D4431" t="s">
        <v>12052</v>
      </c>
      <c r="E4431" t="s">
        <v>12048</v>
      </c>
      <c r="F4431" t="s">
        <v>3396</v>
      </c>
      <c r="G4431" t="s">
        <v>600</v>
      </c>
      <c r="H4431" t="s">
        <v>12835</v>
      </c>
      <c r="I4431" t="s">
        <v>12836</v>
      </c>
      <c r="J4431" t="s">
        <v>1348</v>
      </c>
      <c r="K4431" t="s">
        <v>55</v>
      </c>
      <c r="L4431" t="s">
        <v>2733</v>
      </c>
      <c r="M4431" t="s">
        <v>57</v>
      </c>
      <c r="N4431" t="str">
        <f t="shared" si="20"/>
        <v>014992</v>
      </c>
      <c r="O4431" t="s">
        <v>12051</v>
      </c>
      <c r="P4431" t="s">
        <v>68</v>
      </c>
      <c r="Q4431">
        <v>100</v>
      </c>
      <c r="R4431">
        <v>100</v>
      </c>
      <c r="S4431" t="s">
        <v>60</v>
      </c>
    </row>
    <row r="4432" spans="1:19" x14ac:dyDescent="0.35">
      <c r="A4432">
        <v>305</v>
      </c>
      <c r="B4432" t="str">
        <f>"000305"</f>
        <v>000305</v>
      </c>
      <c r="C4432" t="s">
        <v>12837</v>
      </c>
      <c r="D4432" t="s">
        <v>3394</v>
      </c>
      <c r="E4432" t="s">
        <v>12048</v>
      </c>
      <c r="F4432" t="s">
        <v>3396</v>
      </c>
      <c r="G4432" t="s">
        <v>169</v>
      </c>
      <c r="H4432" t="s">
        <v>12838</v>
      </c>
      <c r="I4432" t="s">
        <v>12839</v>
      </c>
      <c r="J4432" t="s">
        <v>172</v>
      </c>
      <c r="K4432" t="s">
        <v>55</v>
      </c>
      <c r="L4432" t="s">
        <v>1097</v>
      </c>
      <c r="M4432" t="s">
        <v>57</v>
      </c>
      <c r="N4432" t="str">
        <f t="shared" si="20"/>
        <v>014992</v>
      </c>
      <c r="O4432" t="s">
        <v>12051</v>
      </c>
      <c r="P4432" t="s">
        <v>68</v>
      </c>
      <c r="Q4432">
        <v>100</v>
      </c>
      <c r="R4432">
        <v>33.299999999999997</v>
      </c>
      <c r="S4432" t="s">
        <v>77</v>
      </c>
    </row>
    <row r="4433" spans="1:19" x14ac:dyDescent="0.35">
      <c r="A4433">
        <v>305</v>
      </c>
      <c r="B4433" t="str">
        <f>"000305"</f>
        <v>000305</v>
      </c>
      <c r="C4433" t="s">
        <v>12837</v>
      </c>
      <c r="D4433" t="s">
        <v>12052</v>
      </c>
      <c r="E4433" t="s">
        <v>12048</v>
      </c>
      <c r="F4433" t="s">
        <v>3396</v>
      </c>
      <c r="G4433" t="s">
        <v>169</v>
      </c>
      <c r="H4433" t="s">
        <v>12838</v>
      </c>
      <c r="I4433" t="s">
        <v>12839</v>
      </c>
      <c r="J4433" t="s">
        <v>172</v>
      </c>
      <c r="K4433" t="s">
        <v>55</v>
      </c>
      <c r="L4433" t="s">
        <v>1097</v>
      </c>
      <c r="M4433" t="s">
        <v>57</v>
      </c>
      <c r="N4433" t="str">
        <f t="shared" si="20"/>
        <v>014992</v>
      </c>
      <c r="O4433" t="s">
        <v>12051</v>
      </c>
      <c r="P4433" t="s">
        <v>68</v>
      </c>
      <c r="Q4433">
        <v>100</v>
      </c>
      <c r="R4433">
        <v>33.299999999999997</v>
      </c>
      <c r="S4433" t="s">
        <v>77</v>
      </c>
    </row>
    <row r="4434" spans="1:19" x14ac:dyDescent="0.35">
      <c r="A4434">
        <v>297</v>
      </c>
      <c r="B4434" t="str">
        <f>"000297"</f>
        <v>000297</v>
      </c>
      <c r="C4434" t="s">
        <v>12840</v>
      </c>
      <c r="D4434" t="s">
        <v>3506</v>
      </c>
      <c r="E4434" t="s">
        <v>12048</v>
      </c>
      <c r="F4434" t="s">
        <v>3396</v>
      </c>
      <c r="G4434" t="s">
        <v>543</v>
      </c>
      <c r="H4434" t="s">
        <v>12841</v>
      </c>
      <c r="I4434" t="s">
        <v>12842</v>
      </c>
      <c r="J4434" t="s">
        <v>687</v>
      </c>
      <c r="K4434" t="s">
        <v>55</v>
      </c>
      <c r="L4434" t="s">
        <v>2578</v>
      </c>
      <c r="M4434" t="s">
        <v>57</v>
      </c>
      <c r="N4434" t="str">
        <f t="shared" si="20"/>
        <v>014992</v>
      </c>
      <c r="O4434" t="s">
        <v>12051</v>
      </c>
      <c r="P4434" t="s">
        <v>68</v>
      </c>
      <c r="Q4434">
        <v>100</v>
      </c>
      <c r="R4434">
        <v>58.5</v>
      </c>
      <c r="S4434" t="s">
        <v>180</v>
      </c>
    </row>
    <row r="4435" spans="1:19" x14ac:dyDescent="0.35">
      <c r="A4435">
        <v>297</v>
      </c>
      <c r="B4435" t="str">
        <f>"000297"</f>
        <v>000297</v>
      </c>
      <c r="C4435" t="s">
        <v>12840</v>
      </c>
      <c r="D4435" t="s">
        <v>12052</v>
      </c>
      <c r="E4435" t="s">
        <v>12048</v>
      </c>
      <c r="F4435" t="s">
        <v>3396</v>
      </c>
      <c r="G4435" t="s">
        <v>543</v>
      </c>
      <c r="H4435" t="s">
        <v>12841</v>
      </c>
      <c r="I4435" t="s">
        <v>12842</v>
      </c>
      <c r="J4435" t="s">
        <v>687</v>
      </c>
      <c r="K4435" t="s">
        <v>55</v>
      </c>
      <c r="L4435" t="s">
        <v>2578</v>
      </c>
      <c r="M4435" t="s">
        <v>57</v>
      </c>
      <c r="N4435" t="str">
        <f t="shared" si="20"/>
        <v>014992</v>
      </c>
      <c r="O4435" t="s">
        <v>12051</v>
      </c>
      <c r="P4435" t="s">
        <v>68</v>
      </c>
      <c r="Q4435">
        <v>100</v>
      </c>
      <c r="R4435">
        <v>58.5</v>
      </c>
      <c r="S4435" t="s">
        <v>180</v>
      </c>
    </row>
    <row r="4436" spans="1:19" x14ac:dyDescent="0.35">
      <c r="A4436">
        <v>298</v>
      </c>
      <c r="B4436" t="str">
        <f>"000298"</f>
        <v>000298</v>
      </c>
      <c r="C4436" t="s">
        <v>12843</v>
      </c>
      <c r="D4436" t="s">
        <v>3398</v>
      </c>
      <c r="E4436" t="s">
        <v>12048</v>
      </c>
      <c r="F4436" t="s">
        <v>3396</v>
      </c>
      <c r="G4436" t="s">
        <v>264</v>
      </c>
      <c r="H4436" t="s">
        <v>12844</v>
      </c>
      <c r="I4436" t="s">
        <v>12845</v>
      </c>
      <c r="J4436" t="s">
        <v>267</v>
      </c>
      <c r="K4436" t="s">
        <v>55</v>
      </c>
      <c r="L4436" t="s">
        <v>4045</v>
      </c>
      <c r="M4436" t="s">
        <v>57</v>
      </c>
      <c r="N4436" t="str">
        <f t="shared" si="20"/>
        <v>014992</v>
      </c>
      <c r="O4436" t="s">
        <v>12051</v>
      </c>
      <c r="P4436" t="s">
        <v>68</v>
      </c>
      <c r="Q4436">
        <v>100</v>
      </c>
      <c r="R4436">
        <v>35.700000000000003</v>
      </c>
      <c r="S4436" t="s">
        <v>77</v>
      </c>
    </row>
    <row r="4437" spans="1:19" x14ac:dyDescent="0.35">
      <c r="A4437">
        <v>298</v>
      </c>
      <c r="B4437" t="str">
        <f>"000298"</f>
        <v>000298</v>
      </c>
      <c r="C4437" t="s">
        <v>12843</v>
      </c>
      <c r="D4437" t="s">
        <v>12052</v>
      </c>
      <c r="E4437" t="s">
        <v>12048</v>
      </c>
      <c r="F4437" t="s">
        <v>3396</v>
      </c>
      <c r="G4437" t="s">
        <v>264</v>
      </c>
      <c r="H4437" t="s">
        <v>12844</v>
      </c>
      <c r="I4437" t="s">
        <v>12845</v>
      </c>
      <c r="J4437" t="s">
        <v>267</v>
      </c>
      <c r="K4437" t="s">
        <v>55</v>
      </c>
      <c r="L4437" t="s">
        <v>4045</v>
      </c>
      <c r="M4437" t="s">
        <v>57</v>
      </c>
      <c r="N4437" t="str">
        <f t="shared" si="20"/>
        <v>014992</v>
      </c>
      <c r="O4437" t="s">
        <v>12051</v>
      </c>
      <c r="P4437" t="s">
        <v>68</v>
      </c>
      <c r="Q4437">
        <v>100</v>
      </c>
      <c r="R4437">
        <v>35.700000000000003</v>
      </c>
      <c r="S4437" t="s">
        <v>77</v>
      </c>
    </row>
    <row r="4438" spans="1:19" x14ac:dyDescent="0.35">
      <c r="A4438">
        <v>303</v>
      </c>
      <c r="B4438" t="str">
        <f>"000303"</f>
        <v>000303</v>
      </c>
      <c r="C4438" t="s">
        <v>12846</v>
      </c>
      <c r="D4438" t="s">
        <v>3398</v>
      </c>
      <c r="E4438" t="s">
        <v>12048</v>
      </c>
      <c r="F4438" t="s">
        <v>3396</v>
      </c>
      <c r="G4438" t="s">
        <v>383</v>
      </c>
      <c r="H4438" t="s">
        <v>12847</v>
      </c>
      <c r="I4438" t="s">
        <v>12848</v>
      </c>
      <c r="J4438" t="s">
        <v>1215</v>
      </c>
      <c r="K4438" t="s">
        <v>55</v>
      </c>
      <c r="L4438" t="s">
        <v>8607</v>
      </c>
      <c r="M4438" t="s">
        <v>57</v>
      </c>
      <c r="N4438" t="str">
        <f t="shared" si="20"/>
        <v>014992</v>
      </c>
      <c r="O4438" t="s">
        <v>12051</v>
      </c>
      <c r="P4438" t="s">
        <v>68</v>
      </c>
      <c r="Q4438">
        <v>100</v>
      </c>
      <c r="R4438">
        <v>52.1</v>
      </c>
      <c r="S4438" t="s">
        <v>77</v>
      </c>
    </row>
    <row r="4439" spans="1:19" x14ac:dyDescent="0.35">
      <c r="A4439">
        <v>303</v>
      </c>
      <c r="B4439" t="str">
        <f>"000303"</f>
        <v>000303</v>
      </c>
      <c r="C4439" t="s">
        <v>12846</v>
      </c>
      <c r="D4439" t="s">
        <v>12052</v>
      </c>
      <c r="E4439" t="s">
        <v>12048</v>
      </c>
      <c r="F4439" t="s">
        <v>3396</v>
      </c>
      <c r="G4439" t="s">
        <v>383</v>
      </c>
      <c r="H4439" t="s">
        <v>12847</v>
      </c>
      <c r="I4439" t="s">
        <v>12848</v>
      </c>
      <c r="J4439" t="s">
        <v>1215</v>
      </c>
      <c r="K4439" t="s">
        <v>55</v>
      </c>
      <c r="L4439" t="s">
        <v>8607</v>
      </c>
      <c r="M4439" t="s">
        <v>57</v>
      </c>
      <c r="N4439" t="str">
        <f t="shared" si="20"/>
        <v>014992</v>
      </c>
      <c r="O4439" t="s">
        <v>12051</v>
      </c>
      <c r="P4439" t="s">
        <v>68</v>
      </c>
      <c r="Q4439">
        <v>100</v>
      </c>
      <c r="R4439">
        <v>52.1</v>
      </c>
      <c r="S4439" t="s">
        <v>77</v>
      </c>
    </row>
    <row r="4440" spans="1:19" x14ac:dyDescent="0.35">
      <c r="A4440">
        <v>300</v>
      </c>
      <c r="B4440" t="str">
        <f>"000300"</f>
        <v>000300</v>
      </c>
      <c r="C4440" t="s">
        <v>12849</v>
      </c>
      <c r="D4440" t="s">
        <v>3398</v>
      </c>
      <c r="E4440" t="s">
        <v>12048</v>
      </c>
      <c r="F4440" t="s">
        <v>3396</v>
      </c>
      <c r="G4440" t="s">
        <v>117</v>
      </c>
      <c r="H4440" t="s">
        <v>12850</v>
      </c>
      <c r="I4440" t="s">
        <v>12851</v>
      </c>
      <c r="J4440" t="s">
        <v>1409</v>
      </c>
      <c r="K4440" t="s">
        <v>55</v>
      </c>
      <c r="L4440" t="s">
        <v>1410</v>
      </c>
      <c r="M4440" t="s">
        <v>57</v>
      </c>
      <c r="N4440" t="str">
        <f t="shared" si="20"/>
        <v>014992</v>
      </c>
      <c r="O4440" t="s">
        <v>12051</v>
      </c>
      <c r="P4440" t="s">
        <v>68</v>
      </c>
      <c r="Q4440">
        <v>100</v>
      </c>
      <c r="R4440">
        <v>34.900000000000006</v>
      </c>
      <c r="S4440" t="s">
        <v>77</v>
      </c>
    </row>
    <row r="4441" spans="1:19" x14ac:dyDescent="0.35">
      <c r="A4441">
        <v>300</v>
      </c>
      <c r="B4441" t="str">
        <f>"000300"</f>
        <v>000300</v>
      </c>
      <c r="C4441" t="s">
        <v>12849</v>
      </c>
      <c r="D4441" t="s">
        <v>12052</v>
      </c>
      <c r="E4441" t="s">
        <v>12048</v>
      </c>
      <c r="F4441" t="s">
        <v>3396</v>
      </c>
      <c r="G4441" t="s">
        <v>117</v>
      </c>
      <c r="H4441" t="s">
        <v>12850</v>
      </c>
      <c r="I4441" t="s">
        <v>12851</v>
      </c>
      <c r="J4441" t="s">
        <v>1409</v>
      </c>
      <c r="K4441" t="s">
        <v>55</v>
      </c>
      <c r="L4441" t="s">
        <v>1410</v>
      </c>
      <c r="M4441" t="s">
        <v>57</v>
      </c>
      <c r="N4441" t="str">
        <f t="shared" si="20"/>
        <v>014992</v>
      </c>
      <c r="O4441" t="s">
        <v>12051</v>
      </c>
      <c r="P4441" t="s">
        <v>68</v>
      </c>
      <c r="Q4441">
        <v>100</v>
      </c>
      <c r="R4441">
        <v>34.900000000000006</v>
      </c>
      <c r="S4441" t="s">
        <v>77</v>
      </c>
    </row>
    <row r="4442" spans="1:19" x14ac:dyDescent="0.35">
      <c r="A4442">
        <v>301</v>
      </c>
      <c r="B4442" t="str">
        <f>"000301"</f>
        <v>000301</v>
      </c>
      <c r="C4442" t="s">
        <v>12852</v>
      </c>
      <c r="D4442" t="s">
        <v>3398</v>
      </c>
      <c r="E4442" t="s">
        <v>12048</v>
      </c>
      <c r="F4442" t="s">
        <v>3396</v>
      </c>
      <c r="G4442" t="s">
        <v>200</v>
      </c>
      <c r="H4442" t="s">
        <v>12853</v>
      </c>
      <c r="I4442" t="s">
        <v>12854</v>
      </c>
      <c r="J4442" t="s">
        <v>304</v>
      </c>
      <c r="K4442" t="s">
        <v>55</v>
      </c>
      <c r="L4442" t="s">
        <v>3170</v>
      </c>
      <c r="M4442" t="s">
        <v>57</v>
      </c>
      <c r="N4442" t="str">
        <f t="shared" si="20"/>
        <v>014992</v>
      </c>
      <c r="O4442" t="s">
        <v>12051</v>
      </c>
      <c r="P4442" t="s">
        <v>68</v>
      </c>
      <c r="Q4442">
        <v>100</v>
      </c>
      <c r="R4442">
        <v>64.7</v>
      </c>
      <c r="S4442" t="s">
        <v>156</v>
      </c>
    </row>
    <row r="4443" spans="1:19" x14ac:dyDescent="0.35">
      <c r="A4443">
        <v>301</v>
      </c>
      <c r="B4443" t="str">
        <f>"000301"</f>
        <v>000301</v>
      </c>
      <c r="C4443" t="s">
        <v>12852</v>
      </c>
      <c r="D4443" t="s">
        <v>12052</v>
      </c>
      <c r="E4443" t="s">
        <v>12048</v>
      </c>
      <c r="F4443" t="s">
        <v>3396</v>
      </c>
      <c r="G4443" t="s">
        <v>200</v>
      </c>
      <c r="H4443" t="s">
        <v>12853</v>
      </c>
      <c r="I4443" t="s">
        <v>12854</v>
      </c>
      <c r="J4443" t="s">
        <v>304</v>
      </c>
      <c r="K4443" t="s">
        <v>55</v>
      </c>
      <c r="L4443" t="s">
        <v>3170</v>
      </c>
      <c r="M4443" t="s">
        <v>57</v>
      </c>
      <c r="N4443" t="str">
        <f t="shared" si="20"/>
        <v>014992</v>
      </c>
      <c r="O4443" t="s">
        <v>12051</v>
      </c>
      <c r="P4443" t="s">
        <v>68</v>
      </c>
      <c r="Q4443">
        <v>100</v>
      </c>
      <c r="R4443">
        <v>64.7</v>
      </c>
      <c r="S4443" t="s">
        <v>156</v>
      </c>
    </row>
    <row r="4444" spans="1:19" x14ac:dyDescent="0.35">
      <c r="A4444">
        <v>302</v>
      </c>
      <c r="B4444" t="str">
        <f>"000302"</f>
        <v>000302</v>
      </c>
      <c r="C4444" t="s">
        <v>12855</v>
      </c>
      <c r="D4444" t="s">
        <v>3398</v>
      </c>
      <c r="E4444" t="s">
        <v>12048</v>
      </c>
      <c r="F4444" t="s">
        <v>3396</v>
      </c>
      <c r="G4444" t="s">
        <v>63</v>
      </c>
      <c r="H4444" t="s">
        <v>12856</v>
      </c>
      <c r="I4444" t="s">
        <v>12857</v>
      </c>
      <c r="J4444" t="s">
        <v>66</v>
      </c>
      <c r="K4444" t="s">
        <v>55</v>
      </c>
      <c r="L4444" t="s">
        <v>2232</v>
      </c>
      <c r="M4444" t="s">
        <v>57</v>
      </c>
      <c r="N4444" t="str">
        <f t="shared" si="20"/>
        <v>014992</v>
      </c>
      <c r="O4444" t="s">
        <v>12051</v>
      </c>
      <c r="P4444" t="s">
        <v>68</v>
      </c>
      <c r="Q4444">
        <v>100</v>
      </c>
      <c r="R4444">
        <v>39.4</v>
      </c>
      <c r="S4444" t="s">
        <v>69</v>
      </c>
    </row>
    <row r="4445" spans="1:19" x14ac:dyDescent="0.35">
      <c r="A4445">
        <v>302</v>
      </c>
      <c r="B4445" t="str">
        <f>"000302"</f>
        <v>000302</v>
      </c>
      <c r="C4445" t="s">
        <v>12855</v>
      </c>
      <c r="D4445" t="s">
        <v>12052</v>
      </c>
      <c r="E4445" t="s">
        <v>12048</v>
      </c>
      <c r="F4445" t="s">
        <v>3396</v>
      </c>
      <c r="G4445" t="s">
        <v>63</v>
      </c>
      <c r="H4445" t="s">
        <v>12856</v>
      </c>
      <c r="I4445" t="s">
        <v>12857</v>
      </c>
      <c r="J4445" t="s">
        <v>66</v>
      </c>
      <c r="K4445" t="s">
        <v>55</v>
      </c>
      <c r="L4445" t="s">
        <v>2232</v>
      </c>
      <c r="M4445" t="s">
        <v>57</v>
      </c>
      <c r="N4445" t="str">
        <f t="shared" si="20"/>
        <v>014992</v>
      </c>
      <c r="O4445" t="s">
        <v>12051</v>
      </c>
      <c r="P4445" t="s">
        <v>68</v>
      </c>
      <c r="Q4445">
        <v>100</v>
      </c>
      <c r="R4445">
        <v>39.4</v>
      </c>
      <c r="S4445" t="s">
        <v>69</v>
      </c>
    </row>
    <row r="4446" spans="1:19" x14ac:dyDescent="0.35">
      <c r="A4446">
        <v>311</v>
      </c>
      <c r="B4446" t="str">
        <f>"000311"</f>
        <v>000311</v>
      </c>
      <c r="C4446" t="s">
        <v>12858</v>
      </c>
      <c r="D4446" t="s">
        <v>3398</v>
      </c>
      <c r="E4446" t="s">
        <v>12048</v>
      </c>
      <c r="F4446" t="s">
        <v>3396</v>
      </c>
      <c r="G4446" t="s">
        <v>1296</v>
      </c>
      <c r="H4446" t="s">
        <v>12859</v>
      </c>
      <c r="I4446" t="s">
        <v>12860</v>
      </c>
      <c r="J4446" t="s">
        <v>1299</v>
      </c>
      <c r="K4446" t="s">
        <v>55</v>
      </c>
      <c r="L4446" t="s">
        <v>1300</v>
      </c>
      <c r="M4446" t="s">
        <v>57</v>
      </c>
      <c r="N4446" t="str">
        <f>"020455"</f>
        <v>020455</v>
      </c>
      <c r="O4446" t="s">
        <v>12861</v>
      </c>
      <c r="P4446" t="s">
        <v>68</v>
      </c>
      <c r="Q4446">
        <v>100</v>
      </c>
      <c r="R4446">
        <v>20.799999999999997</v>
      </c>
      <c r="S4446" t="s">
        <v>156</v>
      </c>
    </row>
    <row r="4447" spans="1:19" x14ac:dyDescent="0.35">
      <c r="A4447">
        <v>311</v>
      </c>
      <c r="B4447" t="str">
        <f>"000311"</f>
        <v>000311</v>
      </c>
      <c r="C4447" t="s">
        <v>12858</v>
      </c>
      <c r="D4447" t="s">
        <v>12052</v>
      </c>
      <c r="E4447" t="s">
        <v>12048</v>
      </c>
      <c r="F4447" t="s">
        <v>3396</v>
      </c>
      <c r="G4447" t="s">
        <v>1296</v>
      </c>
      <c r="H4447" t="s">
        <v>12859</v>
      </c>
      <c r="I4447" t="s">
        <v>12860</v>
      </c>
      <c r="J4447" t="s">
        <v>1299</v>
      </c>
      <c r="K4447" t="s">
        <v>55</v>
      </c>
      <c r="L4447" t="s">
        <v>1300</v>
      </c>
      <c r="M4447" t="s">
        <v>57</v>
      </c>
      <c r="N4447" t="str">
        <f>"020455"</f>
        <v>020455</v>
      </c>
      <c r="O4447" t="s">
        <v>12861</v>
      </c>
      <c r="P4447" t="s">
        <v>68</v>
      </c>
      <c r="Q4447">
        <v>100</v>
      </c>
      <c r="R4447">
        <v>20.799999999999997</v>
      </c>
      <c r="S4447" t="s">
        <v>156</v>
      </c>
    </row>
    <row r="4448" spans="1:19" x14ac:dyDescent="0.35">
      <c r="A4448">
        <v>321</v>
      </c>
      <c r="B4448" t="str">
        <f>"000321"</f>
        <v>000321</v>
      </c>
      <c r="C4448" t="s">
        <v>12862</v>
      </c>
      <c r="D4448" t="s">
        <v>3400</v>
      </c>
      <c r="E4448" t="s">
        <v>12048</v>
      </c>
      <c r="F4448" t="s">
        <v>3396</v>
      </c>
      <c r="G4448" t="s">
        <v>63</v>
      </c>
      <c r="H4448" t="s">
        <v>12212</v>
      </c>
      <c r="I4448" t="s">
        <v>12213</v>
      </c>
      <c r="J4448" t="s">
        <v>285</v>
      </c>
      <c r="K4448" t="s">
        <v>55</v>
      </c>
      <c r="L4448" t="s">
        <v>3798</v>
      </c>
      <c r="M4448" t="s">
        <v>57</v>
      </c>
      <c r="N4448" t="str">
        <f t="shared" ref="N4448:N4455" si="21">"020912"</f>
        <v>020912</v>
      </c>
      <c r="O4448" t="s">
        <v>12089</v>
      </c>
      <c r="P4448" t="s">
        <v>68</v>
      </c>
      <c r="Q4448">
        <v>58.8</v>
      </c>
      <c r="R4448">
        <v>51.4</v>
      </c>
      <c r="S4448" t="s">
        <v>69</v>
      </c>
    </row>
    <row r="4449" spans="1:19" x14ac:dyDescent="0.35">
      <c r="A4449">
        <v>321</v>
      </c>
      <c r="B4449" t="str">
        <f>"000321"</f>
        <v>000321</v>
      </c>
      <c r="C4449" t="s">
        <v>12862</v>
      </c>
      <c r="D4449" t="s">
        <v>12052</v>
      </c>
      <c r="E4449" t="s">
        <v>12048</v>
      </c>
      <c r="F4449" t="s">
        <v>3396</v>
      </c>
      <c r="G4449" t="s">
        <v>63</v>
      </c>
      <c r="H4449" t="s">
        <v>12212</v>
      </c>
      <c r="I4449" t="s">
        <v>12213</v>
      </c>
      <c r="J4449" t="s">
        <v>285</v>
      </c>
      <c r="K4449" t="s">
        <v>55</v>
      </c>
      <c r="L4449" t="s">
        <v>3798</v>
      </c>
      <c r="M4449" t="s">
        <v>57</v>
      </c>
      <c r="N4449" t="str">
        <f t="shared" si="21"/>
        <v>020912</v>
      </c>
      <c r="O4449" t="s">
        <v>12089</v>
      </c>
      <c r="P4449" t="s">
        <v>68</v>
      </c>
      <c r="Q4449">
        <v>58.8</v>
      </c>
      <c r="R4449">
        <v>51.4</v>
      </c>
      <c r="S4449" t="s">
        <v>69</v>
      </c>
    </row>
    <row r="4450" spans="1:19" x14ac:dyDescent="0.35">
      <c r="A4450">
        <v>319</v>
      </c>
      <c r="B4450" t="str">
        <f>"000319"</f>
        <v>000319</v>
      </c>
      <c r="C4450" t="s">
        <v>12863</v>
      </c>
      <c r="D4450" t="s">
        <v>3394</v>
      </c>
      <c r="E4450" t="s">
        <v>12048</v>
      </c>
      <c r="F4450" t="s">
        <v>3396</v>
      </c>
      <c r="G4450" t="s">
        <v>63</v>
      </c>
      <c r="H4450" t="s">
        <v>12864</v>
      </c>
      <c r="I4450" t="s">
        <v>12865</v>
      </c>
      <c r="J4450" t="s">
        <v>285</v>
      </c>
      <c r="K4450" t="s">
        <v>55</v>
      </c>
      <c r="L4450" t="s">
        <v>3458</v>
      </c>
      <c r="M4450" t="s">
        <v>57</v>
      </c>
      <c r="N4450" t="str">
        <f t="shared" si="21"/>
        <v>020912</v>
      </c>
      <c r="O4450" t="s">
        <v>12089</v>
      </c>
      <c r="P4450" t="s">
        <v>68</v>
      </c>
      <c r="Q4450">
        <v>100</v>
      </c>
      <c r="R4450">
        <v>79.7</v>
      </c>
      <c r="S4450" t="s">
        <v>69</v>
      </c>
    </row>
    <row r="4451" spans="1:19" x14ac:dyDescent="0.35">
      <c r="A4451">
        <v>319</v>
      </c>
      <c r="B4451" t="str">
        <f>"000319"</f>
        <v>000319</v>
      </c>
      <c r="C4451" t="s">
        <v>12863</v>
      </c>
      <c r="D4451" t="s">
        <v>12052</v>
      </c>
      <c r="E4451" t="s">
        <v>12048</v>
      </c>
      <c r="F4451" t="s">
        <v>3396</v>
      </c>
      <c r="G4451" t="s">
        <v>63</v>
      </c>
      <c r="H4451" t="s">
        <v>12864</v>
      </c>
      <c r="I4451" t="s">
        <v>12865</v>
      </c>
      <c r="J4451" t="s">
        <v>285</v>
      </c>
      <c r="K4451" t="s">
        <v>55</v>
      </c>
      <c r="L4451" t="s">
        <v>3458</v>
      </c>
      <c r="M4451" t="s">
        <v>57</v>
      </c>
      <c r="N4451" t="str">
        <f t="shared" si="21"/>
        <v>020912</v>
      </c>
      <c r="O4451" t="s">
        <v>12089</v>
      </c>
      <c r="P4451" t="s">
        <v>68</v>
      </c>
      <c r="Q4451">
        <v>100</v>
      </c>
      <c r="R4451">
        <v>79.7</v>
      </c>
      <c r="S4451" t="s">
        <v>69</v>
      </c>
    </row>
    <row r="4452" spans="1:19" x14ac:dyDescent="0.35">
      <c r="A4452">
        <v>316</v>
      </c>
      <c r="B4452" t="str">
        <f>"000316"</f>
        <v>000316</v>
      </c>
      <c r="C4452" t="s">
        <v>12866</v>
      </c>
      <c r="D4452" t="s">
        <v>3398</v>
      </c>
      <c r="E4452" t="s">
        <v>12048</v>
      </c>
      <c r="F4452" t="s">
        <v>3396</v>
      </c>
      <c r="G4452" t="s">
        <v>63</v>
      </c>
      <c r="H4452" t="s">
        <v>12097</v>
      </c>
      <c r="I4452" t="s">
        <v>12098</v>
      </c>
      <c r="J4452" t="s">
        <v>285</v>
      </c>
      <c r="K4452" t="s">
        <v>55</v>
      </c>
      <c r="L4452" t="s">
        <v>5375</v>
      </c>
      <c r="M4452" t="s">
        <v>57</v>
      </c>
      <c r="N4452" t="str">
        <f t="shared" si="21"/>
        <v>020912</v>
      </c>
      <c r="O4452" t="s">
        <v>12089</v>
      </c>
      <c r="P4452" t="s">
        <v>68</v>
      </c>
      <c r="Q4452">
        <v>59.7</v>
      </c>
      <c r="R4452">
        <v>52.8</v>
      </c>
      <c r="S4452" t="s">
        <v>69</v>
      </c>
    </row>
    <row r="4453" spans="1:19" x14ac:dyDescent="0.35">
      <c r="A4453">
        <v>316</v>
      </c>
      <c r="B4453" t="str">
        <f>"000316"</f>
        <v>000316</v>
      </c>
      <c r="C4453" t="s">
        <v>12866</v>
      </c>
      <c r="D4453" t="s">
        <v>12052</v>
      </c>
      <c r="E4453" t="s">
        <v>12048</v>
      </c>
      <c r="F4453" t="s">
        <v>3396</v>
      </c>
      <c r="G4453" t="s">
        <v>63</v>
      </c>
      <c r="H4453" t="s">
        <v>12097</v>
      </c>
      <c r="I4453" t="s">
        <v>12098</v>
      </c>
      <c r="J4453" t="s">
        <v>285</v>
      </c>
      <c r="K4453" t="s">
        <v>55</v>
      </c>
      <c r="L4453" t="s">
        <v>5375</v>
      </c>
      <c r="M4453" t="s">
        <v>57</v>
      </c>
      <c r="N4453" t="str">
        <f t="shared" si="21"/>
        <v>020912</v>
      </c>
      <c r="O4453" t="s">
        <v>12089</v>
      </c>
      <c r="P4453" t="s">
        <v>68</v>
      </c>
      <c r="Q4453">
        <v>59.7</v>
      </c>
      <c r="R4453">
        <v>52.8</v>
      </c>
      <c r="S4453" t="s">
        <v>69</v>
      </c>
    </row>
    <row r="4454" spans="1:19" x14ac:dyDescent="0.35">
      <c r="A4454">
        <v>320</v>
      </c>
      <c r="B4454" t="str">
        <f>"000320"</f>
        <v>000320</v>
      </c>
      <c r="C4454" t="s">
        <v>12867</v>
      </c>
      <c r="D4454" t="s">
        <v>3400</v>
      </c>
      <c r="E4454" t="s">
        <v>12048</v>
      </c>
      <c r="F4454" t="s">
        <v>3396</v>
      </c>
      <c r="G4454" t="s">
        <v>143</v>
      </c>
      <c r="H4454" t="s">
        <v>12087</v>
      </c>
      <c r="I4454" t="s">
        <v>12088</v>
      </c>
      <c r="J4454" t="s">
        <v>143</v>
      </c>
      <c r="K4454" t="s">
        <v>55</v>
      </c>
      <c r="L4454" t="s">
        <v>1033</v>
      </c>
      <c r="M4454" t="s">
        <v>57</v>
      </c>
      <c r="N4454" t="str">
        <f t="shared" si="21"/>
        <v>020912</v>
      </c>
      <c r="O4454" t="s">
        <v>12089</v>
      </c>
      <c r="P4454" t="s">
        <v>68</v>
      </c>
      <c r="Q4454">
        <v>100</v>
      </c>
      <c r="R4454">
        <v>75.5</v>
      </c>
      <c r="S4454" t="s">
        <v>69</v>
      </c>
    </row>
    <row r="4455" spans="1:19" x14ac:dyDescent="0.35">
      <c r="A4455">
        <v>320</v>
      </c>
      <c r="B4455" t="str">
        <f>"000320"</f>
        <v>000320</v>
      </c>
      <c r="C4455" t="s">
        <v>12867</v>
      </c>
      <c r="D4455" t="s">
        <v>12052</v>
      </c>
      <c r="E4455" t="s">
        <v>12048</v>
      </c>
      <c r="F4455" t="s">
        <v>3396</v>
      </c>
      <c r="G4455" t="s">
        <v>143</v>
      </c>
      <c r="H4455" t="s">
        <v>12087</v>
      </c>
      <c r="I4455" t="s">
        <v>12088</v>
      </c>
      <c r="J4455" t="s">
        <v>143</v>
      </c>
      <c r="K4455" t="s">
        <v>55</v>
      </c>
      <c r="L4455" t="s">
        <v>1033</v>
      </c>
      <c r="M4455" t="s">
        <v>57</v>
      </c>
      <c r="N4455" t="str">
        <f t="shared" si="21"/>
        <v>020912</v>
      </c>
      <c r="O4455" t="s">
        <v>12089</v>
      </c>
      <c r="P4455" t="s">
        <v>68</v>
      </c>
      <c r="Q4455">
        <v>100</v>
      </c>
      <c r="R4455">
        <v>75.5</v>
      </c>
      <c r="S4455" t="s">
        <v>69</v>
      </c>
    </row>
    <row r="4456" spans="1:19" x14ac:dyDescent="0.35">
      <c r="A4456">
        <v>318</v>
      </c>
      <c r="B4456" t="str">
        <f>"000318"</f>
        <v>000318</v>
      </c>
      <c r="C4456" t="s">
        <v>12868</v>
      </c>
      <c r="D4456" t="s">
        <v>3394</v>
      </c>
      <c r="E4456" t="s">
        <v>12048</v>
      </c>
      <c r="F4456" t="s">
        <v>3396</v>
      </c>
      <c r="G4456" t="s">
        <v>63</v>
      </c>
      <c r="H4456" t="s">
        <v>12869</v>
      </c>
      <c r="I4456" t="s">
        <v>12870</v>
      </c>
      <c r="J4456" t="s">
        <v>285</v>
      </c>
      <c r="K4456" t="s">
        <v>55</v>
      </c>
      <c r="L4456" t="s">
        <v>3458</v>
      </c>
      <c r="M4456" t="s">
        <v>57</v>
      </c>
      <c r="N4456" t="str">
        <f>"N/A"</f>
        <v>N/A</v>
      </c>
      <c r="O4456" t="s">
        <v>49</v>
      </c>
      <c r="P4456" t="s">
        <v>68</v>
      </c>
      <c r="Q4456">
        <v>25.1</v>
      </c>
      <c r="R4456">
        <v>42.8</v>
      </c>
      <c r="S4456" t="s">
        <v>69</v>
      </c>
    </row>
    <row r="4457" spans="1:19" x14ac:dyDescent="0.35">
      <c r="A4457">
        <v>318</v>
      </c>
      <c r="B4457" t="str">
        <f>"000318"</f>
        <v>000318</v>
      </c>
      <c r="C4457" t="s">
        <v>12868</v>
      </c>
      <c r="D4457" t="s">
        <v>12052</v>
      </c>
      <c r="E4457" t="s">
        <v>12048</v>
      </c>
      <c r="F4457" t="s">
        <v>3396</v>
      </c>
      <c r="G4457" t="s">
        <v>63</v>
      </c>
      <c r="H4457" t="s">
        <v>12869</v>
      </c>
      <c r="I4457" t="s">
        <v>12870</v>
      </c>
      <c r="J4457" t="s">
        <v>285</v>
      </c>
      <c r="K4457" t="s">
        <v>55</v>
      </c>
      <c r="L4457" t="s">
        <v>3458</v>
      </c>
      <c r="M4457" t="s">
        <v>57</v>
      </c>
      <c r="N4457" t="str">
        <f>"N/A"</f>
        <v>N/A</v>
      </c>
      <c r="O4457" t="s">
        <v>49</v>
      </c>
      <c r="P4457" t="s">
        <v>68</v>
      </c>
      <c r="Q4457">
        <v>25.1</v>
      </c>
      <c r="R4457">
        <v>42.8</v>
      </c>
      <c r="S4457" t="s">
        <v>69</v>
      </c>
    </row>
    <row r="4458" spans="1:19" x14ac:dyDescent="0.35">
      <c r="A4458">
        <v>318</v>
      </c>
      <c r="B4458" t="str">
        <f>"000318"</f>
        <v>000318</v>
      </c>
      <c r="C4458" t="s">
        <v>12868</v>
      </c>
      <c r="D4458" t="s">
        <v>12126</v>
      </c>
      <c r="E4458" t="s">
        <v>12048</v>
      </c>
      <c r="F4458" t="s">
        <v>3396</v>
      </c>
      <c r="G4458" t="s">
        <v>63</v>
      </c>
      <c r="H4458" t="s">
        <v>12869</v>
      </c>
      <c r="I4458" t="s">
        <v>12870</v>
      </c>
      <c r="J4458" t="s">
        <v>285</v>
      </c>
      <c r="K4458" t="s">
        <v>55</v>
      </c>
      <c r="L4458" t="s">
        <v>3458</v>
      </c>
      <c r="M4458" t="s">
        <v>57</v>
      </c>
      <c r="N4458" t="str">
        <f>"N/A"</f>
        <v>N/A</v>
      </c>
      <c r="O4458" t="s">
        <v>49</v>
      </c>
      <c r="P4458" t="s">
        <v>68</v>
      </c>
      <c r="Q4458">
        <v>25.1</v>
      </c>
      <c r="R4458">
        <v>42.8</v>
      </c>
      <c r="S4458" t="s">
        <v>69</v>
      </c>
    </row>
    <row r="4459" spans="1:19" x14ac:dyDescent="0.35">
      <c r="A4459">
        <v>338</v>
      </c>
      <c r="B4459" t="str">
        <f>"000338"</f>
        <v>000338</v>
      </c>
      <c r="C4459" t="s">
        <v>12871</v>
      </c>
      <c r="D4459" t="s">
        <v>3398</v>
      </c>
      <c r="E4459" t="s">
        <v>12048</v>
      </c>
      <c r="F4459" t="s">
        <v>3396</v>
      </c>
      <c r="G4459" t="s">
        <v>200</v>
      </c>
      <c r="H4459" t="s">
        <v>12872</v>
      </c>
      <c r="I4459" t="s">
        <v>12873</v>
      </c>
      <c r="J4459" t="s">
        <v>304</v>
      </c>
      <c r="K4459" t="s">
        <v>55</v>
      </c>
      <c r="L4459" t="s">
        <v>4721</v>
      </c>
      <c r="M4459" t="s">
        <v>57</v>
      </c>
      <c r="N4459" t="str">
        <f>"014979"</f>
        <v>014979</v>
      </c>
      <c r="O4459" t="s">
        <v>12185</v>
      </c>
      <c r="P4459" t="s">
        <v>68</v>
      </c>
      <c r="Q4459">
        <v>99.8</v>
      </c>
      <c r="R4459">
        <v>82.4</v>
      </c>
      <c r="S4459" t="s">
        <v>156</v>
      </c>
    </row>
    <row r="4460" spans="1:19" x14ac:dyDescent="0.35">
      <c r="A4460">
        <v>338</v>
      </c>
      <c r="B4460" t="str">
        <f>"000338"</f>
        <v>000338</v>
      </c>
      <c r="C4460" t="s">
        <v>12871</v>
      </c>
      <c r="D4460" t="s">
        <v>12052</v>
      </c>
      <c r="E4460" t="s">
        <v>12048</v>
      </c>
      <c r="F4460" t="s">
        <v>3396</v>
      </c>
      <c r="G4460" t="s">
        <v>200</v>
      </c>
      <c r="H4460" t="s">
        <v>12872</v>
      </c>
      <c r="I4460" t="s">
        <v>12873</v>
      </c>
      <c r="J4460" t="s">
        <v>304</v>
      </c>
      <c r="K4460" t="s">
        <v>55</v>
      </c>
      <c r="L4460" t="s">
        <v>4721</v>
      </c>
      <c r="M4460" t="s">
        <v>57</v>
      </c>
      <c r="N4460" t="str">
        <f>"014979"</f>
        <v>014979</v>
      </c>
      <c r="O4460" t="s">
        <v>12185</v>
      </c>
      <c r="P4460" t="s">
        <v>68</v>
      </c>
      <c r="Q4460">
        <v>99.8</v>
      </c>
      <c r="R4460">
        <v>82.4</v>
      </c>
      <c r="S4460" t="s">
        <v>156</v>
      </c>
    </row>
    <row r="4461" spans="1:19" x14ac:dyDescent="0.35">
      <c r="A4461">
        <v>345</v>
      </c>
      <c r="B4461" t="str">
        <f>"000345"</f>
        <v>000345</v>
      </c>
      <c r="C4461" t="s">
        <v>5024</v>
      </c>
      <c r="D4461" t="s">
        <v>3394</v>
      </c>
      <c r="E4461" t="s">
        <v>3395</v>
      </c>
      <c r="F4461" t="s">
        <v>3396</v>
      </c>
      <c r="G4461" t="s">
        <v>226</v>
      </c>
      <c r="H4461" t="s">
        <v>227</v>
      </c>
      <c r="I4461" t="s">
        <v>228</v>
      </c>
      <c r="J4461" t="s">
        <v>229</v>
      </c>
      <c r="K4461" t="s">
        <v>55</v>
      </c>
      <c r="L4461" t="s">
        <v>230</v>
      </c>
      <c r="M4461" t="s">
        <v>57</v>
      </c>
      <c r="N4461" t="str">
        <f>"050682"</f>
        <v>050682</v>
      </c>
      <c r="O4461" t="s">
        <v>225</v>
      </c>
      <c r="P4461" t="s">
        <v>68</v>
      </c>
      <c r="Q4461">
        <v>35.9</v>
      </c>
      <c r="R4461">
        <v>11.200000000000003</v>
      </c>
      <c r="S4461" t="s">
        <v>156</v>
      </c>
    </row>
    <row r="4462" spans="1:19" x14ac:dyDescent="0.35">
      <c r="A4462">
        <v>348</v>
      </c>
      <c r="B4462" t="str">
        <f>"000348"</f>
        <v>000348</v>
      </c>
      <c r="C4462" t="s">
        <v>12874</v>
      </c>
      <c r="D4462" t="s">
        <v>3394</v>
      </c>
      <c r="E4462" t="s">
        <v>3395</v>
      </c>
      <c r="F4462" t="s">
        <v>3396</v>
      </c>
      <c r="G4462" t="s">
        <v>143</v>
      </c>
      <c r="H4462" t="s">
        <v>12875</v>
      </c>
      <c r="I4462" t="s">
        <v>12876</v>
      </c>
      <c r="J4462" t="s">
        <v>143</v>
      </c>
      <c r="K4462" t="s">
        <v>55</v>
      </c>
      <c r="L4462" t="s">
        <v>5382</v>
      </c>
      <c r="M4462" t="s">
        <v>57</v>
      </c>
      <c r="N4462" t="str">
        <f>"044263"</f>
        <v>044263</v>
      </c>
      <c r="O4462" t="s">
        <v>1364</v>
      </c>
      <c r="P4462" t="s">
        <v>68</v>
      </c>
      <c r="Q4462">
        <v>100</v>
      </c>
      <c r="R4462">
        <v>79</v>
      </c>
      <c r="S4462" t="s">
        <v>69</v>
      </c>
    </row>
    <row r="4463" spans="1:19" x14ac:dyDescent="0.35">
      <c r="A4463">
        <v>350</v>
      </c>
      <c r="B4463" t="str">
        <f>"000350"</f>
        <v>000350</v>
      </c>
      <c r="C4463" t="s">
        <v>12877</v>
      </c>
      <c r="D4463" t="s">
        <v>3394</v>
      </c>
      <c r="E4463" t="s">
        <v>3395</v>
      </c>
      <c r="F4463" t="s">
        <v>3396</v>
      </c>
      <c r="G4463" t="s">
        <v>406</v>
      </c>
      <c r="H4463" t="s">
        <v>12878</v>
      </c>
      <c r="I4463" t="s">
        <v>12879</v>
      </c>
      <c r="J4463" t="s">
        <v>406</v>
      </c>
      <c r="K4463" t="s">
        <v>55</v>
      </c>
      <c r="L4463" t="s">
        <v>409</v>
      </c>
      <c r="M4463" t="s">
        <v>57</v>
      </c>
      <c r="N4463" t="str">
        <f>"048496"</f>
        <v>048496</v>
      </c>
      <c r="O4463" t="s">
        <v>405</v>
      </c>
      <c r="P4463" t="s">
        <v>68</v>
      </c>
      <c r="Q4463">
        <v>7.9</v>
      </c>
      <c r="R4463">
        <v>12.099999999999994</v>
      </c>
      <c r="S4463" t="s">
        <v>77</v>
      </c>
    </row>
    <row r="4464" spans="1:19" x14ac:dyDescent="0.35">
      <c r="A4464">
        <v>351</v>
      </c>
      <c r="B4464" t="str">
        <f>"000351"</f>
        <v>000351</v>
      </c>
      <c r="C4464" t="s">
        <v>12880</v>
      </c>
      <c r="D4464" t="s">
        <v>3400</v>
      </c>
      <c r="E4464" t="s">
        <v>3395</v>
      </c>
      <c r="F4464" t="s">
        <v>3396</v>
      </c>
      <c r="G4464" t="s">
        <v>312</v>
      </c>
      <c r="H4464" t="s">
        <v>12881</v>
      </c>
      <c r="I4464" t="s">
        <v>12882</v>
      </c>
      <c r="J4464" t="s">
        <v>312</v>
      </c>
      <c r="K4464" t="s">
        <v>55</v>
      </c>
      <c r="L4464" t="s">
        <v>315</v>
      </c>
      <c r="M4464" t="s">
        <v>57</v>
      </c>
      <c r="N4464" t="str">
        <f>"044339"</f>
        <v>044339</v>
      </c>
      <c r="O4464" t="s">
        <v>2453</v>
      </c>
      <c r="P4464" t="s">
        <v>68</v>
      </c>
      <c r="Q4464">
        <v>100</v>
      </c>
      <c r="R4464">
        <v>27.700000000000003</v>
      </c>
      <c r="S4464" t="s">
        <v>156</v>
      </c>
    </row>
    <row r="4465" spans="1:19" x14ac:dyDescent="0.35">
      <c r="A4465">
        <v>352</v>
      </c>
      <c r="B4465" t="str">
        <f>"000352"</f>
        <v>000352</v>
      </c>
      <c r="C4465" t="s">
        <v>12883</v>
      </c>
      <c r="D4465" t="s">
        <v>3394</v>
      </c>
      <c r="E4465" t="s">
        <v>3395</v>
      </c>
      <c r="F4465" t="s">
        <v>3396</v>
      </c>
      <c r="G4465" t="s">
        <v>312</v>
      </c>
      <c r="H4465" t="s">
        <v>12884</v>
      </c>
      <c r="I4465" t="s">
        <v>12885</v>
      </c>
      <c r="J4465" t="s">
        <v>312</v>
      </c>
      <c r="K4465" t="s">
        <v>55</v>
      </c>
      <c r="L4465" t="s">
        <v>315</v>
      </c>
      <c r="M4465" t="s">
        <v>57</v>
      </c>
      <c r="N4465" t="str">
        <f>"044339"</f>
        <v>044339</v>
      </c>
      <c r="O4465" t="s">
        <v>2453</v>
      </c>
      <c r="P4465" t="s">
        <v>68</v>
      </c>
      <c r="Q4465">
        <v>100</v>
      </c>
      <c r="R4465">
        <v>23.900000000000006</v>
      </c>
      <c r="S4465" t="s">
        <v>156</v>
      </c>
    </row>
    <row r="4466" spans="1:19" x14ac:dyDescent="0.35">
      <c r="A4466">
        <v>363</v>
      </c>
      <c r="B4466" t="str">
        <f>"000363"</f>
        <v>000363</v>
      </c>
      <c r="C4466" t="s">
        <v>12886</v>
      </c>
      <c r="D4466" t="s">
        <v>3398</v>
      </c>
      <c r="E4466" t="s">
        <v>3395</v>
      </c>
      <c r="F4466" t="s">
        <v>3396</v>
      </c>
      <c r="G4466" t="s">
        <v>264</v>
      </c>
      <c r="H4466" t="s">
        <v>12887</v>
      </c>
      <c r="I4466" t="s">
        <v>12888</v>
      </c>
      <c r="J4466" t="s">
        <v>267</v>
      </c>
      <c r="K4466" t="s">
        <v>55</v>
      </c>
      <c r="L4466" t="s">
        <v>6359</v>
      </c>
      <c r="M4466" t="s">
        <v>57</v>
      </c>
      <c r="N4466" t="str">
        <f>"043489"</f>
        <v>043489</v>
      </c>
      <c r="O4466" t="s">
        <v>3176</v>
      </c>
      <c r="P4466" t="s">
        <v>68</v>
      </c>
      <c r="Q4466">
        <v>100</v>
      </c>
      <c r="R4466">
        <v>85.1</v>
      </c>
      <c r="S4466" t="s">
        <v>77</v>
      </c>
    </row>
    <row r="4467" spans="1:19" x14ac:dyDescent="0.35">
      <c r="A4467">
        <v>382</v>
      </c>
      <c r="B4467" t="str">
        <f>"000382"</f>
        <v>000382</v>
      </c>
      <c r="C4467" t="s">
        <v>12889</v>
      </c>
      <c r="D4467" t="s">
        <v>3394</v>
      </c>
      <c r="E4467" t="s">
        <v>3395</v>
      </c>
      <c r="F4467" t="s">
        <v>3396</v>
      </c>
      <c r="G4467" t="s">
        <v>295</v>
      </c>
      <c r="H4467" t="s">
        <v>12890</v>
      </c>
      <c r="I4467" t="s">
        <v>12891</v>
      </c>
      <c r="J4467" t="s">
        <v>852</v>
      </c>
      <c r="K4467" t="s">
        <v>55</v>
      </c>
      <c r="L4467" t="s">
        <v>853</v>
      </c>
      <c r="M4467" t="s">
        <v>57</v>
      </c>
      <c r="N4467" t="str">
        <f>"049189"</f>
        <v>049189</v>
      </c>
      <c r="O4467" t="s">
        <v>849</v>
      </c>
      <c r="P4467" t="s">
        <v>68</v>
      </c>
      <c r="Q4467">
        <v>27.3</v>
      </c>
      <c r="R4467">
        <v>9</v>
      </c>
      <c r="S4467" t="s">
        <v>77</v>
      </c>
    </row>
    <row r="4468" spans="1:19" x14ac:dyDescent="0.35">
      <c r="A4468">
        <v>383</v>
      </c>
      <c r="B4468" t="str">
        <f>"000383"</f>
        <v>000383</v>
      </c>
      <c r="C4468" t="s">
        <v>12892</v>
      </c>
      <c r="D4468" t="s">
        <v>3394</v>
      </c>
      <c r="E4468" t="s">
        <v>3395</v>
      </c>
      <c r="F4468" t="s">
        <v>3396</v>
      </c>
      <c r="G4468" t="s">
        <v>295</v>
      </c>
      <c r="H4468" t="s">
        <v>12893</v>
      </c>
      <c r="I4468" t="s">
        <v>12894</v>
      </c>
      <c r="J4468" t="s">
        <v>852</v>
      </c>
      <c r="K4468" t="s">
        <v>55</v>
      </c>
      <c r="L4468" t="s">
        <v>853</v>
      </c>
      <c r="M4468" t="s">
        <v>57</v>
      </c>
      <c r="N4468" t="str">
        <f>"049189"</f>
        <v>049189</v>
      </c>
      <c r="O4468" t="s">
        <v>849</v>
      </c>
      <c r="P4468" t="s">
        <v>68</v>
      </c>
      <c r="Q4468">
        <v>28.8</v>
      </c>
      <c r="R4468">
        <v>8.4000000000000057</v>
      </c>
      <c r="S4468" t="s">
        <v>77</v>
      </c>
    </row>
    <row r="4469" spans="1:19" x14ac:dyDescent="0.35">
      <c r="A4469">
        <v>384</v>
      </c>
      <c r="B4469" t="str">
        <f>"000384"</f>
        <v>000384</v>
      </c>
      <c r="C4469" t="s">
        <v>12895</v>
      </c>
      <c r="D4469" t="s">
        <v>3394</v>
      </c>
      <c r="E4469" t="s">
        <v>3395</v>
      </c>
      <c r="F4469" t="s">
        <v>3396</v>
      </c>
      <c r="G4469" t="s">
        <v>1543</v>
      </c>
      <c r="H4469" t="s">
        <v>12896</v>
      </c>
      <c r="I4469" t="s">
        <v>12897</v>
      </c>
      <c r="J4469" t="s">
        <v>288</v>
      </c>
      <c r="K4469" t="s">
        <v>55</v>
      </c>
      <c r="L4469" t="s">
        <v>1546</v>
      </c>
      <c r="M4469" t="s">
        <v>57</v>
      </c>
      <c r="N4469" t="str">
        <f>"044248"</f>
        <v>044248</v>
      </c>
      <c r="O4469" t="s">
        <v>1542</v>
      </c>
      <c r="P4469" t="s">
        <v>68</v>
      </c>
      <c r="Q4469">
        <v>100</v>
      </c>
      <c r="R4469">
        <v>3.7000000000000028</v>
      </c>
      <c r="S4469" t="s">
        <v>130</v>
      </c>
    </row>
    <row r="4470" spans="1:19" x14ac:dyDescent="0.35">
      <c r="A4470">
        <v>385</v>
      </c>
      <c r="B4470" t="str">
        <f>"000385"</f>
        <v>000385</v>
      </c>
      <c r="C4470" t="s">
        <v>12898</v>
      </c>
      <c r="D4470" t="s">
        <v>3394</v>
      </c>
      <c r="E4470" t="s">
        <v>3395</v>
      </c>
      <c r="F4470" t="s">
        <v>3396</v>
      </c>
      <c r="G4470" t="s">
        <v>1543</v>
      </c>
      <c r="H4470" t="s">
        <v>12899</v>
      </c>
      <c r="I4470" t="s">
        <v>12900</v>
      </c>
      <c r="J4470" t="s">
        <v>288</v>
      </c>
      <c r="K4470" t="s">
        <v>55</v>
      </c>
      <c r="L4470" t="s">
        <v>1546</v>
      </c>
      <c r="M4470" t="s">
        <v>57</v>
      </c>
      <c r="N4470" t="str">
        <f>"044248"</f>
        <v>044248</v>
      </c>
      <c r="O4470" t="s">
        <v>1542</v>
      </c>
      <c r="P4470" t="s">
        <v>68</v>
      </c>
      <c r="Q4470">
        <v>100</v>
      </c>
      <c r="R4470">
        <v>7.7000000000000028</v>
      </c>
      <c r="S4470" t="s">
        <v>130</v>
      </c>
    </row>
    <row r="4471" spans="1:19" x14ac:dyDescent="0.35">
      <c r="A4471">
        <v>387</v>
      </c>
      <c r="B4471" t="str">
        <f>"000387"</f>
        <v>000387</v>
      </c>
      <c r="C4471" t="s">
        <v>4256</v>
      </c>
      <c r="D4471" t="s">
        <v>3394</v>
      </c>
      <c r="E4471" t="s">
        <v>3395</v>
      </c>
      <c r="F4471" t="s">
        <v>3396</v>
      </c>
      <c r="G4471" t="s">
        <v>1543</v>
      </c>
      <c r="H4471" t="s">
        <v>12901</v>
      </c>
      <c r="I4471" t="s">
        <v>12902</v>
      </c>
      <c r="J4471" t="s">
        <v>288</v>
      </c>
      <c r="K4471" t="s">
        <v>55</v>
      </c>
      <c r="L4471" t="s">
        <v>1546</v>
      </c>
      <c r="M4471" t="s">
        <v>57</v>
      </c>
      <c r="N4471" t="str">
        <f>"044248"</f>
        <v>044248</v>
      </c>
      <c r="O4471" t="s">
        <v>1542</v>
      </c>
      <c r="P4471" t="s">
        <v>68</v>
      </c>
      <c r="Q4471">
        <v>100</v>
      </c>
      <c r="R4471">
        <v>5.2000000000000028</v>
      </c>
      <c r="S4471" t="s">
        <v>130</v>
      </c>
    </row>
    <row r="4472" spans="1:19" x14ac:dyDescent="0.35">
      <c r="A4472">
        <v>388</v>
      </c>
      <c r="B4472" t="str">
        <f>"000388"</f>
        <v>000388</v>
      </c>
      <c r="C4472" t="s">
        <v>12903</v>
      </c>
      <c r="D4472" t="s">
        <v>3394</v>
      </c>
      <c r="E4472" t="s">
        <v>3395</v>
      </c>
      <c r="F4472" t="s">
        <v>3396</v>
      </c>
      <c r="G4472" t="s">
        <v>132</v>
      </c>
      <c r="H4472" t="s">
        <v>12904</v>
      </c>
      <c r="I4472" t="s">
        <v>12905</v>
      </c>
      <c r="J4472" t="s">
        <v>241</v>
      </c>
      <c r="K4472" t="s">
        <v>55</v>
      </c>
      <c r="L4472" t="s">
        <v>242</v>
      </c>
      <c r="M4472" t="s">
        <v>57</v>
      </c>
      <c r="N4472" t="str">
        <f>"043810"</f>
        <v>043810</v>
      </c>
      <c r="O4472" t="s">
        <v>238</v>
      </c>
      <c r="P4472" t="s">
        <v>68</v>
      </c>
      <c r="Q4472">
        <v>66</v>
      </c>
      <c r="R4472">
        <v>13.700000000000003</v>
      </c>
      <c r="S4472" t="s">
        <v>69</v>
      </c>
    </row>
    <row r="4473" spans="1:19" x14ac:dyDescent="0.35">
      <c r="A4473">
        <v>389</v>
      </c>
      <c r="B4473" t="str">
        <f>"000389"</f>
        <v>000389</v>
      </c>
      <c r="C4473" t="s">
        <v>12906</v>
      </c>
      <c r="D4473" t="s">
        <v>3394</v>
      </c>
      <c r="E4473" t="s">
        <v>3395</v>
      </c>
      <c r="F4473" t="s">
        <v>3396</v>
      </c>
      <c r="G4473" t="s">
        <v>132</v>
      </c>
      <c r="H4473" t="s">
        <v>12907</v>
      </c>
      <c r="I4473" t="s">
        <v>12908</v>
      </c>
      <c r="J4473" t="s">
        <v>241</v>
      </c>
      <c r="K4473" t="s">
        <v>55</v>
      </c>
      <c r="L4473" t="s">
        <v>242</v>
      </c>
      <c r="M4473" t="s">
        <v>57</v>
      </c>
      <c r="N4473" t="str">
        <f>"043810"</f>
        <v>043810</v>
      </c>
      <c r="O4473" t="s">
        <v>238</v>
      </c>
      <c r="P4473" t="s">
        <v>68</v>
      </c>
      <c r="Q4473">
        <v>75.599999999999994</v>
      </c>
      <c r="R4473">
        <v>10</v>
      </c>
      <c r="S4473" t="s">
        <v>69</v>
      </c>
    </row>
    <row r="4474" spans="1:19" x14ac:dyDescent="0.35">
      <c r="A4474">
        <v>400</v>
      </c>
      <c r="B4474" t="str">
        <f>"000400"</f>
        <v>000400</v>
      </c>
      <c r="C4474" t="s">
        <v>12909</v>
      </c>
      <c r="D4474" t="s">
        <v>3394</v>
      </c>
      <c r="E4474" t="s">
        <v>3395</v>
      </c>
      <c r="F4474" t="s">
        <v>3396</v>
      </c>
      <c r="G4474" t="s">
        <v>855</v>
      </c>
      <c r="H4474" t="s">
        <v>12910</v>
      </c>
      <c r="I4474" t="s">
        <v>12911</v>
      </c>
      <c r="J4474" t="s">
        <v>855</v>
      </c>
      <c r="K4474" t="s">
        <v>55</v>
      </c>
      <c r="L4474" t="s">
        <v>1457</v>
      </c>
      <c r="M4474" t="s">
        <v>57</v>
      </c>
      <c r="N4474" t="str">
        <f>"045831"</f>
        <v>045831</v>
      </c>
      <c r="O4474" t="s">
        <v>1642</v>
      </c>
      <c r="P4474" t="s">
        <v>68</v>
      </c>
      <c r="Q4474">
        <v>35.700000000000003</v>
      </c>
      <c r="R4474">
        <v>2.5999999999999943</v>
      </c>
      <c r="S4474" t="s">
        <v>77</v>
      </c>
    </row>
    <row r="4475" spans="1:19" x14ac:dyDescent="0.35">
      <c r="A4475">
        <v>402</v>
      </c>
      <c r="B4475" t="str">
        <f>"000402"</f>
        <v>000402</v>
      </c>
      <c r="C4475" t="s">
        <v>12912</v>
      </c>
      <c r="D4475" t="s">
        <v>3398</v>
      </c>
      <c r="E4475" t="s">
        <v>12048</v>
      </c>
      <c r="F4475" t="s">
        <v>3396</v>
      </c>
      <c r="G4475" t="s">
        <v>821</v>
      </c>
      <c r="H4475" t="s">
        <v>12913</v>
      </c>
      <c r="I4475" t="s">
        <v>12914</v>
      </c>
      <c r="J4475" t="s">
        <v>1427</v>
      </c>
      <c r="K4475" t="s">
        <v>55</v>
      </c>
      <c r="L4475" t="s">
        <v>1428</v>
      </c>
      <c r="M4475" t="s">
        <v>57</v>
      </c>
      <c r="N4475" t="str">
        <f t="shared" ref="N4475:N4481" si="22">"N/A"</f>
        <v>N/A</v>
      </c>
      <c r="O4475" t="s">
        <v>49</v>
      </c>
      <c r="P4475" t="s">
        <v>68</v>
      </c>
      <c r="Q4475">
        <v>67.900000000000006</v>
      </c>
      <c r="R4475">
        <v>20.900000000000006</v>
      </c>
      <c r="S4475" t="s">
        <v>156</v>
      </c>
    </row>
    <row r="4476" spans="1:19" x14ac:dyDescent="0.35">
      <c r="A4476">
        <v>402</v>
      </c>
      <c r="B4476" t="str">
        <f>"000402"</f>
        <v>000402</v>
      </c>
      <c r="C4476" t="s">
        <v>12912</v>
      </c>
      <c r="D4476" t="s">
        <v>12471</v>
      </c>
      <c r="E4476" t="s">
        <v>12048</v>
      </c>
      <c r="F4476" t="s">
        <v>3396</v>
      </c>
      <c r="G4476" t="s">
        <v>821</v>
      </c>
      <c r="H4476" t="s">
        <v>12913</v>
      </c>
      <c r="I4476" t="s">
        <v>12914</v>
      </c>
      <c r="J4476" t="s">
        <v>1427</v>
      </c>
      <c r="K4476" t="s">
        <v>55</v>
      </c>
      <c r="L4476" t="s">
        <v>1428</v>
      </c>
      <c r="M4476" t="s">
        <v>57</v>
      </c>
      <c r="N4476" t="str">
        <f t="shared" si="22"/>
        <v>N/A</v>
      </c>
      <c r="O4476" t="s">
        <v>49</v>
      </c>
      <c r="P4476" t="s">
        <v>68</v>
      </c>
      <c r="Q4476">
        <v>67.900000000000006</v>
      </c>
      <c r="R4476">
        <v>20.900000000000006</v>
      </c>
      <c r="S4476" t="s">
        <v>156</v>
      </c>
    </row>
    <row r="4477" spans="1:19" x14ac:dyDescent="0.35">
      <c r="A4477">
        <v>402</v>
      </c>
      <c r="B4477" t="str">
        <f>"000402"</f>
        <v>000402</v>
      </c>
      <c r="C4477" t="s">
        <v>12912</v>
      </c>
      <c r="D4477" t="s">
        <v>12476</v>
      </c>
      <c r="E4477" t="s">
        <v>12048</v>
      </c>
      <c r="F4477" t="s">
        <v>3396</v>
      </c>
      <c r="G4477" t="s">
        <v>821</v>
      </c>
      <c r="H4477" t="s">
        <v>12913</v>
      </c>
      <c r="I4477" t="s">
        <v>12914</v>
      </c>
      <c r="J4477" t="s">
        <v>1427</v>
      </c>
      <c r="K4477" t="s">
        <v>55</v>
      </c>
      <c r="L4477" t="s">
        <v>1428</v>
      </c>
      <c r="M4477" t="s">
        <v>57</v>
      </c>
      <c r="N4477" t="str">
        <f t="shared" si="22"/>
        <v>N/A</v>
      </c>
      <c r="O4477" t="s">
        <v>49</v>
      </c>
      <c r="P4477" t="s">
        <v>68</v>
      </c>
      <c r="Q4477">
        <v>67.900000000000006</v>
      </c>
      <c r="R4477">
        <v>20.900000000000006</v>
      </c>
      <c r="S4477" t="s">
        <v>156</v>
      </c>
    </row>
    <row r="4478" spans="1:19" x14ac:dyDescent="0.35">
      <c r="A4478">
        <v>402</v>
      </c>
      <c r="B4478" t="str">
        <f>"000402"</f>
        <v>000402</v>
      </c>
      <c r="C4478" t="s">
        <v>12912</v>
      </c>
      <c r="D4478" t="s">
        <v>12063</v>
      </c>
      <c r="E4478" t="s">
        <v>12048</v>
      </c>
      <c r="F4478" t="s">
        <v>3396</v>
      </c>
      <c r="G4478" t="s">
        <v>821</v>
      </c>
      <c r="H4478" t="s">
        <v>12913</v>
      </c>
      <c r="I4478" t="s">
        <v>12914</v>
      </c>
      <c r="J4478" t="s">
        <v>1427</v>
      </c>
      <c r="K4478" t="s">
        <v>55</v>
      </c>
      <c r="L4478" t="s">
        <v>1428</v>
      </c>
      <c r="M4478" t="s">
        <v>57</v>
      </c>
      <c r="N4478" t="str">
        <f t="shared" si="22"/>
        <v>N/A</v>
      </c>
      <c r="O4478" t="s">
        <v>49</v>
      </c>
      <c r="P4478" t="s">
        <v>68</v>
      </c>
      <c r="Q4478">
        <v>67.900000000000006</v>
      </c>
      <c r="R4478">
        <v>20.900000000000006</v>
      </c>
      <c r="S4478" t="s">
        <v>156</v>
      </c>
    </row>
    <row r="4479" spans="1:19" x14ac:dyDescent="0.35">
      <c r="A4479">
        <v>417</v>
      </c>
      <c r="B4479" t="str">
        <f>"000417"</f>
        <v>000417</v>
      </c>
      <c r="C4479" t="s">
        <v>12915</v>
      </c>
      <c r="D4479" t="s">
        <v>3398</v>
      </c>
      <c r="E4479" t="s">
        <v>12048</v>
      </c>
      <c r="F4479" t="s">
        <v>3396</v>
      </c>
      <c r="G4479" t="s">
        <v>536</v>
      </c>
      <c r="H4479" t="s">
        <v>12916</v>
      </c>
      <c r="I4479" t="s">
        <v>12917</v>
      </c>
      <c r="J4479" t="s">
        <v>539</v>
      </c>
      <c r="K4479" t="s">
        <v>55</v>
      </c>
      <c r="L4479" t="s">
        <v>540</v>
      </c>
      <c r="M4479" t="s">
        <v>57</v>
      </c>
      <c r="N4479" t="str">
        <f t="shared" si="22"/>
        <v>N/A</v>
      </c>
      <c r="O4479" t="s">
        <v>49</v>
      </c>
      <c r="P4479" t="s">
        <v>68</v>
      </c>
      <c r="Q4479">
        <v>62.5</v>
      </c>
      <c r="R4479">
        <v>26</v>
      </c>
      <c r="S4479" t="s">
        <v>77</v>
      </c>
    </row>
    <row r="4480" spans="1:19" x14ac:dyDescent="0.35">
      <c r="A4480">
        <v>417</v>
      </c>
      <c r="B4480" t="str">
        <f>"000417"</f>
        <v>000417</v>
      </c>
      <c r="C4480" t="s">
        <v>12915</v>
      </c>
      <c r="D4480" t="s">
        <v>12052</v>
      </c>
      <c r="E4480" t="s">
        <v>12048</v>
      </c>
      <c r="F4480" t="s">
        <v>3396</v>
      </c>
      <c r="G4480" t="s">
        <v>536</v>
      </c>
      <c r="H4480" t="s">
        <v>12916</v>
      </c>
      <c r="I4480" t="s">
        <v>12917</v>
      </c>
      <c r="J4480" t="s">
        <v>539</v>
      </c>
      <c r="K4480" t="s">
        <v>55</v>
      </c>
      <c r="L4480" t="s">
        <v>540</v>
      </c>
      <c r="M4480" t="s">
        <v>57</v>
      </c>
      <c r="N4480" t="str">
        <f t="shared" si="22"/>
        <v>N/A</v>
      </c>
      <c r="O4480" t="s">
        <v>49</v>
      </c>
      <c r="P4480" t="s">
        <v>68</v>
      </c>
      <c r="Q4480">
        <v>62.5</v>
      </c>
      <c r="R4480">
        <v>26</v>
      </c>
      <c r="S4480" t="s">
        <v>77</v>
      </c>
    </row>
    <row r="4481" spans="1:19" x14ac:dyDescent="0.35">
      <c r="A4481">
        <v>417</v>
      </c>
      <c r="B4481" t="str">
        <f>"000417"</f>
        <v>000417</v>
      </c>
      <c r="C4481" t="s">
        <v>12915</v>
      </c>
      <c r="D4481" t="s">
        <v>12476</v>
      </c>
      <c r="E4481" t="s">
        <v>12048</v>
      </c>
      <c r="F4481" t="s">
        <v>3396</v>
      </c>
      <c r="G4481" t="s">
        <v>536</v>
      </c>
      <c r="H4481" t="s">
        <v>12916</v>
      </c>
      <c r="I4481" t="s">
        <v>12917</v>
      </c>
      <c r="J4481" t="s">
        <v>539</v>
      </c>
      <c r="K4481" t="s">
        <v>55</v>
      </c>
      <c r="L4481" t="s">
        <v>540</v>
      </c>
      <c r="M4481" t="s">
        <v>57</v>
      </c>
      <c r="N4481" t="str">
        <f t="shared" si="22"/>
        <v>N/A</v>
      </c>
      <c r="O4481" t="s">
        <v>49</v>
      </c>
      <c r="P4481" t="s">
        <v>68</v>
      </c>
      <c r="Q4481">
        <v>62.5</v>
      </c>
      <c r="R4481">
        <v>26</v>
      </c>
      <c r="S4481" t="s">
        <v>77</v>
      </c>
    </row>
    <row r="4482" spans="1:19" x14ac:dyDescent="0.35">
      <c r="A4482">
        <v>429</v>
      </c>
      <c r="B4482" t="str">
        <f>"000429"</f>
        <v>000429</v>
      </c>
      <c r="C4482" t="s">
        <v>12918</v>
      </c>
      <c r="D4482" t="s">
        <v>3394</v>
      </c>
      <c r="E4482" t="s">
        <v>3395</v>
      </c>
      <c r="F4482" t="s">
        <v>3396</v>
      </c>
      <c r="G4482" t="s">
        <v>351</v>
      </c>
      <c r="H4482" t="s">
        <v>12919</v>
      </c>
      <c r="I4482" t="s">
        <v>12920</v>
      </c>
      <c r="J4482" t="s">
        <v>351</v>
      </c>
      <c r="K4482" t="s">
        <v>55</v>
      </c>
      <c r="L4482" t="s">
        <v>2771</v>
      </c>
      <c r="M4482" t="s">
        <v>57</v>
      </c>
      <c r="N4482" t="str">
        <f>"044156"</f>
        <v>044156</v>
      </c>
      <c r="O4482" t="s">
        <v>2768</v>
      </c>
      <c r="P4482" t="s">
        <v>68</v>
      </c>
      <c r="Q4482">
        <v>49.9</v>
      </c>
      <c r="R4482">
        <v>3</v>
      </c>
      <c r="S4482" t="s">
        <v>130</v>
      </c>
    </row>
    <row r="4483" spans="1:19" x14ac:dyDescent="0.35">
      <c r="A4483">
        <v>435</v>
      </c>
      <c r="B4483" t="str">
        <f>"000435"</f>
        <v>000435</v>
      </c>
      <c r="C4483" t="s">
        <v>12921</v>
      </c>
      <c r="D4483" t="s">
        <v>3394</v>
      </c>
      <c r="E4483" t="s">
        <v>3395</v>
      </c>
      <c r="F4483" t="s">
        <v>3396</v>
      </c>
      <c r="G4483" t="s">
        <v>600</v>
      </c>
      <c r="H4483" t="s">
        <v>12922</v>
      </c>
      <c r="I4483" t="s">
        <v>12923</v>
      </c>
      <c r="J4483" t="s">
        <v>1348</v>
      </c>
      <c r="K4483" t="s">
        <v>55</v>
      </c>
      <c r="L4483" t="s">
        <v>4810</v>
      </c>
      <c r="M4483" t="s">
        <v>57</v>
      </c>
      <c r="N4483" t="str">
        <f>"043802"</f>
        <v>043802</v>
      </c>
      <c r="O4483" t="s">
        <v>3171</v>
      </c>
      <c r="P4483" t="s">
        <v>68</v>
      </c>
      <c r="Q4483">
        <v>100</v>
      </c>
      <c r="R4483">
        <v>95.2</v>
      </c>
      <c r="S4483" t="s">
        <v>60</v>
      </c>
    </row>
    <row r="4484" spans="1:19" x14ac:dyDescent="0.35">
      <c r="A4484">
        <v>450</v>
      </c>
      <c r="B4484" t="str">
        <f>"000450"</f>
        <v>000450</v>
      </c>
      <c r="C4484" t="s">
        <v>6640</v>
      </c>
      <c r="D4484" t="s">
        <v>3398</v>
      </c>
      <c r="E4484" t="s">
        <v>3395</v>
      </c>
      <c r="F4484" t="s">
        <v>3396</v>
      </c>
      <c r="G4484" t="s">
        <v>621</v>
      </c>
      <c r="H4484" t="s">
        <v>2175</v>
      </c>
      <c r="I4484" t="s">
        <v>2176</v>
      </c>
      <c r="J4484" t="s">
        <v>2177</v>
      </c>
      <c r="K4484" t="s">
        <v>55</v>
      </c>
      <c r="L4484" t="s">
        <v>2178</v>
      </c>
      <c r="M4484" t="s">
        <v>57</v>
      </c>
      <c r="N4484" t="str">
        <f>"000442"</f>
        <v>000442</v>
      </c>
      <c r="O4484" t="s">
        <v>1687</v>
      </c>
      <c r="P4484" t="s">
        <v>68</v>
      </c>
      <c r="Q4484">
        <v>95.4</v>
      </c>
      <c r="R4484">
        <v>2.7999999999999972</v>
      </c>
      <c r="S4484" t="s">
        <v>130</v>
      </c>
    </row>
    <row r="4485" spans="1:19" x14ac:dyDescent="0.35">
      <c r="A4485">
        <v>451</v>
      </c>
      <c r="B4485" t="str">
        <f>"000451"</f>
        <v>000451</v>
      </c>
      <c r="C4485" t="s">
        <v>12924</v>
      </c>
      <c r="D4485" t="s">
        <v>3394</v>
      </c>
      <c r="E4485" t="s">
        <v>3395</v>
      </c>
      <c r="F4485" t="s">
        <v>3396</v>
      </c>
      <c r="G4485" t="s">
        <v>621</v>
      </c>
      <c r="H4485" t="s">
        <v>2175</v>
      </c>
      <c r="I4485" t="s">
        <v>2176</v>
      </c>
      <c r="J4485" t="s">
        <v>2177</v>
      </c>
      <c r="K4485" t="s">
        <v>55</v>
      </c>
      <c r="L4485" t="s">
        <v>2178</v>
      </c>
      <c r="M4485" t="s">
        <v>57</v>
      </c>
      <c r="N4485" t="str">
        <f>"000442"</f>
        <v>000442</v>
      </c>
      <c r="O4485" t="s">
        <v>1687</v>
      </c>
      <c r="P4485" t="s">
        <v>68</v>
      </c>
      <c r="Q4485">
        <v>83.3</v>
      </c>
      <c r="R4485">
        <v>2.2999999999999972</v>
      </c>
      <c r="S4485" t="s">
        <v>130</v>
      </c>
    </row>
    <row r="4486" spans="1:19" x14ac:dyDescent="0.35">
      <c r="A4486">
        <v>468</v>
      </c>
      <c r="B4486" t="str">
        <f>"000468"</f>
        <v>000468</v>
      </c>
      <c r="C4486" t="s">
        <v>12925</v>
      </c>
      <c r="D4486" t="s">
        <v>3394</v>
      </c>
      <c r="E4486" t="s">
        <v>9538</v>
      </c>
      <c r="F4486" t="s">
        <v>3396</v>
      </c>
      <c r="G4486" t="s">
        <v>600</v>
      </c>
      <c r="H4486" t="s">
        <v>12926</v>
      </c>
      <c r="I4486" t="s">
        <v>12927</v>
      </c>
      <c r="J4486" t="s">
        <v>1348</v>
      </c>
      <c r="K4486" t="s">
        <v>55</v>
      </c>
      <c r="L4486" t="s">
        <v>4810</v>
      </c>
      <c r="M4486" t="s">
        <v>57</v>
      </c>
      <c r="N4486" t="str">
        <f>"000468"</f>
        <v>000468</v>
      </c>
      <c r="O4486" t="s">
        <v>12925</v>
      </c>
      <c r="P4486" t="s">
        <v>68</v>
      </c>
      <c r="Q4486" t="s">
        <v>68</v>
      </c>
      <c r="R4486" t="s">
        <v>68</v>
      </c>
      <c r="S4486" t="s">
        <v>60</v>
      </c>
    </row>
    <row r="4487" spans="1:19" x14ac:dyDescent="0.35">
      <c r="A4487">
        <v>470</v>
      </c>
      <c r="B4487" t="str">
        <f>"000470"</f>
        <v>000470</v>
      </c>
      <c r="C4487" t="s">
        <v>11732</v>
      </c>
      <c r="D4487" t="s">
        <v>3394</v>
      </c>
      <c r="E4487" t="s">
        <v>3395</v>
      </c>
      <c r="F4487" t="s">
        <v>3396</v>
      </c>
      <c r="G4487" t="s">
        <v>1193</v>
      </c>
      <c r="H4487" t="s">
        <v>12928</v>
      </c>
      <c r="I4487" t="s">
        <v>12929</v>
      </c>
      <c r="J4487" t="s">
        <v>1196</v>
      </c>
      <c r="K4487" t="s">
        <v>55</v>
      </c>
      <c r="L4487" t="s">
        <v>1197</v>
      </c>
      <c r="M4487" t="s">
        <v>57</v>
      </c>
      <c r="N4487" t="str">
        <f>"044222"</f>
        <v>044222</v>
      </c>
      <c r="O4487" t="s">
        <v>1827</v>
      </c>
      <c r="P4487" t="s">
        <v>68</v>
      </c>
      <c r="Q4487">
        <v>100</v>
      </c>
      <c r="R4487">
        <v>58.5</v>
      </c>
      <c r="S4487" t="s">
        <v>156</v>
      </c>
    </row>
    <row r="4488" spans="1:19" x14ac:dyDescent="0.35">
      <c r="A4488">
        <v>472</v>
      </c>
      <c r="B4488" t="str">
        <f>"000472"</f>
        <v>000472</v>
      </c>
      <c r="C4488" t="s">
        <v>12930</v>
      </c>
      <c r="D4488" t="s">
        <v>3394</v>
      </c>
      <c r="E4488" t="s">
        <v>3395</v>
      </c>
      <c r="F4488" t="s">
        <v>3396</v>
      </c>
      <c r="G4488" t="s">
        <v>1193</v>
      </c>
      <c r="H4488" t="s">
        <v>12931</v>
      </c>
      <c r="I4488" t="s">
        <v>12932</v>
      </c>
      <c r="J4488" t="s">
        <v>1196</v>
      </c>
      <c r="K4488" t="s">
        <v>55</v>
      </c>
      <c r="L4488" t="s">
        <v>1830</v>
      </c>
      <c r="M4488" t="s">
        <v>57</v>
      </c>
      <c r="N4488" t="str">
        <f>"044222"</f>
        <v>044222</v>
      </c>
      <c r="O4488" t="s">
        <v>1827</v>
      </c>
      <c r="P4488" t="s">
        <v>68</v>
      </c>
      <c r="Q4488">
        <v>100</v>
      </c>
      <c r="R4488">
        <v>69.599999999999994</v>
      </c>
      <c r="S4488" t="s">
        <v>156</v>
      </c>
    </row>
    <row r="4489" spans="1:19" x14ac:dyDescent="0.35">
      <c r="A4489">
        <v>475</v>
      </c>
      <c r="B4489" t="str">
        <f>"000475"</f>
        <v>000475</v>
      </c>
      <c r="C4489" t="s">
        <v>12933</v>
      </c>
      <c r="D4489" t="s">
        <v>3394</v>
      </c>
      <c r="E4489" t="s">
        <v>3395</v>
      </c>
      <c r="F4489" t="s">
        <v>3396</v>
      </c>
      <c r="G4489" t="s">
        <v>63</v>
      </c>
      <c r="H4489" t="s">
        <v>12934</v>
      </c>
      <c r="I4489" t="s">
        <v>12935</v>
      </c>
      <c r="J4489" t="s">
        <v>2182</v>
      </c>
      <c r="K4489" t="s">
        <v>55</v>
      </c>
      <c r="L4489" t="s">
        <v>8770</v>
      </c>
      <c r="M4489" t="s">
        <v>57</v>
      </c>
      <c r="N4489" t="str">
        <f>"043950"</f>
        <v>043950</v>
      </c>
      <c r="O4489" t="s">
        <v>2179</v>
      </c>
      <c r="P4489" t="s">
        <v>68</v>
      </c>
      <c r="Q4489">
        <v>100</v>
      </c>
      <c r="R4489">
        <v>100</v>
      </c>
      <c r="S4489" t="s">
        <v>69</v>
      </c>
    </row>
    <row r="4490" spans="1:19" x14ac:dyDescent="0.35">
      <c r="A4490">
        <v>476</v>
      </c>
      <c r="B4490" t="str">
        <f>"000476"</f>
        <v>000476</v>
      </c>
      <c r="C4490" t="s">
        <v>12936</v>
      </c>
      <c r="D4490" t="s">
        <v>3398</v>
      </c>
      <c r="E4490" t="s">
        <v>9538</v>
      </c>
      <c r="F4490" t="s">
        <v>3396</v>
      </c>
      <c r="G4490" t="s">
        <v>63</v>
      </c>
      <c r="H4490" t="s">
        <v>12937</v>
      </c>
      <c r="I4490" t="s">
        <v>12938</v>
      </c>
      <c r="J4490" t="s">
        <v>285</v>
      </c>
      <c r="K4490" t="s">
        <v>55</v>
      </c>
      <c r="L4490" t="s">
        <v>5437</v>
      </c>
      <c r="M4490" t="s">
        <v>57</v>
      </c>
      <c r="N4490" t="str">
        <f>"052522"</f>
        <v>052522</v>
      </c>
      <c r="O4490" t="s">
        <v>605</v>
      </c>
      <c r="P4490" t="s">
        <v>68</v>
      </c>
      <c r="Q4490" t="s">
        <v>68</v>
      </c>
      <c r="R4490" t="s">
        <v>68</v>
      </c>
      <c r="S4490" t="s">
        <v>69</v>
      </c>
    </row>
    <row r="4491" spans="1:19" x14ac:dyDescent="0.35">
      <c r="A4491">
        <v>479</v>
      </c>
      <c r="B4491" t="str">
        <f>"000479"</f>
        <v>000479</v>
      </c>
      <c r="C4491" t="s">
        <v>12939</v>
      </c>
      <c r="D4491" t="s">
        <v>3398</v>
      </c>
      <c r="E4491" t="s">
        <v>9538</v>
      </c>
      <c r="F4491" t="s">
        <v>3396</v>
      </c>
      <c r="G4491" t="s">
        <v>777</v>
      </c>
      <c r="H4491" t="s">
        <v>12940</v>
      </c>
      <c r="I4491" t="s">
        <v>11386</v>
      </c>
      <c r="J4491" t="s">
        <v>1905</v>
      </c>
      <c r="K4491" t="s">
        <v>55</v>
      </c>
      <c r="L4491" t="s">
        <v>1906</v>
      </c>
      <c r="M4491" t="s">
        <v>57</v>
      </c>
      <c r="N4491" t="str">
        <f>"000479"</f>
        <v>000479</v>
      </c>
      <c r="O4491" t="s">
        <v>12939</v>
      </c>
      <c r="P4491" t="s">
        <v>68</v>
      </c>
      <c r="Q4491" t="s">
        <v>68</v>
      </c>
      <c r="R4491" t="s">
        <v>68</v>
      </c>
      <c r="S4491" t="s">
        <v>180</v>
      </c>
    </row>
    <row r="4492" spans="1:19" x14ac:dyDescent="0.35">
      <c r="A4492">
        <v>491</v>
      </c>
      <c r="B4492" t="str">
        <f>"000491"</f>
        <v>000491</v>
      </c>
      <c r="C4492" t="s">
        <v>12941</v>
      </c>
      <c r="D4492" t="s">
        <v>3394</v>
      </c>
      <c r="E4492" t="s">
        <v>3395</v>
      </c>
      <c r="F4492" t="s">
        <v>3396</v>
      </c>
      <c r="G4492" t="s">
        <v>172</v>
      </c>
      <c r="H4492" t="s">
        <v>12942</v>
      </c>
      <c r="I4492" t="s">
        <v>12943</v>
      </c>
      <c r="J4492" t="s">
        <v>629</v>
      </c>
      <c r="K4492" t="s">
        <v>55</v>
      </c>
      <c r="L4492" t="s">
        <v>630</v>
      </c>
      <c r="M4492" t="s">
        <v>57</v>
      </c>
      <c r="N4492" t="str">
        <f>"044214"</f>
        <v>044214</v>
      </c>
      <c r="O4492" t="s">
        <v>626</v>
      </c>
      <c r="P4492" t="s">
        <v>68</v>
      </c>
      <c r="Q4492">
        <v>27.4</v>
      </c>
      <c r="R4492">
        <v>15.5</v>
      </c>
      <c r="S4492" t="s">
        <v>217</v>
      </c>
    </row>
    <row r="4493" spans="1:19" x14ac:dyDescent="0.35">
      <c r="A4493">
        <v>493</v>
      </c>
      <c r="B4493" t="str">
        <f>"000493"</f>
        <v>000493</v>
      </c>
      <c r="C4493" t="s">
        <v>12944</v>
      </c>
      <c r="D4493" t="s">
        <v>3506</v>
      </c>
      <c r="E4493" t="s">
        <v>3395</v>
      </c>
      <c r="F4493" t="s">
        <v>3396</v>
      </c>
      <c r="G4493" t="s">
        <v>172</v>
      </c>
      <c r="H4493" t="s">
        <v>627</v>
      </c>
      <c r="I4493" t="s">
        <v>628</v>
      </c>
      <c r="J4493" t="s">
        <v>629</v>
      </c>
      <c r="K4493" t="s">
        <v>55</v>
      </c>
      <c r="L4493" t="s">
        <v>630</v>
      </c>
      <c r="M4493" t="s">
        <v>57</v>
      </c>
      <c r="N4493" t="str">
        <f>"044214"</f>
        <v>044214</v>
      </c>
      <c r="O4493" t="s">
        <v>626</v>
      </c>
      <c r="P4493" t="s">
        <v>68</v>
      </c>
      <c r="Q4493">
        <v>25.2</v>
      </c>
      <c r="R4493">
        <v>15.900000000000006</v>
      </c>
      <c r="S4493" t="s">
        <v>217</v>
      </c>
    </row>
    <row r="4494" spans="1:19" x14ac:dyDescent="0.35">
      <c r="A4494">
        <v>501</v>
      </c>
      <c r="B4494" t="str">
        <f>"000501"</f>
        <v>000501</v>
      </c>
      <c r="C4494" t="s">
        <v>12945</v>
      </c>
      <c r="D4494" t="s">
        <v>3506</v>
      </c>
      <c r="E4494" t="s">
        <v>3395</v>
      </c>
      <c r="F4494" t="s">
        <v>3396</v>
      </c>
      <c r="G4494" t="s">
        <v>19</v>
      </c>
      <c r="H4494" t="s">
        <v>7968</v>
      </c>
      <c r="I4494" t="s">
        <v>7969</v>
      </c>
      <c r="J4494" t="s">
        <v>704</v>
      </c>
      <c r="K4494" t="s">
        <v>55</v>
      </c>
      <c r="L4494" t="s">
        <v>705</v>
      </c>
      <c r="M4494" t="s">
        <v>57</v>
      </c>
      <c r="N4494" t="str">
        <f>"046078"</f>
        <v>046078</v>
      </c>
      <c r="O4494" t="s">
        <v>701</v>
      </c>
      <c r="P4494" t="s">
        <v>68</v>
      </c>
      <c r="Q4494">
        <v>70.8</v>
      </c>
      <c r="R4494">
        <v>10.299999999999997</v>
      </c>
      <c r="S4494" t="s">
        <v>217</v>
      </c>
    </row>
    <row r="4495" spans="1:19" x14ac:dyDescent="0.35">
      <c r="A4495">
        <v>509</v>
      </c>
      <c r="B4495" t="str">
        <f>"000509"</f>
        <v>000509</v>
      </c>
      <c r="C4495" t="s">
        <v>12946</v>
      </c>
      <c r="D4495" t="s">
        <v>3394</v>
      </c>
      <c r="E4495" t="s">
        <v>12048</v>
      </c>
      <c r="F4495" t="s">
        <v>3396</v>
      </c>
      <c r="G4495" t="s">
        <v>600</v>
      </c>
      <c r="H4495" t="s">
        <v>12947</v>
      </c>
      <c r="I4495" t="s">
        <v>12948</v>
      </c>
      <c r="J4495" t="s">
        <v>1348</v>
      </c>
      <c r="K4495" t="s">
        <v>55</v>
      </c>
      <c r="L4495" t="s">
        <v>6119</v>
      </c>
      <c r="M4495" t="s">
        <v>57</v>
      </c>
      <c r="N4495" t="str">
        <f t="shared" ref="N4495:N4500" si="23">"014997"</f>
        <v>014997</v>
      </c>
      <c r="O4495" t="s">
        <v>12505</v>
      </c>
      <c r="P4495" t="s">
        <v>68</v>
      </c>
      <c r="Q4495">
        <v>100</v>
      </c>
      <c r="R4495">
        <v>100</v>
      </c>
      <c r="S4495" t="s">
        <v>60</v>
      </c>
    </row>
    <row r="4496" spans="1:19" x14ac:dyDescent="0.35">
      <c r="A4496">
        <v>509</v>
      </c>
      <c r="B4496" t="str">
        <f>"000509"</f>
        <v>000509</v>
      </c>
      <c r="C4496" t="s">
        <v>12946</v>
      </c>
      <c r="D4496" t="s">
        <v>12052</v>
      </c>
      <c r="E4496" t="s">
        <v>12048</v>
      </c>
      <c r="F4496" t="s">
        <v>3396</v>
      </c>
      <c r="G4496" t="s">
        <v>600</v>
      </c>
      <c r="H4496" t="s">
        <v>12947</v>
      </c>
      <c r="I4496" t="s">
        <v>12948</v>
      </c>
      <c r="J4496" t="s">
        <v>1348</v>
      </c>
      <c r="K4496" t="s">
        <v>55</v>
      </c>
      <c r="L4496" t="s">
        <v>6119</v>
      </c>
      <c r="M4496" t="s">
        <v>57</v>
      </c>
      <c r="N4496" t="str">
        <f t="shared" si="23"/>
        <v>014997</v>
      </c>
      <c r="O4496" t="s">
        <v>12505</v>
      </c>
      <c r="P4496" t="s">
        <v>68</v>
      </c>
      <c r="Q4496">
        <v>100</v>
      </c>
      <c r="R4496">
        <v>100</v>
      </c>
      <c r="S4496" t="s">
        <v>60</v>
      </c>
    </row>
    <row r="4497" spans="1:19" x14ac:dyDescent="0.35">
      <c r="A4497">
        <v>510</v>
      </c>
      <c r="B4497" t="str">
        <f>"000510"</f>
        <v>000510</v>
      </c>
      <c r="C4497" t="s">
        <v>12949</v>
      </c>
      <c r="D4497" t="s">
        <v>3394</v>
      </c>
      <c r="E4497" t="s">
        <v>12048</v>
      </c>
      <c r="F4497" t="s">
        <v>3396</v>
      </c>
      <c r="G4497" t="s">
        <v>777</v>
      </c>
      <c r="H4497" t="s">
        <v>12950</v>
      </c>
      <c r="I4497" t="s">
        <v>12951</v>
      </c>
      <c r="J4497" t="s">
        <v>780</v>
      </c>
      <c r="K4497" t="s">
        <v>55</v>
      </c>
      <c r="L4497" t="s">
        <v>894</v>
      </c>
      <c r="M4497" t="s">
        <v>57</v>
      </c>
      <c r="N4497" t="str">
        <f t="shared" si="23"/>
        <v>014997</v>
      </c>
      <c r="O4497" t="s">
        <v>12505</v>
      </c>
      <c r="P4497" t="s">
        <v>68</v>
      </c>
      <c r="Q4497">
        <v>100</v>
      </c>
      <c r="R4497">
        <v>59</v>
      </c>
      <c r="S4497" t="s">
        <v>180</v>
      </c>
    </row>
    <row r="4498" spans="1:19" x14ac:dyDescent="0.35">
      <c r="A4498">
        <v>510</v>
      </c>
      <c r="B4498" t="str">
        <f>"000510"</f>
        <v>000510</v>
      </c>
      <c r="C4498" t="s">
        <v>12949</v>
      </c>
      <c r="D4498" t="s">
        <v>12052</v>
      </c>
      <c r="E4498" t="s">
        <v>12048</v>
      </c>
      <c r="F4498" t="s">
        <v>3396</v>
      </c>
      <c r="G4498" t="s">
        <v>777</v>
      </c>
      <c r="H4498" t="s">
        <v>12950</v>
      </c>
      <c r="I4498" t="s">
        <v>12951</v>
      </c>
      <c r="J4498" t="s">
        <v>780</v>
      </c>
      <c r="K4498" t="s">
        <v>55</v>
      </c>
      <c r="L4498" t="s">
        <v>894</v>
      </c>
      <c r="M4498" t="s">
        <v>57</v>
      </c>
      <c r="N4498" t="str">
        <f t="shared" si="23"/>
        <v>014997</v>
      </c>
      <c r="O4498" t="s">
        <v>12505</v>
      </c>
      <c r="P4498" t="s">
        <v>68</v>
      </c>
      <c r="Q4498">
        <v>100</v>
      </c>
      <c r="R4498">
        <v>59</v>
      </c>
      <c r="S4498" t="s">
        <v>180</v>
      </c>
    </row>
    <row r="4499" spans="1:19" x14ac:dyDescent="0.35">
      <c r="A4499">
        <v>511</v>
      </c>
      <c r="B4499" t="str">
        <f>"000511"</f>
        <v>000511</v>
      </c>
      <c r="C4499" t="s">
        <v>12952</v>
      </c>
      <c r="D4499" t="s">
        <v>3394</v>
      </c>
      <c r="E4499" t="s">
        <v>12048</v>
      </c>
      <c r="F4499" t="s">
        <v>3396</v>
      </c>
      <c r="G4499" t="s">
        <v>600</v>
      </c>
      <c r="H4499" t="s">
        <v>12953</v>
      </c>
      <c r="I4499" t="s">
        <v>12954</v>
      </c>
      <c r="J4499" t="s">
        <v>1348</v>
      </c>
      <c r="K4499" t="s">
        <v>55</v>
      </c>
      <c r="L4499" t="s">
        <v>3462</v>
      </c>
      <c r="M4499" t="s">
        <v>57</v>
      </c>
      <c r="N4499" t="str">
        <f t="shared" si="23"/>
        <v>014997</v>
      </c>
      <c r="O4499" t="s">
        <v>12505</v>
      </c>
      <c r="P4499" t="s">
        <v>68</v>
      </c>
      <c r="Q4499">
        <v>100</v>
      </c>
      <c r="R4499">
        <v>100</v>
      </c>
      <c r="S4499" t="s">
        <v>60</v>
      </c>
    </row>
    <row r="4500" spans="1:19" x14ac:dyDescent="0.35">
      <c r="A4500">
        <v>511</v>
      </c>
      <c r="B4500" t="str">
        <f>"000511"</f>
        <v>000511</v>
      </c>
      <c r="C4500" t="s">
        <v>12952</v>
      </c>
      <c r="D4500" t="s">
        <v>12052</v>
      </c>
      <c r="E4500" t="s">
        <v>12048</v>
      </c>
      <c r="F4500" t="s">
        <v>3396</v>
      </c>
      <c r="G4500" t="s">
        <v>600</v>
      </c>
      <c r="H4500" t="s">
        <v>12953</v>
      </c>
      <c r="I4500" t="s">
        <v>12954</v>
      </c>
      <c r="J4500" t="s">
        <v>1348</v>
      </c>
      <c r="K4500" t="s">
        <v>55</v>
      </c>
      <c r="L4500" t="s">
        <v>3462</v>
      </c>
      <c r="M4500" t="s">
        <v>57</v>
      </c>
      <c r="N4500" t="str">
        <f t="shared" si="23"/>
        <v>014997</v>
      </c>
      <c r="O4500" t="s">
        <v>12505</v>
      </c>
      <c r="P4500" t="s">
        <v>68</v>
      </c>
      <c r="Q4500">
        <v>100</v>
      </c>
      <c r="R4500">
        <v>100</v>
      </c>
      <c r="S4500" t="s">
        <v>60</v>
      </c>
    </row>
    <row r="4501" spans="1:19" x14ac:dyDescent="0.35">
      <c r="A4501">
        <v>519</v>
      </c>
      <c r="B4501" t="str">
        <f>"000519"</f>
        <v>000519</v>
      </c>
      <c r="C4501" t="s">
        <v>12955</v>
      </c>
      <c r="D4501" t="s">
        <v>3400</v>
      </c>
      <c r="E4501" t="s">
        <v>3395</v>
      </c>
      <c r="F4501" t="s">
        <v>3396</v>
      </c>
      <c r="G4501" t="s">
        <v>719</v>
      </c>
      <c r="H4501" t="s">
        <v>12956</v>
      </c>
      <c r="I4501" t="s">
        <v>12957</v>
      </c>
      <c r="J4501" t="s">
        <v>1483</v>
      </c>
      <c r="K4501" t="s">
        <v>55</v>
      </c>
      <c r="L4501" t="s">
        <v>1484</v>
      </c>
      <c r="M4501" t="s">
        <v>57</v>
      </c>
      <c r="N4501" t="str">
        <f>"047613"</f>
        <v>047613</v>
      </c>
      <c r="O4501" t="s">
        <v>1480</v>
      </c>
      <c r="P4501" t="s">
        <v>68</v>
      </c>
      <c r="Q4501">
        <v>57.3</v>
      </c>
      <c r="R4501">
        <v>4.9000000000000057</v>
      </c>
      <c r="S4501" t="s">
        <v>130</v>
      </c>
    </row>
    <row r="4502" spans="1:19" x14ac:dyDescent="0.35">
      <c r="A4502">
        <v>520</v>
      </c>
      <c r="B4502" t="str">
        <f>"000520"</f>
        <v>000520</v>
      </c>
      <c r="C4502" t="s">
        <v>12958</v>
      </c>
      <c r="D4502" t="s">
        <v>3398</v>
      </c>
      <c r="E4502" t="s">
        <v>3395</v>
      </c>
      <c r="F4502" t="s">
        <v>3396</v>
      </c>
      <c r="G4502" t="s">
        <v>383</v>
      </c>
      <c r="H4502" t="s">
        <v>1213</v>
      </c>
      <c r="I4502" t="s">
        <v>1214</v>
      </c>
      <c r="J4502" t="s">
        <v>1215</v>
      </c>
      <c r="K4502" t="s">
        <v>55</v>
      </c>
      <c r="L4502" t="s">
        <v>1216</v>
      </c>
      <c r="M4502" t="s">
        <v>57</v>
      </c>
      <c r="N4502" t="str">
        <f>"045161"</f>
        <v>045161</v>
      </c>
      <c r="O4502" t="s">
        <v>1212</v>
      </c>
      <c r="P4502" t="s">
        <v>68</v>
      </c>
      <c r="Q4502">
        <v>100</v>
      </c>
      <c r="R4502">
        <v>87.8</v>
      </c>
      <c r="S4502" t="s">
        <v>77</v>
      </c>
    </row>
    <row r="4503" spans="1:19" x14ac:dyDescent="0.35">
      <c r="A4503">
        <v>525</v>
      </c>
      <c r="B4503" t="str">
        <f>"000525"</f>
        <v>000525</v>
      </c>
      <c r="C4503" t="s">
        <v>12959</v>
      </c>
      <c r="D4503" t="s">
        <v>3398</v>
      </c>
      <c r="E4503" t="s">
        <v>12048</v>
      </c>
      <c r="F4503" t="s">
        <v>3396</v>
      </c>
      <c r="G4503" t="s">
        <v>117</v>
      </c>
      <c r="H4503" t="s">
        <v>12960</v>
      </c>
      <c r="I4503" t="s">
        <v>12961</v>
      </c>
      <c r="J4503" t="s">
        <v>1409</v>
      </c>
      <c r="K4503" t="s">
        <v>55</v>
      </c>
      <c r="L4503" t="s">
        <v>5455</v>
      </c>
      <c r="M4503" t="s">
        <v>57</v>
      </c>
      <c r="N4503" t="str">
        <f>"N/A"</f>
        <v>N/A</v>
      </c>
      <c r="O4503" t="s">
        <v>49</v>
      </c>
      <c r="P4503" t="s">
        <v>68</v>
      </c>
      <c r="Q4503">
        <v>87</v>
      </c>
      <c r="R4503">
        <v>49.6</v>
      </c>
      <c r="S4503" t="s">
        <v>77</v>
      </c>
    </row>
    <row r="4504" spans="1:19" x14ac:dyDescent="0.35">
      <c r="A4504">
        <v>525</v>
      </c>
      <c r="B4504" t="str">
        <f>"000525"</f>
        <v>000525</v>
      </c>
      <c r="C4504" t="s">
        <v>12959</v>
      </c>
      <c r="D4504" t="s">
        <v>12052</v>
      </c>
      <c r="E4504" t="s">
        <v>12048</v>
      </c>
      <c r="F4504" t="s">
        <v>3396</v>
      </c>
      <c r="G4504" t="s">
        <v>117</v>
      </c>
      <c r="H4504" t="s">
        <v>12960</v>
      </c>
      <c r="I4504" t="s">
        <v>12961</v>
      </c>
      <c r="J4504" t="s">
        <v>1409</v>
      </c>
      <c r="K4504" t="s">
        <v>55</v>
      </c>
      <c r="L4504" t="s">
        <v>5455</v>
      </c>
      <c r="M4504" t="s">
        <v>57</v>
      </c>
      <c r="N4504" t="str">
        <f>"N/A"</f>
        <v>N/A</v>
      </c>
      <c r="O4504" t="s">
        <v>49</v>
      </c>
      <c r="P4504" t="s">
        <v>68</v>
      </c>
      <c r="Q4504">
        <v>87</v>
      </c>
      <c r="R4504">
        <v>49.6</v>
      </c>
      <c r="S4504" t="s">
        <v>77</v>
      </c>
    </row>
    <row r="4505" spans="1:19" x14ac:dyDescent="0.35">
      <c r="A4505">
        <v>525</v>
      </c>
      <c r="B4505" t="str">
        <f>"000525"</f>
        <v>000525</v>
      </c>
      <c r="C4505" t="s">
        <v>12959</v>
      </c>
      <c r="D4505" t="s">
        <v>12063</v>
      </c>
      <c r="E4505" t="s">
        <v>12048</v>
      </c>
      <c r="F4505" t="s">
        <v>3396</v>
      </c>
      <c r="G4505" t="s">
        <v>117</v>
      </c>
      <c r="H4505" t="s">
        <v>12960</v>
      </c>
      <c r="I4505" t="s">
        <v>12961</v>
      </c>
      <c r="J4505" t="s">
        <v>1409</v>
      </c>
      <c r="K4505" t="s">
        <v>55</v>
      </c>
      <c r="L4505" t="s">
        <v>5455</v>
      </c>
      <c r="M4505" t="s">
        <v>57</v>
      </c>
      <c r="N4505" t="str">
        <f>"N/A"</f>
        <v>N/A</v>
      </c>
      <c r="O4505" t="s">
        <v>49</v>
      </c>
      <c r="P4505" t="s">
        <v>68</v>
      </c>
      <c r="Q4505">
        <v>87</v>
      </c>
      <c r="R4505">
        <v>49.6</v>
      </c>
      <c r="S4505" t="s">
        <v>77</v>
      </c>
    </row>
    <row r="4506" spans="1:19" x14ac:dyDescent="0.35">
      <c r="A4506">
        <v>526</v>
      </c>
      <c r="B4506" t="str">
        <f>"000526"</f>
        <v>000526</v>
      </c>
      <c r="C4506" t="s">
        <v>12962</v>
      </c>
      <c r="D4506" t="s">
        <v>3394</v>
      </c>
      <c r="E4506" t="s">
        <v>3395</v>
      </c>
      <c r="F4506" t="s">
        <v>3396</v>
      </c>
      <c r="G4506" t="s">
        <v>543</v>
      </c>
      <c r="H4506" t="s">
        <v>685</v>
      </c>
      <c r="I4506" t="s">
        <v>686</v>
      </c>
      <c r="J4506" t="s">
        <v>687</v>
      </c>
      <c r="K4506" t="s">
        <v>55</v>
      </c>
      <c r="L4506" t="s">
        <v>688</v>
      </c>
      <c r="M4506" t="s">
        <v>57</v>
      </c>
      <c r="N4506" t="str">
        <f>"048702"</f>
        <v>048702</v>
      </c>
      <c r="O4506" t="s">
        <v>866</v>
      </c>
      <c r="P4506" t="s">
        <v>68</v>
      </c>
      <c r="Q4506" t="s">
        <v>68</v>
      </c>
      <c r="R4506" t="s">
        <v>68</v>
      </c>
      <c r="S4506" t="s">
        <v>180</v>
      </c>
    </row>
    <row r="4507" spans="1:19" x14ac:dyDescent="0.35">
      <c r="A4507">
        <v>527</v>
      </c>
      <c r="B4507" t="str">
        <f>"000527"</f>
        <v>000527</v>
      </c>
      <c r="C4507" t="s">
        <v>12963</v>
      </c>
      <c r="D4507" t="s">
        <v>3398</v>
      </c>
      <c r="E4507" t="s">
        <v>12048</v>
      </c>
      <c r="F4507" t="s">
        <v>3396</v>
      </c>
      <c r="G4507" t="s">
        <v>63</v>
      </c>
      <c r="H4507" t="s">
        <v>12964</v>
      </c>
      <c r="I4507" t="s">
        <v>12965</v>
      </c>
      <c r="J4507" t="s">
        <v>285</v>
      </c>
      <c r="K4507" t="s">
        <v>55</v>
      </c>
      <c r="L4507" t="s">
        <v>10957</v>
      </c>
      <c r="M4507" t="s">
        <v>57</v>
      </c>
      <c r="N4507" t="str">
        <f>"019977"</f>
        <v>019977</v>
      </c>
      <c r="O4507" t="s">
        <v>12966</v>
      </c>
      <c r="P4507" t="s">
        <v>68</v>
      </c>
      <c r="Q4507">
        <v>100</v>
      </c>
      <c r="R4507">
        <v>76.599999999999994</v>
      </c>
      <c r="S4507" t="s">
        <v>69</v>
      </c>
    </row>
    <row r="4508" spans="1:19" x14ac:dyDescent="0.35">
      <c r="A4508">
        <v>527</v>
      </c>
      <c r="B4508" t="str">
        <f>"000527"</f>
        <v>000527</v>
      </c>
      <c r="C4508" t="s">
        <v>12963</v>
      </c>
      <c r="D4508" t="s">
        <v>12052</v>
      </c>
      <c r="E4508" t="s">
        <v>12048</v>
      </c>
      <c r="F4508" t="s">
        <v>3396</v>
      </c>
      <c r="G4508" t="s">
        <v>63</v>
      </c>
      <c r="H4508" t="s">
        <v>12964</v>
      </c>
      <c r="I4508" t="s">
        <v>12965</v>
      </c>
      <c r="J4508" t="s">
        <v>285</v>
      </c>
      <c r="K4508" t="s">
        <v>55</v>
      </c>
      <c r="L4508" t="s">
        <v>10957</v>
      </c>
      <c r="M4508" t="s">
        <v>57</v>
      </c>
      <c r="N4508" t="str">
        <f>"019977"</f>
        <v>019977</v>
      </c>
      <c r="O4508" t="s">
        <v>12966</v>
      </c>
      <c r="P4508" t="s">
        <v>68</v>
      </c>
      <c r="Q4508">
        <v>100</v>
      </c>
      <c r="R4508">
        <v>76.599999999999994</v>
      </c>
      <c r="S4508" t="s">
        <v>69</v>
      </c>
    </row>
    <row r="4509" spans="1:19" x14ac:dyDescent="0.35">
      <c r="A4509">
        <v>527</v>
      </c>
      <c r="B4509" t="str">
        <f>"000527"</f>
        <v>000527</v>
      </c>
      <c r="C4509" t="s">
        <v>12963</v>
      </c>
      <c r="D4509" t="s">
        <v>12063</v>
      </c>
      <c r="E4509" t="s">
        <v>12048</v>
      </c>
      <c r="F4509" t="s">
        <v>3396</v>
      </c>
      <c r="G4509" t="s">
        <v>63</v>
      </c>
      <c r="H4509" t="s">
        <v>12964</v>
      </c>
      <c r="I4509" t="s">
        <v>12965</v>
      </c>
      <c r="J4509" t="s">
        <v>285</v>
      </c>
      <c r="K4509" t="s">
        <v>55</v>
      </c>
      <c r="L4509" t="s">
        <v>10957</v>
      </c>
      <c r="M4509" t="s">
        <v>57</v>
      </c>
      <c r="N4509" t="str">
        <f>"019977"</f>
        <v>019977</v>
      </c>
      <c r="O4509" t="s">
        <v>12966</v>
      </c>
      <c r="P4509" t="s">
        <v>68</v>
      </c>
      <c r="Q4509">
        <v>100</v>
      </c>
      <c r="R4509">
        <v>76.599999999999994</v>
      </c>
      <c r="S4509" t="s">
        <v>69</v>
      </c>
    </row>
    <row r="4510" spans="1:19" x14ac:dyDescent="0.35">
      <c r="A4510">
        <v>534</v>
      </c>
      <c r="B4510" t="str">
        <f>"000534"</f>
        <v>000534</v>
      </c>
      <c r="C4510" t="s">
        <v>12967</v>
      </c>
      <c r="D4510" t="s">
        <v>3400</v>
      </c>
      <c r="E4510" t="s">
        <v>12048</v>
      </c>
      <c r="F4510" t="s">
        <v>3396</v>
      </c>
      <c r="G4510" t="s">
        <v>63</v>
      </c>
      <c r="H4510" t="s">
        <v>12530</v>
      </c>
      <c r="I4510" t="s">
        <v>12531</v>
      </c>
      <c r="J4510" t="s">
        <v>285</v>
      </c>
      <c r="K4510" t="s">
        <v>55</v>
      </c>
      <c r="L4510" t="s">
        <v>3561</v>
      </c>
      <c r="M4510" t="s">
        <v>57</v>
      </c>
      <c r="N4510" t="str">
        <f>"020912"</f>
        <v>020912</v>
      </c>
      <c r="O4510" t="s">
        <v>12089</v>
      </c>
      <c r="P4510" t="s">
        <v>68</v>
      </c>
      <c r="Q4510">
        <v>100</v>
      </c>
      <c r="R4510">
        <v>80.3</v>
      </c>
      <c r="S4510" t="s">
        <v>69</v>
      </c>
    </row>
    <row r="4511" spans="1:19" x14ac:dyDescent="0.35">
      <c r="A4511">
        <v>534</v>
      </c>
      <c r="B4511" t="str">
        <f>"000534"</f>
        <v>000534</v>
      </c>
      <c r="C4511" t="s">
        <v>12967</v>
      </c>
      <c r="D4511" t="s">
        <v>12052</v>
      </c>
      <c r="E4511" t="s">
        <v>12048</v>
      </c>
      <c r="F4511" t="s">
        <v>3396</v>
      </c>
      <c r="G4511" t="s">
        <v>63</v>
      </c>
      <c r="H4511" t="s">
        <v>12530</v>
      </c>
      <c r="I4511" t="s">
        <v>12531</v>
      </c>
      <c r="J4511" t="s">
        <v>285</v>
      </c>
      <c r="K4511" t="s">
        <v>55</v>
      </c>
      <c r="L4511" t="s">
        <v>3561</v>
      </c>
      <c r="M4511" t="s">
        <v>57</v>
      </c>
      <c r="N4511" t="str">
        <f>"020912"</f>
        <v>020912</v>
      </c>
      <c r="O4511" t="s">
        <v>12089</v>
      </c>
      <c r="P4511" t="s">
        <v>68</v>
      </c>
      <c r="Q4511">
        <v>100</v>
      </c>
      <c r="R4511">
        <v>80.3</v>
      </c>
      <c r="S4511" t="s">
        <v>69</v>
      </c>
    </row>
    <row r="4512" spans="1:19" x14ac:dyDescent="0.35">
      <c r="A4512">
        <v>543</v>
      </c>
      <c r="B4512" t="str">
        <f>"000543"</f>
        <v>000543</v>
      </c>
      <c r="C4512" t="s">
        <v>12968</v>
      </c>
      <c r="D4512" t="s">
        <v>3394</v>
      </c>
      <c r="E4512" t="s">
        <v>12048</v>
      </c>
      <c r="F4512" t="s">
        <v>3396</v>
      </c>
      <c r="G4512" t="s">
        <v>63</v>
      </c>
      <c r="H4512" t="s">
        <v>12969</v>
      </c>
      <c r="I4512" t="s">
        <v>12970</v>
      </c>
      <c r="J4512" t="s">
        <v>2182</v>
      </c>
      <c r="K4512" t="s">
        <v>55</v>
      </c>
      <c r="L4512" t="s">
        <v>2183</v>
      </c>
      <c r="M4512" t="s">
        <v>57</v>
      </c>
      <c r="N4512" t="str">
        <f>"014980"</f>
        <v>014980</v>
      </c>
      <c r="O4512" t="s">
        <v>12538</v>
      </c>
      <c r="P4512" t="s">
        <v>68</v>
      </c>
      <c r="Q4512">
        <v>90.3</v>
      </c>
      <c r="R4512">
        <v>100</v>
      </c>
      <c r="S4512" t="s">
        <v>69</v>
      </c>
    </row>
    <row r="4513" spans="1:19" x14ac:dyDescent="0.35">
      <c r="A4513">
        <v>543</v>
      </c>
      <c r="B4513" t="str">
        <f>"000543"</f>
        <v>000543</v>
      </c>
      <c r="C4513" t="s">
        <v>12968</v>
      </c>
      <c r="D4513" t="s">
        <v>12052</v>
      </c>
      <c r="E4513" t="s">
        <v>12048</v>
      </c>
      <c r="F4513" t="s">
        <v>3396</v>
      </c>
      <c r="G4513" t="s">
        <v>63</v>
      </c>
      <c r="H4513" t="s">
        <v>12969</v>
      </c>
      <c r="I4513" t="s">
        <v>12970</v>
      </c>
      <c r="J4513" t="s">
        <v>2182</v>
      </c>
      <c r="K4513" t="s">
        <v>55</v>
      </c>
      <c r="L4513" t="s">
        <v>2183</v>
      </c>
      <c r="M4513" t="s">
        <v>57</v>
      </c>
      <c r="N4513" t="str">
        <f>"014980"</f>
        <v>014980</v>
      </c>
      <c r="O4513" t="s">
        <v>12538</v>
      </c>
      <c r="P4513" t="s">
        <v>68</v>
      </c>
      <c r="Q4513">
        <v>90.3</v>
      </c>
      <c r="R4513">
        <v>100</v>
      </c>
      <c r="S4513" t="s">
        <v>69</v>
      </c>
    </row>
    <row r="4514" spans="1:19" x14ac:dyDescent="0.35">
      <c r="A4514">
        <v>546</v>
      </c>
      <c r="B4514" t="str">
        <f>"000546"</f>
        <v>000546</v>
      </c>
      <c r="C4514" t="s">
        <v>12971</v>
      </c>
      <c r="D4514" t="s">
        <v>3394</v>
      </c>
      <c r="E4514" t="s">
        <v>12048</v>
      </c>
      <c r="F4514" t="s">
        <v>3396</v>
      </c>
      <c r="G4514" t="s">
        <v>200</v>
      </c>
      <c r="H4514" t="s">
        <v>12972</v>
      </c>
      <c r="I4514" t="s">
        <v>12973</v>
      </c>
      <c r="J4514" t="s">
        <v>304</v>
      </c>
      <c r="K4514" t="s">
        <v>55</v>
      </c>
      <c r="L4514" t="s">
        <v>5763</v>
      </c>
      <c r="M4514" t="s">
        <v>57</v>
      </c>
      <c r="N4514" t="str">
        <f>"014980"</f>
        <v>014980</v>
      </c>
      <c r="O4514" t="s">
        <v>12538</v>
      </c>
      <c r="P4514" t="s">
        <v>68</v>
      </c>
      <c r="Q4514">
        <v>100</v>
      </c>
      <c r="R4514">
        <v>96.9</v>
      </c>
      <c r="S4514" t="s">
        <v>156</v>
      </c>
    </row>
    <row r="4515" spans="1:19" x14ac:dyDescent="0.35">
      <c r="A4515">
        <v>546</v>
      </c>
      <c r="B4515" t="str">
        <f>"000546"</f>
        <v>000546</v>
      </c>
      <c r="C4515" t="s">
        <v>12971</v>
      </c>
      <c r="D4515" t="s">
        <v>12052</v>
      </c>
      <c r="E4515" t="s">
        <v>12048</v>
      </c>
      <c r="F4515" t="s">
        <v>3396</v>
      </c>
      <c r="G4515" t="s">
        <v>200</v>
      </c>
      <c r="H4515" t="s">
        <v>12972</v>
      </c>
      <c r="I4515" t="s">
        <v>12973</v>
      </c>
      <c r="J4515" t="s">
        <v>304</v>
      </c>
      <c r="K4515" t="s">
        <v>55</v>
      </c>
      <c r="L4515" t="s">
        <v>5763</v>
      </c>
      <c r="M4515" t="s">
        <v>57</v>
      </c>
      <c r="N4515" t="str">
        <f>"014980"</f>
        <v>014980</v>
      </c>
      <c r="O4515" t="s">
        <v>12538</v>
      </c>
      <c r="P4515" t="s">
        <v>68</v>
      </c>
      <c r="Q4515">
        <v>100</v>
      </c>
      <c r="R4515">
        <v>96.9</v>
      </c>
      <c r="S4515" t="s">
        <v>156</v>
      </c>
    </row>
    <row r="4516" spans="1:19" x14ac:dyDescent="0.35">
      <c r="A4516">
        <v>549</v>
      </c>
      <c r="B4516" t="str">
        <f>"000549"</f>
        <v>000549</v>
      </c>
      <c r="C4516" t="s">
        <v>12974</v>
      </c>
      <c r="D4516" t="s">
        <v>3394</v>
      </c>
      <c r="E4516" t="s">
        <v>3395</v>
      </c>
      <c r="F4516" t="s">
        <v>3396</v>
      </c>
      <c r="G4516" t="s">
        <v>600</v>
      </c>
      <c r="H4516" t="s">
        <v>12975</v>
      </c>
      <c r="I4516" t="s">
        <v>12976</v>
      </c>
      <c r="J4516" t="s">
        <v>1136</v>
      </c>
      <c r="K4516" t="s">
        <v>55</v>
      </c>
      <c r="L4516" t="s">
        <v>1137</v>
      </c>
      <c r="M4516" t="s">
        <v>57</v>
      </c>
      <c r="N4516" t="str">
        <f>"044800"</f>
        <v>044800</v>
      </c>
      <c r="O4516" t="s">
        <v>1133</v>
      </c>
      <c r="P4516" t="s">
        <v>68</v>
      </c>
      <c r="Q4516" t="s">
        <v>68</v>
      </c>
      <c r="R4516" t="s">
        <v>68</v>
      </c>
      <c r="S4516" t="s">
        <v>60</v>
      </c>
    </row>
    <row r="4517" spans="1:19" x14ac:dyDescent="0.35">
      <c r="A4517">
        <v>551</v>
      </c>
      <c r="B4517" t="str">
        <f>"000551"</f>
        <v>000551</v>
      </c>
      <c r="C4517" t="s">
        <v>12977</v>
      </c>
      <c r="D4517" t="s">
        <v>3398</v>
      </c>
      <c r="E4517" t="s">
        <v>9538</v>
      </c>
      <c r="F4517" t="s">
        <v>3396</v>
      </c>
      <c r="G4517" t="s">
        <v>110</v>
      </c>
      <c r="H4517" t="s">
        <v>12978</v>
      </c>
      <c r="I4517" t="s">
        <v>12979</v>
      </c>
      <c r="J4517" t="s">
        <v>1027</v>
      </c>
      <c r="K4517" t="s">
        <v>55</v>
      </c>
      <c r="L4517" t="s">
        <v>1028</v>
      </c>
      <c r="M4517" t="s">
        <v>57</v>
      </c>
      <c r="N4517" t="str">
        <f>"000551"</f>
        <v>000551</v>
      </c>
      <c r="O4517" t="s">
        <v>12977</v>
      </c>
      <c r="P4517" t="s">
        <v>68</v>
      </c>
      <c r="Q4517" t="s">
        <v>68</v>
      </c>
      <c r="R4517" t="s">
        <v>68</v>
      </c>
      <c r="S4517" t="s">
        <v>60</v>
      </c>
    </row>
    <row r="4518" spans="1:19" x14ac:dyDescent="0.35">
      <c r="A4518">
        <v>553</v>
      </c>
      <c r="B4518" t="str">
        <f>"000553"</f>
        <v>000553</v>
      </c>
      <c r="C4518" t="s">
        <v>12980</v>
      </c>
      <c r="D4518" t="s">
        <v>3398</v>
      </c>
      <c r="E4518" t="s">
        <v>12048</v>
      </c>
      <c r="F4518" t="s">
        <v>3396</v>
      </c>
      <c r="G4518" t="s">
        <v>600</v>
      </c>
      <c r="H4518" t="s">
        <v>12981</v>
      </c>
      <c r="I4518" t="s">
        <v>12982</v>
      </c>
      <c r="J4518" t="s">
        <v>1348</v>
      </c>
      <c r="K4518" t="s">
        <v>55</v>
      </c>
      <c r="L4518" t="s">
        <v>3462</v>
      </c>
      <c r="M4518" t="s">
        <v>57</v>
      </c>
      <c r="N4518" t="str">
        <f>"015427"</f>
        <v>015427</v>
      </c>
      <c r="O4518" t="s">
        <v>12157</v>
      </c>
      <c r="P4518" t="s">
        <v>68</v>
      </c>
      <c r="Q4518">
        <v>99.8</v>
      </c>
      <c r="R4518">
        <v>95.8</v>
      </c>
      <c r="S4518" t="s">
        <v>60</v>
      </c>
    </row>
    <row r="4519" spans="1:19" x14ac:dyDescent="0.35">
      <c r="A4519">
        <v>553</v>
      </c>
      <c r="B4519" t="str">
        <f>"000553"</f>
        <v>000553</v>
      </c>
      <c r="C4519" t="s">
        <v>12980</v>
      </c>
      <c r="D4519" t="s">
        <v>12052</v>
      </c>
      <c r="E4519" t="s">
        <v>12048</v>
      </c>
      <c r="F4519" t="s">
        <v>3396</v>
      </c>
      <c r="G4519" t="s">
        <v>600</v>
      </c>
      <c r="H4519" t="s">
        <v>12981</v>
      </c>
      <c r="I4519" t="s">
        <v>12982</v>
      </c>
      <c r="J4519" t="s">
        <v>1348</v>
      </c>
      <c r="K4519" t="s">
        <v>55</v>
      </c>
      <c r="L4519" t="s">
        <v>3462</v>
      </c>
      <c r="M4519" t="s">
        <v>57</v>
      </c>
      <c r="N4519" t="str">
        <f>"015427"</f>
        <v>015427</v>
      </c>
      <c r="O4519" t="s">
        <v>12157</v>
      </c>
      <c r="P4519" t="s">
        <v>68</v>
      </c>
      <c r="Q4519">
        <v>99.8</v>
      </c>
      <c r="R4519">
        <v>95.8</v>
      </c>
      <c r="S4519" t="s">
        <v>60</v>
      </c>
    </row>
    <row r="4520" spans="1:19" x14ac:dyDescent="0.35">
      <c r="A4520">
        <v>553</v>
      </c>
      <c r="B4520" t="str">
        <f>"000553"</f>
        <v>000553</v>
      </c>
      <c r="C4520" t="s">
        <v>12980</v>
      </c>
      <c r="D4520" t="s">
        <v>4572</v>
      </c>
      <c r="E4520" t="s">
        <v>12048</v>
      </c>
      <c r="F4520" t="s">
        <v>3396</v>
      </c>
      <c r="G4520" t="s">
        <v>600</v>
      </c>
      <c r="H4520" t="s">
        <v>12981</v>
      </c>
      <c r="I4520" t="s">
        <v>12982</v>
      </c>
      <c r="J4520" t="s">
        <v>1348</v>
      </c>
      <c r="K4520" t="s">
        <v>55</v>
      </c>
      <c r="L4520" t="s">
        <v>3462</v>
      </c>
      <c r="M4520" t="s">
        <v>57</v>
      </c>
      <c r="N4520" t="str">
        <f>"015427"</f>
        <v>015427</v>
      </c>
      <c r="O4520" t="s">
        <v>12157</v>
      </c>
      <c r="P4520" t="s">
        <v>68</v>
      </c>
      <c r="Q4520">
        <v>99.8</v>
      </c>
      <c r="R4520">
        <v>95.8</v>
      </c>
      <c r="S4520" t="s">
        <v>60</v>
      </c>
    </row>
    <row r="4521" spans="1:19" x14ac:dyDescent="0.35">
      <c r="A4521">
        <v>558</v>
      </c>
      <c r="B4521" t="str">
        <f>"000558"</f>
        <v>000558</v>
      </c>
      <c r="C4521" t="s">
        <v>12983</v>
      </c>
      <c r="D4521" t="s">
        <v>3398</v>
      </c>
      <c r="E4521" t="s">
        <v>12048</v>
      </c>
      <c r="F4521" t="s">
        <v>3396</v>
      </c>
      <c r="G4521" t="s">
        <v>600</v>
      </c>
      <c r="H4521" t="s">
        <v>12984</v>
      </c>
      <c r="I4521" t="s">
        <v>12985</v>
      </c>
      <c r="J4521" t="s">
        <v>1348</v>
      </c>
      <c r="K4521" t="s">
        <v>55</v>
      </c>
      <c r="L4521" t="s">
        <v>3854</v>
      </c>
      <c r="M4521" t="s">
        <v>57</v>
      </c>
      <c r="N4521" t="str">
        <f>"015604"</f>
        <v>015604</v>
      </c>
      <c r="O4521" t="s">
        <v>12986</v>
      </c>
      <c r="P4521" t="s">
        <v>68</v>
      </c>
      <c r="Q4521">
        <v>17.399999999999999</v>
      </c>
      <c r="R4521">
        <v>73.3</v>
      </c>
      <c r="S4521" t="s">
        <v>60</v>
      </c>
    </row>
    <row r="4522" spans="1:19" x14ac:dyDescent="0.35">
      <c r="A4522">
        <v>558</v>
      </c>
      <c r="B4522" t="str">
        <f>"000558"</f>
        <v>000558</v>
      </c>
      <c r="C4522" t="s">
        <v>12983</v>
      </c>
      <c r="D4522" t="s">
        <v>12052</v>
      </c>
      <c r="E4522" t="s">
        <v>12048</v>
      </c>
      <c r="F4522" t="s">
        <v>3396</v>
      </c>
      <c r="G4522" t="s">
        <v>600</v>
      </c>
      <c r="H4522" t="s">
        <v>12984</v>
      </c>
      <c r="I4522" t="s">
        <v>12985</v>
      </c>
      <c r="J4522" t="s">
        <v>1348</v>
      </c>
      <c r="K4522" t="s">
        <v>55</v>
      </c>
      <c r="L4522" t="s">
        <v>3854</v>
      </c>
      <c r="M4522" t="s">
        <v>57</v>
      </c>
      <c r="N4522" t="str">
        <f>"015604"</f>
        <v>015604</v>
      </c>
      <c r="O4522" t="s">
        <v>12986</v>
      </c>
      <c r="P4522" t="s">
        <v>68</v>
      </c>
      <c r="Q4522">
        <v>17.399999999999999</v>
      </c>
      <c r="R4522">
        <v>73.3</v>
      </c>
      <c r="S4522" t="s">
        <v>60</v>
      </c>
    </row>
    <row r="4523" spans="1:19" x14ac:dyDescent="0.35">
      <c r="A4523">
        <v>558</v>
      </c>
      <c r="B4523" t="str">
        <f>"000558"</f>
        <v>000558</v>
      </c>
      <c r="C4523" t="s">
        <v>12983</v>
      </c>
      <c r="D4523" t="s">
        <v>4572</v>
      </c>
      <c r="E4523" t="s">
        <v>12048</v>
      </c>
      <c r="F4523" t="s">
        <v>3396</v>
      </c>
      <c r="G4523" t="s">
        <v>600</v>
      </c>
      <c r="H4523" t="s">
        <v>12984</v>
      </c>
      <c r="I4523" t="s">
        <v>12985</v>
      </c>
      <c r="J4523" t="s">
        <v>1348</v>
      </c>
      <c r="K4523" t="s">
        <v>55</v>
      </c>
      <c r="L4523" t="s">
        <v>3854</v>
      </c>
      <c r="M4523" t="s">
        <v>57</v>
      </c>
      <c r="N4523" t="str">
        <f>"015604"</f>
        <v>015604</v>
      </c>
      <c r="O4523" t="s">
        <v>12986</v>
      </c>
      <c r="P4523" t="s">
        <v>68</v>
      </c>
      <c r="Q4523">
        <v>17.399999999999999</v>
      </c>
      <c r="R4523">
        <v>73.3</v>
      </c>
      <c r="S4523" t="s">
        <v>60</v>
      </c>
    </row>
    <row r="4524" spans="1:19" x14ac:dyDescent="0.35">
      <c r="A4524">
        <v>557</v>
      </c>
      <c r="B4524" t="str">
        <f>"000557"</f>
        <v>000557</v>
      </c>
      <c r="C4524" t="s">
        <v>12987</v>
      </c>
      <c r="D4524" t="s">
        <v>3398</v>
      </c>
      <c r="E4524" t="s">
        <v>12048</v>
      </c>
      <c r="F4524" t="s">
        <v>3396</v>
      </c>
      <c r="G4524" t="s">
        <v>600</v>
      </c>
      <c r="H4524" t="s">
        <v>12988</v>
      </c>
      <c r="I4524" t="s">
        <v>12989</v>
      </c>
      <c r="J4524" t="s">
        <v>1348</v>
      </c>
      <c r="K4524" t="s">
        <v>55</v>
      </c>
      <c r="L4524" t="s">
        <v>3568</v>
      </c>
      <c r="M4524" t="s">
        <v>57</v>
      </c>
      <c r="N4524" t="str">
        <f>"015427"</f>
        <v>015427</v>
      </c>
      <c r="O4524" t="s">
        <v>12157</v>
      </c>
      <c r="P4524" t="s">
        <v>68</v>
      </c>
      <c r="Q4524">
        <v>99.6</v>
      </c>
      <c r="R4524">
        <v>96.6</v>
      </c>
      <c r="S4524" t="s">
        <v>60</v>
      </c>
    </row>
    <row r="4525" spans="1:19" x14ac:dyDescent="0.35">
      <c r="A4525">
        <v>557</v>
      </c>
      <c r="B4525" t="str">
        <f>"000557"</f>
        <v>000557</v>
      </c>
      <c r="C4525" t="s">
        <v>12987</v>
      </c>
      <c r="D4525" t="s">
        <v>12052</v>
      </c>
      <c r="E4525" t="s">
        <v>12048</v>
      </c>
      <c r="F4525" t="s">
        <v>3396</v>
      </c>
      <c r="G4525" t="s">
        <v>600</v>
      </c>
      <c r="H4525" t="s">
        <v>12988</v>
      </c>
      <c r="I4525" t="s">
        <v>12989</v>
      </c>
      <c r="J4525" t="s">
        <v>1348</v>
      </c>
      <c r="K4525" t="s">
        <v>55</v>
      </c>
      <c r="L4525" t="s">
        <v>3568</v>
      </c>
      <c r="M4525" t="s">
        <v>57</v>
      </c>
      <c r="N4525" t="str">
        <f>"015427"</f>
        <v>015427</v>
      </c>
      <c r="O4525" t="s">
        <v>12157</v>
      </c>
      <c r="P4525" t="s">
        <v>68</v>
      </c>
      <c r="Q4525">
        <v>99.6</v>
      </c>
      <c r="R4525">
        <v>96.6</v>
      </c>
      <c r="S4525" t="s">
        <v>60</v>
      </c>
    </row>
    <row r="4526" spans="1:19" x14ac:dyDescent="0.35">
      <c r="A4526">
        <v>557</v>
      </c>
      <c r="B4526" t="str">
        <f>"000557"</f>
        <v>000557</v>
      </c>
      <c r="C4526" t="s">
        <v>12987</v>
      </c>
      <c r="D4526" t="s">
        <v>4572</v>
      </c>
      <c r="E4526" t="s">
        <v>12048</v>
      </c>
      <c r="F4526" t="s">
        <v>3396</v>
      </c>
      <c r="G4526" t="s">
        <v>600</v>
      </c>
      <c r="H4526" t="s">
        <v>12988</v>
      </c>
      <c r="I4526" t="s">
        <v>12989</v>
      </c>
      <c r="J4526" t="s">
        <v>1348</v>
      </c>
      <c r="K4526" t="s">
        <v>55</v>
      </c>
      <c r="L4526" t="s">
        <v>3568</v>
      </c>
      <c r="M4526" t="s">
        <v>57</v>
      </c>
      <c r="N4526" t="str">
        <f>"015427"</f>
        <v>015427</v>
      </c>
      <c r="O4526" t="s">
        <v>12157</v>
      </c>
      <c r="P4526" t="s">
        <v>68</v>
      </c>
      <c r="Q4526">
        <v>99.6</v>
      </c>
      <c r="R4526">
        <v>96.6</v>
      </c>
      <c r="S4526" t="s">
        <v>60</v>
      </c>
    </row>
    <row r="4527" spans="1:19" x14ac:dyDescent="0.35">
      <c r="A4527">
        <v>556</v>
      </c>
      <c r="B4527" t="str">
        <f>"000556"</f>
        <v>000556</v>
      </c>
      <c r="C4527" t="s">
        <v>12990</v>
      </c>
      <c r="D4527" t="s">
        <v>3394</v>
      </c>
      <c r="E4527" t="s">
        <v>12048</v>
      </c>
      <c r="F4527" t="s">
        <v>3396</v>
      </c>
      <c r="G4527" t="s">
        <v>600</v>
      </c>
      <c r="H4527" t="s">
        <v>12991</v>
      </c>
      <c r="I4527" t="s">
        <v>12992</v>
      </c>
      <c r="J4527" t="s">
        <v>1348</v>
      </c>
      <c r="K4527" t="s">
        <v>55</v>
      </c>
      <c r="L4527" t="s">
        <v>4906</v>
      </c>
      <c r="M4527" t="s">
        <v>57</v>
      </c>
      <c r="N4527" t="str">
        <f>"020459"</f>
        <v>020459</v>
      </c>
      <c r="O4527" t="s">
        <v>12993</v>
      </c>
      <c r="P4527" t="s">
        <v>68</v>
      </c>
      <c r="Q4527">
        <v>100</v>
      </c>
      <c r="R4527">
        <v>100</v>
      </c>
      <c r="S4527" t="s">
        <v>60</v>
      </c>
    </row>
    <row r="4528" spans="1:19" x14ac:dyDescent="0.35">
      <c r="A4528">
        <v>556</v>
      </c>
      <c r="B4528" t="str">
        <f>"000556"</f>
        <v>000556</v>
      </c>
      <c r="C4528" t="s">
        <v>12990</v>
      </c>
      <c r="D4528" t="s">
        <v>12052</v>
      </c>
      <c r="E4528" t="s">
        <v>12048</v>
      </c>
      <c r="F4528" t="s">
        <v>3396</v>
      </c>
      <c r="G4528" t="s">
        <v>600</v>
      </c>
      <c r="H4528" t="s">
        <v>12991</v>
      </c>
      <c r="I4528" t="s">
        <v>12992</v>
      </c>
      <c r="J4528" t="s">
        <v>1348</v>
      </c>
      <c r="K4528" t="s">
        <v>55</v>
      </c>
      <c r="L4528" t="s">
        <v>4906</v>
      </c>
      <c r="M4528" t="s">
        <v>57</v>
      </c>
      <c r="N4528" t="str">
        <f>"020459"</f>
        <v>020459</v>
      </c>
      <c r="O4528" t="s">
        <v>12993</v>
      </c>
      <c r="P4528" t="s">
        <v>68</v>
      </c>
      <c r="Q4528">
        <v>100</v>
      </c>
      <c r="R4528">
        <v>100</v>
      </c>
      <c r="S4528" t="s">
        <v>60</v>
      </c>
    </row>
    <row r="4529" spans="1:19" x14ac:dyDescent="0.35">
      <c r="A4529">
        <v>559</v>
      </c>
      <c r="B4529" t="str">
        <f>"000559"</f>
        <v>000559</v>
      </c>
      <c r="C4529" t="s">
        <v>12994</v>
      </c>
      <c r="D4529" t="s">
        <v>3394</v>
      </c>
      <c r="E4529" t="s">
        <v>12048</v>
      </c>
      <c r="F4529" t="s">
        <v>3396</v>
      </c>
      <c r="G4529" t="s">
        <v>212</v>
      </c>
      <c r="H4529" t="s">
        <v>12995</v>
      </c>
      <c r="I4529" t="s">
        <v>12996</v>
      </c>
      <c r="J4529" t="s">
        <v>215</v>
      </c>
      <c r="K4529" t="s">
        <v>55</v>
      </c>
      <c r="L4529" t="s">
        <v>8002</v>
      </c>
      <c r="M4529" t="s">
        <v>57</v>
      </c>
      <c r="N4529" t="str">
        <f>"014980"</f>
        <v>014980</v>
      </c>
      <c r="O4529" t="s">
        <v>12538</v>
      </c>
      <c r="P4529" t="s">
        <v>68</v>
      </c>
      <c r="Q4529">
        <v>100</v>
      </c>
      <c r="R4529">
        <v>97.1</v>
      </c>
      <c r="S4529" t="s">
        <v>217</v>
      </c>
    </row>
    <row r="4530" spans="1:19" x14ac:dyDescent="0.35">
      <c r="A4530">
        <v>559</v>
      </c>
      <c r="B4530" t="str">
        <f>"000559"</f>
        <v>000559</v>
      </c>
      <c r="C4530" t="s">
        <v>12994</v>
      </c>
      <c r="D4530" t="s">
        <v>12052</v>
      </c>
      <c r="E4530" t="s">
        <v>12048</v>
      </c>
      <c r="F4530" t="s">
        <v>3396</v>
      </c>
      <c r="G4530" t="s">
        <v>212</v>
      </c>
      <c r="H4530" t="s">
        <v>12995</v>
      </c>
      <c r="I4530" t="s">
        <v>12996</v>
      </c>
      <c r="J4530" t="s">
        <v>215</v>
      </c>
      <c r="K4530" t="s">
        <v>55</v>
      </c>
      <c r="L4530" t="s">
        <v>8002</v>
      </c>
      <c r="M4530" t="s">
        <v>57</v>
      </c>
      <c r="N4530" t="str">
        <f>"014980"</f>
        <v>014980</v>
      </c>
      <c r="O4530" t="s">
        <v>12538</v>
      </c>
      <c r="P4530" t="s">
        <v>68</v>
      </c>
      <c r="Q4530">
        <v>100</v>
      </c>
      <c r="R4530">
        <v>97.1</v>
      </c>
      <c r="S4530" t="s">
        <v>217</v>
      </c>
    </row>
    <row r="4531" spans="1:19" x14ac:dyDescent="0.35">
      <c r="A4531">
        <v>560</v>
      </c>
      <c r="B4531" t="str">
        <f>"000560"</f>
        <v>000560</v>
      </c>
      <c r="C4531" t="s">
        <v>12997</v>
      </c>
      <c r="D4531" t="s">
        <v>3394</v>
      </c>
      <c r="E4531" t="s">
        <v>12048</v>
      </c>
      <c r="F4531" t="s">
        <v>3396</v>
      </c>
      <c r="G4531" t="s">
        <v>63</v>
      </c>
      <c r="H4531" t="s">
        <v>12998</v>
      </c>
      <c r="I4531" t="s">
        <v>12999</v>
      </c>
      <c r="J4531" t="s">
        <v>285</v>
      </c>
      <c r="K4531" t="s">
        <v>55</v>
      </c>
      <c r="L4531" t="s">
        <v>1237</v>
      </c>
      <c r="M4531" t="s">
        <v>57</v>
      </c>
      <c r="N4531" t="str">
        <f>"014980"</f>
        <v>014980</v>
      </c>
      <c r="O4531" t="s">
        <v>12538</v>
      </c>
      <c r="P4531" t="s">
        <v>68</v>
      </c>
      <c r="Q4531">
        <v>100</v>
      </c>
      <c r="R4531">
        <v>100</v>
      </c>
      <c r="S4531" t="s">
        <v>69</v>
      </c>
    </row>
    <row r="4532" spans="1:19" x14ac:dyDescent="0.35">
      <c r="A4532">
        <v>560</v>
      </c>
      <c r="B4532" t="str">
        <f>"000560"</f>
        <v>000560</v>
      </c>
      <c r="C4532" t="s">
        <v>12997</v>
      </c>
      <c r="D4532" t="s">
        <v>12052</v>
      </c>
      <c r="E4532" t="s">
        <v>12048</v>
      </c>
      <c r="F4532" t="s">
        <v>3396</v>
      </c>
      <c r="G4532" t="s">
        <v>63</v>
      </c>
      <c r="H4532" t="s">
        <v>12998</v>
      </c>
      <c r="I4532" t="s">
        <v>12999</v>
      </c>
      <c r="J4532" t="s">
        <v>285</v>
      </c>
      <c r="K4532" t="s">
        <v>55</v>
      </c>
      <c r="L4532" t="s">
        <v>1237</v>
      </c>
      <c r="M4532" t="s">
        <v>57</v>
      </c>
      <c r="N4532" t="str">
        <f>"014980"</f>
        <v>014980</v>
      </c>
      <c r="O4532" t="s">
        <v>12538</v>
      </c>
      <c r="P4532" t="s">
        <v>68</v>
      </c>
      <c r="Q4532">
        <v>100</v>
      </c>
      <c r="R4532">
        <v>100</v>
      </c>
      <c r="S4532" t="s">
        <v>69</v>
      </c>
    </row>
    <row r="4533" spans="1:19" x14ac:dyDescent="0.35">
      <c r="A4533">
        <v>575</v>
      </c>
      <c r="B4533" t="str">
        <f>"000575"</f>
        <v>000575</v>
      </c>
      <c r="C4533" t="s">
        <v>13000</v>
      </c>
      <c r="D4533" t="s">
        <v>3394</v>
      </c>
      <c r="E4533" t="s">
        <v>12048</v>
      </c>
      <c r="F4533" t="s">
        <v>3396</v>
      </c>
      <c r="G4533" t="s">
        <v>63</v>
      </c>
      <c r="H4533" t="s">
        <v>13001</v>
      </c>
      <c r="I4533" t="s">
        <v>13002</v>
      </c>
      <c r="J4533" t="s">
        <v>285</v>
      </c>
      <c r="K4533" t="s">
        <v>55</v>
      </c>
      <c r="L4533" t="s">
        <v>3458</v>
      </c>
      <c r="M4533" t="s">
        <v>57</v>
      </c>
      <c r="N4533" t="str">
        <f>"015427"</f>
        <v>015427</v>
      </c>
      <c r="O4533" t="s">
        <v>12157</v>
      </c>
      <c r="P4533" t="s">
        <v>68</v>
      </c>
      <c r="Q4533">
        <v>100</v>
      </c>
      <c r="R4533">
        <v>81.5</v>
      </c>
      <c r="S4533" t="s">
        <v>69</v>
      </c>
    </row>
    <row r="4534" spans="1:19" x14ac:dyDescent="0.35">
      <c r="A4534">
        <v>575</v>
      </c>
      <c r="B4534" t="str">
        <f>"000575"</f>
        <v>000575</v>
      </c>
      <c r="C4534" t="s">
        <v>13000</v>
      </c>
      <c r="D4534" t="s">
        <v>12052</v>
      </c>
      <c r="E4534" t="s">
        <v>12048</v>
      </c>
      <c r="F4534" t="s">
        <v>3396</v>
      </c>
      <c r="G4534" t="s">
        <v>63</v>
      </c>
      <c r="H4534" t="s">
        <v>13001</v>
      </c>
      <c r="I4534" t="s">
        <v>13002</v>
      </c>
      <c r="J4534" t="s">
        <v>285</v>
      </c>
      <c r="K4534" t="s">
        <v>55</v>
      </c>
      <c r="L4534" t="s">
        <v>3458</v>
      </c>
      <c r="M4534" t="s">
        <v>57</v>
      </c>
      <c r="N4534" t="str">
        <f>"015427"</f>
        <v>015427</v>
      </c>
      <c r="O4534" t="s">
        <v>12157</v>
      </c>
      <c r="P4534" t="s">
        <v>68</v>
      </c>
      <c r="Q4534">
        <v>100</v>
      </c>
      <c r="R4534">
        <v>81.5</v>
      </c>
      <c r="S4534" t="s">
        <v>69</v>
      </c>
    </row>
    <row r="4535" spans="1:19" x14ac:dyDescent="0.35">
      <c r="A4535">
        <v>575</v>
      </c>
      <c r="B4535" t="str">
        <f>"000575"</f>
        <v>000575</v>
      </c>
      <c r="C4535" t="s">
        <v>13000</v>
      </c>
      <c r="D4535" t="s">
        <v>12126</v>
      </c>
      <c r="E4535" t="s">
        <v>12048</v>
      </c>
      <c r="F4535" t="s">
        <v>3396</v>
      </c>
      <c r="G4535" t="s">
        <v>63</v>
      </c>
      <c r="H4535" t="s">
        <v>13001</v>
      </c>
      <c r="I4535" t="s">
        <v>13002</v>
      </c>
      <c r="J4535" t="s">
        <v>285</v>
      </c>
      <c r="K4535" t="s">
        <v>55</v>
      </c>
      <c r="L4535" t="s">
        <v>3458</v>
      </c>
      <c r="M4535" t="s">
        <v>57</v>
      </c>
      <c r="N4535" t="str">
        <f>"015427"</f>
        <v>015427</v>
      </c>
      <c r="O4535" t="s">
        <v>12157</v>
      </c>
      <c r="P4535" t="s">
        <v>68</v>
      </c>
      <c r="Q4535">
        <v>100</v>
      </c>
      <c r="R4535">
        <v>81.5</v>
      </c>
      <c r="S4535" t="s">
        <v>69</v>
      </c>
    </row>
    <row r="4536" spans="1:19" x14ac:dyDescent="0.35">
      <c r="A4536">
        <v>575</v>
      </c>
      <c r="B4536" t="str">
        <f>"000575"</f>
        <v>000575</v>
      </c>
      <c r="C4536" t="s">
        <v>13000</v>
      </c>
      <c r="D4536" t="s">
        <v>4572</v>
      </c>
      <c r="E4536" t="s">
        <v>12048</v>
      </c>
      <c r="F4536" t="s">
        <v>3396</v>
      </c>
      <c r="G4536" t="s">
        <v>63</v>
      </c>
      <c r="H4536" t="s">
        <v>13001</v>
      </c>
      <c r="I4536" t="s">
        <v>13002</v>
      </c>
      <c r="J4536" t="s">
        <v>285</v>
      </c>
      <c r="K4536" t="s">
        <v>55</v>
      </c>
      <c r="L4536" t="s">
        <v>3458</v>
      </c>
      <c r="M4536" t="s">
        <v>57</v>
      </c>
      <c r="N4536" t="str">
        <f>"015427"</f>
        <v>015427</v>
      </c>
      <c r="O4536" t="s">
        <v>12157</v>
      </c>
      <c r="P4536" t="s">
        <v>68</v>
      </c>
      <c r="Q4536">
        <v>100</v>
      </c>
      <c r="R4536">
        <v>81.5</v>
      </c>
      <c r="S4536" t="s">
        <v>69</v>
      </c>
    </row>
    <row r="4537" spans="1:19" x14ac:dyDescent="0.35">
      <c r="A4537">
        <v>576</v>
      </c>
      <c r="B4537" t="str">
        <f>"000576"</f>
        <v>000576</v>
      </c>
      <c r="C4537" t="s">
        <v>13003</v>
      </c>
      <c r="D4537" t="s">
        <v>3394</v>
      </c>
      <c r="E4537" t="s">
        <v>12048</v>
      </c>
      <c r="F4537" t="s">
        <v>3396</v>
      </c>
      <c r="G4537" t="s">
        <v>212</v>
      </c>
      <c r="H4537" t="s">
        <v>13004</v>
      </c>
      <c r="I4537" t="s">
        <v>13005</v>
      </c>
      <c r="J4537" t="s">
        <v>215</v>
      </c>
      <c r="K4537" t="s">
        <v>55</v>
      </c>
      <c r="L4537" t="s">
        <v>4487</v>
      </c>
      <c r="M4537" t="s">
        <v>57</v>
      </c>
      <c r="N4537" t="str">
        <f>"019070"</f>
        <v>019070</v>
      </c>
      <c r="O4537" t="s">
        <v>12133</v>
      </c>
      <c r="P4537" t="s">
        <v>68</v>
      </c>
      <c r="Q4537">
        <v>98.9</v>
      </c>
      <c r="R4537">
        <v>100</v>
      </c>
      <c r="S4537" t="s">
        <v>217</v>
      </c>
    </row>
    <row r="4538" spans="1:19" x14ac:dyDescent="0.35">
      <c r="A4538">
        <v>576</v>
      </c>
      <c r="B4538" t="str">
        <f>"000576"</f>
        <v>000576</v>
      </c>
      <c r="C4538" t="s">
        <v>13003</v>
      </c>
      <c r="D4538" t="s">
        <v>12052</v>
      </c>
      <c r="E4538" t="s">
        <v>12048</v>
      </c>
      <c r="F4538" t="s">
        <v>3396</v>
      </c>
      <c r="G4538" t="s">
        <v>212</v>
      </c>
      <c r="H4538" t="s">
        <v>13004</v>
      </c>
      <c r="I4538" t="s">
        <v>13005</v>
      </c>
      <c r="J4538" t="s">
        <v>215</v>
      </c>
      <c r="K4538" t="s">
        <v>55</v>
      </c>
      <c r="L4538" t="s">
        <v>4487</v>
      </c>
      <c r="M4538" t="s">
        <v>57</v>
      </c>
      <c r="N4538" t="str">
        <f>"019070"</f>
        <v>019070</v>
      </c>
      <c r="O4538" t="s">
        <v>12133</v>
      </c>
      <c r="P4538" t="s">
        <v>68</v>
      </c>
      <c r="Q4538">
        <v>98.9</v>
      </c>
      <c r="R4538">
        <v>100</v>
      </c>
      <c r="S4538" t="s">
        <v>217</v>
      </c>
    </row>
    <row r="4539" spans="1:19" x14ac:dyDescent="0.35">
      <c r="A4539">
        <v>577</v>
      </c>
      <c r="B4539" t="str">
        <f>"000577"</f>
        <v>000577</v>
      </c>
      <c r="C4539" t="s">
        <v>13006</v>
      </c>
      <c r="D4539" t="s">
        <v>3394</v>
      </c>
      <c r="E4539" t="s">
        <v>12048</v>
      </c>
      <c r="F4539" t="s">
        <v>3396</v>
      </c>
      <c r="G4539" t="s">
        <v>543</v>
      </c>
      <c r="H4539" t="s">
        <v>13007</v>
      </c>
      <c r="I4539" t="s">
        <v>13008</v>
      </c>
      <c r="J4539" t="s">
        <v>687</v>
      </c>
      <c r="K4539" t="s">
        <v>55</v>
      </c>
      <c r="L4539" t="s">
        <v>9900</v>
      </c>
      <c r="M4539" t="s">
        <v>57</v>
      </c>
      <c r="N4539" t="str">
        <f>"014980"</f>
        <v>014980</v>
      </c>
      <c r="O4539" t="s">
        <v>12538</v>
      </c>
      <c r="P4539" t="s">
        <v>68</v>
      </c>
      <c r="Q4539">
        <v>100</v>
      </c>
      <c r="R4539">
        <v>77.2</v>
      </c>
      <c r="S4539" t="s">
        <v>180</v>
      </c>
    </row>
    <row r="4540" spans="1:19" x14ac:dyDescent="0.35">
      <c r="A4540">
        <v>577</v>
      </c>
      <c r="B4540" t="str">
        <f>"000577"</f>
        <v>000577</v>
      </c>
      <c r="C4540" t="s">
        <v>13006</v>
      </c>
      <c r="D4540" t="s">
        <v>12052</v>
      </c>
      <c r="E4540" t="s">
        <v>12048</v>
      </c>
      <c r="F4540" t="s">
        <v>3396</v>
      </c>
      <c r="G4540" t="s">
        <v>543</v>
      </c>
      <c r="H4540" t="s">
        <v>13007</v>
      </c>
      <c r="I4540" t="s">
        <v>13008</v>
      </c>
      <c r="J4540" t="s">
        <v>687</v>
      </c>
      <c r="K4540" t="s">
        <v>55</v>
      </c>
      <c r="L4540" t="s">
        <v>9900</v>
      </c>
      <c r="M4540" t="s">
        <v>57</v>
      </c>
      <c r="N4540" t="str">
        <f>"014980"</f>
        <v>014980</v>
      </c>
      <c r="O4540" t="s">
        <v>12538</v>
      </c>
      <c r="P4540" t="s">
        <v>68</v>
      </c>
      <c r="Q4540">
        <v>100</v>
      </c>
      <c r="R4540">
        <v>77.2</v>
      </c>
      <c r="S4540" t="s">
        <v>180</v>
      </c>
    </row>
    <row r="4541" spans="1:19" x14ac:dyDescent="0.35">
      <c r="A4541">
        <v>598</v>
      </c>
      <c r="B4541" t="str">
        <f>"000598"</f>
        <v>000598</v>
      </c>
      <c r="C4541" t="s">
        <v>13009</v>
      </c>
      <c r="D4541" t="s">
        <v>3398</v>
      </c>
      <c r="E4541" t="s">
        <v>12048</v>
      </c>
      <c r="F4541" t="s">
        <v>3396</v>
      </c>
      <c r="G4541" t="s">
        <v>1613</v>
      </c>
      <c r="H4541" t="s">
        <v>4563</v>
      </c>
      <c r="I4541" t="s">
        <v>4564</v>
      </c>
      <c r="J4541" t="s">
        <v>1613</v>
      </c>
      <c r="K4541" t="s">
        <v>55</v>
      </c>
      <c r="L4541" t="s">
        <v>1616</v>
      </c>
      <c r="M4541" t="s">
        <v>57</v>
      </c>
      <c r="N4541" t="str">
        <f>"N/A"</f>
        <v>N/A</v>
      </c>
      <c r="O4541" t="s">
        <v>49</v>
      </c>
      <c r="P4541" t="s">
        <v>68</v>
      </c>
      <c r="Q4541">
        <v>100</v>
      </c>
      <c r="R4541">
        <v>10.900000000000006</v>
      </c>
      <c r="S4541" t="s">
        <v>130</v>
      </c>
    </row>
    <row r="4542" spans="1:19" x14ac:dyDescent="0.35">
      <c r="A4542">
        <v>598</v>
      </c>
      <c r="B4542" t="str">
        <f>"000598"</f>
        <v>000598</v>
      </c>
      <c r="C4542" t="s">
        <v>13009</v>
      </c>
      <c r="D4542" t="s">
        <v>12052</v>
      </c>
      <c r="E4542" t="s">
        <v>12048</v>
      </c>
      <c r="F4542" t="s">
        <v>3396</v>
      </c>
      <c r="G4542" t="s">
        <v>1613</v>
      </c>
      <c r="H4542" t="s">
        <v>4563</v>
      </c>
      <c r="I4542" t="s">
        <v>4564</v>
      </c>
      <c r="J4542" t="s">
        <v>1613</v>
      </c>
      <c r="K4542" t="s">
        <v>55</v>
      </c>
      <c r="L4542" t="s">
        <v>1616</v>
      </c>
      <c r="M4542" t="s">
        <v>57</v>
      </c>
      <c r="N4542" t="str">
        <f>"N/A"</f>
        <v>N/A</v>
      </c>
      <c r="O4542" t="s">
        <v>49</v>
      </c>
      <c r="P4542" t="s">
        <v>68</v>
      </c>
      <c r="Q4542">
        <v>100</v>
      </c>
      <c r="R4542">
        <v>10.900000000000006</v>
      </c>
      <c r="S4542" t="s">
        <v>130</v>
      </c>
    </row>
    <row r="4543" spans="1:19" x14ac:dyDescent="0.35">
      <c r="A4543">
        <v>598</v>
      </c>
      <c r="B4543" t="str">
        <f>"000598"</f>
        <v>000598</v>
      </c>
      <c r="C4543" t="s">
        <v>13009</v>
      </c>
      <c r="D4543" t="s">
        <v>12063</v>
      </c>
      <c r="E4543" t="s">
        <v>12048</v>
      </c>
      <c r="F4543" t="s">
        <v>3396</v>
      </c>
      <c r="G4543" t="s">
        <v>1613</v>
      </c>
      <c r="H4543" t="s">
        <v>4563</v>
      </c>
      <c r="I4543" t="s">
        <v>4564</v>
      </c>
      <c r="J4543" t="s">
        <v>1613</v>
      </c>
      <c r="K4543" t="s">
        <v>55</v>
      </c>
      <c r="L4543" t="s">
        <v>1616</v>
      </c>
      <c r="M4543" t="s">
        <v>57</v>
      </c>
      <c r="N4543" t="str">
        <f>"N/A"</f>
        <v>N/A</v>
      </c>
      <c r="O4543" t="s">
        <v>49</v>
      </c>
      <c r="P4543" t="s">
        <v>68</v>
      </c>
      <c r="Q4543">
        <v>100</v>
      </c>
      <c r="R4543">
        <v>10.900000000000006</v>
      </c>
      <c r="S4543" t="s">
        <v>130</v>
      </c>
    </row>
    <row r="4544" spans="1:19" x14ac:dyDescent="0.35">
      <c r="A4544">
        <v>601</v>
      </c>
      <c r="B4544" t="str">
        <f>"000601"</f>
        <v>000601</v>
      </c>
      <c r="C4544" t="s">
        <v>13010</v>
      </c>
      <c r="D4544" t="s">
        <v>3394</v>
      </c>
      <c r="E4544" t="s">
        <v>9538</v>
      </c>
      <c r="F4544" t="s">
        <v>3396</v>
      </c>
      <c r="G4544" t="s">
        <v>172</v>
      </c>
      <c r="H4544" t="s">
        <v>13011</v>
      </c>
      <c r="I4544" t="s">
        <v>13012</v>
      </c>
      <c r="J4544" t="s">
        <v>629</v>
      </c>
      <c r="K4544" t="s">
        <v>55</v>
      </c>
      <c r="L4544" t="s">
        <v>630</v>
      </c>
      <c r="M4544" t="s">
        <v>57</v>
      </c>
      <c r="N4544" t="str">
        <f>"000601"</f>
        <v>000601</v>
      </c>
      <c r="O4544" t="s">
        <v>13010</v>
      </c>
      <c r="P4544" t="s">
        <v>68</v>
      </c>
      <c r="Q4544" t="s">
        <v>68</v>
      </c>
      <c r="R4544" t="s">
        <v>68</v>
      </c>
      <c r="S4544" t="s">
        <v>217</v>
      </c>
    </row>
    <row r="4545" spans="1:19" x14ac:dyDescent="0.35">
      <c r="A4545">
        <v>608</v>
      </c>
      <c r="B4545" t="str">
        <f>"000608"</f>
        <v>000608</v>
      </c>
      <c r="C4545" t="s">
        <v>13013</v>
      </c>
      <c r="D4545" t="s">
        <v>3398</v>
      </c>
      <c r="E4545" t="s">
        <v>12048</v>
      </c>
      <c r="F4545" t="s">
        <v>3396</v>
      </c>
      <c r="G4545" t="s">
        <v>212</v>
      </c>
      <c r="H4545" t="s">
        <v>13014</v>
      </c>
      <c r="I4545" t="s">
        <v>13015</v>
      </c>
      <c r="J4545" t="s">
        <v>215</v>
      </c>
      <c r="K4545" t="s">
        <v>55</v>
      </c>
      <c r="L4545" t="s">
        <v>4487</v>
      </c>
      <c r="M4545" t="s">
        <v>57</v>
      </c>
      <c r="N4545" t="str">
        <f t="shared" ref="N4545:N4550" si="24">"014992"</f>
        <v>014992</v>
      </c>
      <c r="O4545" t="s">
        <v>12051</v>
      </c>
      <c r="P4545" t="s">
        <v>68</v>
      </c>
      <c r="Q4545">
        <v>100</v>
      </c>
      <c r="R4545">
        <v>65.5</v>
      </c>
      <c r="S4545" t="s">
        <v>217</v>
      </c>
    </row>
    <row r="4546" spans="1:19" x14ac:dyDescent="0.35">
      <c r="A4546">
        <v>608</v>
      </c>
      <c r="B4546" t="str">
        <f>"000608"</f>
        <v>000608</v>
      </c>
      <c r="C4546" t="s">
        <v>13013</v>
      </c>
      <c r="D4546" t="s">
        <v>12052</v>
      </c>
      <c r="E4546" t="s">
        <v>12048</v>
      </c>
      <c r="F4546" t="s">
        <v>3396</v>
      </c>
      <c r="G4546" t="s">
        <v>212</v>
      </c>
      <c r="H4546" t="s">
        <v>13014</v>
      </c>
      <c r="I4546" t="s">
        <v>13015</v>
      </c>
      <c r="J4546" t="s">
        <v>215</v>
      </c>
      <c r="K4546" t="s">
        <v>55</v>
      </c>
      <c r="L4546" t="s">
        <v>4487</v>
      </c>
      <c r="M4546" t="s">
        <v>57</v>
      </c>
      <c r="N4546" t="str">
        <f t="shared" si="24"/>
        <v>014992</v>
      </c>
      <c r="O4546" t="s">
        <v>12051</v>
      </c>
      <c r="P4546" t="s">
        <v>68</v>
      </c>
      <c r="Q4546">
        <v>100</v>
      </c>
      <c r="R4546">
        <v>65.5</v>
      </c>
      <c r="S4546" t="s">
        <v>217</v>
      </c>
    </row>
    <row r="4547" spans="1:19" x14ac:dyDescent="0.35">
      <c r="A4547">
        <v>609</v>
      </c>
      <c r="B4547" t="str">
        <f>"000609"</f>
        <v>000609</v>
      </c>
      <c r="C4547" t="s">
        <v>13016</v>
      </c>
      <c r="D4547" t="s">
        <v>3398</v>
      </c>
      <c r="E4547" t="s">
        <v>12048</v>
      </c>
      <c r="F4547" t="s">
        <v>3396</v>
      </c>
      <c r="G4547" t="s">
        <v>143</v>
      </c>
      <c r="H4547" t="s">
        <v>13017</v>
      </c>
      <c r="I4547" t="s">
        <v>13018</v>
      </c>
      <c r="J4547" t="s">
        <v>143</v>
      </c>
      <c r="K4547" t="s">
        <v>55</v>
      </c>
      <c r="L4547" t="s">
        <v>1033</v>
      </c>
      <c r="M4547" t="s">
        <v>57</v>
      </c>
      <c r="N4547" t="str">
        <f t="shared" si="24"/>
        <v>014992</v>
      </c>
      <c r="O4547" t="s">
        <v>12051</v>
      </c>
      <c r="P4547" t="s">
        <v>68</v>
      </c>
      <c r="Q4547">
        <v>100</v>
      </c>
      <c r="R4547">
        <v>42</v>
      </c>
      <c r="S4547" t="s">
        <v>69</v>
      </c>
    </row>
    <row r="4548" spans="1:19" x14ac:dyDescent="0.35">
      <c r="A4548">
        <v>609</v>
      </c>
      <c r="B4548" t="str">
        <f>"000609"</f>
        <v>000609</v>
      </c>
      <c r="C4548" t="s">
        <v>13016</v>
      </c>
      <c r="D4548" t="s">
        <v>12052</v>
      </c>
      <c r="E4548" t="s">
        <v>12048</v>
      </c>
      <c r="F4548" t="s">
        <v>3396</v>
      </c>
      <c r="G4548" t="s">
        <v>143</v>
      </c>
      <c r="H4548" t="s">
        <v>13017</v>
      </c>
      <c r="I4548" t="s">
        <v>13018</v>
      </c>
      <c r="J4548" t="s">
        <v>143</v>
      </c>
      <c r="K4548" t="s">
        <v>55</v>
      </c>
      <c r="L4548" t="s">
        <v>1033</v>
      </c>
      <c r="M4548" t="s">
        <v>57</v>
      </c>
      <c r="N4548" t="str">
        <f t="shared" si="24"/>
        <v>014992</v>
      </c>
      <c r="O4548" t="s">
        <v>12051</v>
      </c>
      <c r="P4548" t="s">
        <v>68</v>
      </c>
      <c r="Q4548">
        <v>100</v>
      </c>
      <c r="R4548">
        <v>42</v>
      </c>
      <c r="S4548" t="s">
        <v>69</v>
      </c>
    </row>
    <row r="4549" spans="1:19" x14ac:dyDescent="0.35">
      <c r="A4549">
        <v>610</v>
      </c>
      <c r="B4549" t="str">
        <f>"000610"</f>
        <v>000610</v>
      </c>
      <c r="C4549" t="s">
        <v>13019</v>
      </c>
      <c r="D4549" t="s">
        <v>3400</v>
      </c>
      <c r="E4549" t="s">
        <v>12048</v>
      </c>
      <c r="F4549" t="s">
        <v>3396</v>
      </c>
      <c r="G4549" t="s">
        <v>600</v>
      </c>
      <c r="H4549" t="s">
        <v>13020</v>
      </c>
      <c r="I4549" t="s">
        <v>13021</v>
      </c>
      <c r="J4549" t="s">
        <v>1348</v>
      </c>
      <c r="K4549" t="s">
        <v>55</v>
      </c>
      <c r="L4549" t="s">
        <v>2733</v>
      </c>
      <c r="M4549" t="s">
        <v>57</v>
      </c>
      <c r="N4549" t="str">
        <f t="shared" si="24"/>
        <v>014992</v>
      </c>
      <c r="O4549" t="s">
        <v>12051</v>
      </c>
      <c r="P4549" t="s">
        <v>68</v>
      </c>
      <c r="Q4549">
        <v>100</v>
      </c>
      <c r="R4549">
        <v>63.6</v>
      </c>
      <c r="S4549" t="s">
        <v>60</v>
      </c>
    </row>
    <row r="4550" spans="1:19" x14ac:dyDescent="0.35">
      <c r="A4550">
        <v>610</v>
      </c>
      <c r="B4550" t="str">
        <f>"000610"</f>
        <v>000610</v>
      </c>
      <c r="C4550" t="s">
        <v>13019</v>
      </c>
      <c r="D4550" t="s">
        <v>12052</v>
      </c>
      <c r="E4550" t="s">
        <v>12048</v>
      </c>
      <c r="F4550" t="s">
        <v>3396</v>
      </c>
      <c r="G4550" t="s">
        <v>600</v>
      </c>
      <c r="H4550" t="s">
        <v>13020</v>
      </c>
      <c r="I4550" t="s">
        <v>13021</v>
      </c>
      <c r="J4550" t="s">
        <v>1348</v>
      </c>
      <c r="K4550" t="s">
        <v>55</v>
      </c>
      <c r="L4550" t="s">
        <v>2733</v>
      </c>
      <c r="M4550" t="s">
        <v>57</v>
      </c>
      <c r="N4550" t="str">
        <f t="shared" si="24"/>
        <v>014992</v>
      </c>
      <c r="O4550" t="s">
        <v>12051</v>
      </c>
      <c r="P4550" t="s">
        <v>68</v>
      </c>
      <c r="Q4550">
        <v>100</v>
      </c>
      <c r="R4550">
        <v>63.6</v>
      </c>
      <c r="S4550" t="s">
        <v>60</v>
      </c>
    </row>
    <row r="4551" spans="1:19" x14ac:dyDescent="0.35">
      <c r="A4551">
        <v>613</v>
      </c>
      <c r="B4551" t="str">
        <f>"000613"</f>
        <v>000613</v>
      </c>
      <c r="C4551" t="s">
        <v>13022</v>
      </c>
      <c r="D4551" t="s">
        <v>3394</v>
      </c>
      <c r="E4551" t="s">
        <v>12048</v>
      </c>
      <c r="F4551" t="s">
        <v>3396</v>
      </c>
      <c r="G4551" t="s">
        <v>1193</v>
      </c>
      <c r="H4551" t="s">
        <v>13023</v>
      </c>
      <c r="I4551" t="s">
        <v>13024</v>
      </c>
      <c r="J4551" t="s">
        <v>1196</v>
      </c>
      <c r="K4551" t="s">
        <v>55</v>
      </c>
      <c r="L4551" t="s">
        <v>1197</v>
      </c>
      <c r="M4551" t="s">
        <v>57</v>
      </c>
      <c r="N4551" t="str">
        <f>"N/A"</f>
        <v>N/A</v>
      </c>
      <c r="O4551" t="s">
        <v>49</v>
      </c>
      <c r="P4551" t="s">
        <v>68</v>
      </c>
      <c r="Q4551">
        <v>95.7</v>
      </c>
      <c r="R4551">
        <v>79.099999999999994</v>
      </c>
      <c r="S4551" t="s">
        <v>156</v>
      </c>
    </row>
    <row r="4552" spans="1:19" x14ac:dyDescent="0.35">
      <c r="A4552">
        <v>613</v>
      </c>
      <c r="B4552" t="str">
        <f>"000613"</f>
        <v>000613</v>
      </c>
      <c r="C4552" t="s">
        <v>13022</v>
      </c>
      <c r="D4552" t="s">
        <v>12052</v>
      </c>
      <c r="E4552" t="s">
        <v>12048</v>
      </c>
      <c r="F4552" t="s">
        <v>3396</v>
      </c>
      <c r="G4552" t="s">
        <v>1193</v>
      </c>
      <c r="H4552" t="s">
        <v>13023</v>
      </c>
      <c r="I4552" t="s">
        <v>13024</v>
      </c>
      <c r="J4552" t="s">
        <v>1196</v>
      </c>
      <c r="K4552" t="s">
        <v>55</v>
      </c>
      <c r="L4552" t="s">
        <v>1197</v>
      </c>
      <c r="M4552" t="s">
        <v>57</v>
      </c>
      <c r="N4552" t="str">
        <f>"N/A"</f>
        <v>N/A</v>
      </c>
      <c r="O4552" t="s">
        <v>49</v>
      </c>
      <c r="P4552" t="s">
        <v>68</v>
      </c>
      <c r="Q4552">
        <v>95.7</v>
      </c>
      <c r="R4552">
        <v>79.099999999999994</v>
      </c>
      <c r="S4552" t="s">
        <v>156</v>
      </c>
    </row>
    <row r="4553" spans="1:19" x14ac:dyDescent="0.35">
      <c r="A4553">
        <v>614</v>
      </c>
      <c r="B4553" t="str">
        <f>"000614"</f>
        <v>000614</v>
      </c>
      <c r="C4553" t="s">
        <v>13025</v>
      </c>
      <c r="D4553" t="s">
        <v>3398</v>
      </c>
      <c r="E4553" t="s">
        <v>12048</v>
      </c>
      <c r="F4553" t="s">
        <v>3396</v>
      </c>
      <c r="G4553" t="s">
        <v>600</v>
      </c>
      <c r="H4553" t="s">
        <v>13026</v>
      </c>
      <c r="I4553" t="s">
        <v>13027</v>
      </c>
      <c r="J4553" t="s">
        <v>1348</v>
      </c>
      <c r="K4553" t="s">
        <v>55</v>
      </c>
      <c r="L4553" t="s">
        <v>2733</v>
      </c>
      <c r="M4553" t="s">
        <v>57</v>
      </c>
      <c r="N4553" t="str">
        <f t="shared" ref="N4553:N4562" si="25">"014992"</f>
        <v>014992</v>
      </c>
      <c r="O4553" t="s">
        <v>12051</v>
      </c>
      <c r="P4553" t="s">
        <v>68</v>
      </c>
      <c r="Q4553">
        <v>97</v>
      </c>
      <c r="R4553">
        <v>69.7</v>
      </c>
      <c r="S4553" t="s">
        <v>60</v>
      </c>
    </row>
    <row r="4554" spans="1:19" x14ac:dyDescent="0.35">
      <c r="A4554">
        <v>614</v>
      </c>
      <c r="B4554" t="str">
        <f>"000614"</f>
        <v>000614</v>
      </c>
      <c r="C4554" t="s">
        <v>13025</v>
      </c>
      <c r="D4554" t="s">
        <v>12052</v>
      </c>
      <c r="E4554" t="s">
        <v>12048</v>
      </c>
      <c r="F4554" t="s">
        <v>3396</v>
      </c>
      <c r="G4554" t="s">
        <v>600</v>
      </c>
      <c r="H4554" t="s">
        <v>13026</v>
      </c>
      <c r="I4554" t="s">
        <v>13027</v>
      </c>
      <c r="J4554" t="s">
        <v>1348</v>
      </c>
      <c r="K4554" t="s">
        <v>55</v>
      </c>
      <c r="L4554" t="s">
        <v>2733</v>
      </c>
      <c r="M4554" t="s">
        <v>57</v>
      </c>
      <c r="N4554" t="str">
        <f t="shared" si="25"/>
        <v>014992</v>
      </c>
      <c r="O4554" t="s">
        <v>12051</v>
      </c>
      <c r="P4554" t="s">
        <v>68</v>
      </c>
      <c r="Q4554">
        <v>97</v>
      </c>
      <c r="R4554">
        <v>69.7</v>
      </c>
      <c r="S4554" t="s">
        <v>60</v>
      </c>
    </row>
    <row r="4555" spans="1:19" x14ac:dyDescent="0.35">
      <c r="A4555">
        <v>616</v>
      </c>
      <c r="B4555" t="str">
        <f>"000616"</f>
        <v>000616</v>
      </c>
      <c r="C4555" t="s">
        <v>13028</v>
      </c>
      <c r="D4555" t="s">
        <v>3400</v>
      </c>
      <c r="E4555" t="s">
        <v>12048</v>
      </c>
      <c r="F4555" t="s">
        <v>3396</v>
      </c>
      <c r="G4555" t="s">
        <v>169</v>
      </c>
      <c r="H4555" t="s">
        <v>13029</v>
      </c>
      <c r="I4555" t="s">
        <v>13030</v>
      </c>
      <c r="J4555" t="s">
        <v>172</v>
      </c>
      <c r="K4555" t="s">
        <v>55</v>
      </c>
      <c r="L4555" t="s">
        <v>13031</v>
      </c>
      <c r="M4555" t="s">
        <v>57</v>
      </c>
      <c r="N4555" t="str">
        <f t="shared" si="25"/>
        <v>014992</v>
      </c>
      <c r="O4555" t="s">
        <v>12051</v>
      </c>
      <c r="P4555" t="s">
        <v>68</v>
      </c>
      <c r="Q4555">
        <v>100</v>
      </c>
      <c r="R4555">
        <v>28.200000000000003</v>
      </c>
      <c r="S4555" t="s">
        <v>77</v>
      </c>
    </row>
    <row r="4556" spans="1:19" x14ac:dyDescent="0.35">
      <c r="A4556">
        <v>616</v>
      </c>
      <c r="B4556" t="str">
        <f>"000616"</f>
        <v>000616</v>
      </c>
      <c r="C4556" t="s">
        <v>13028</v>
      </c>
      <c r="D4556" t="s">
        <v>12052</v>
      </c>
      <c r="E4556" t="s">
        <v>12048</v>
      </c>
      <c r="F4556" t="s">
        <v>3396</v>
      </c>
      <c r="G4556" t="s">
        <v>169</v>
      </c>
      <c r="H4556" t="s">
        <v>13029</v>
      </c>
      <c r="I4556" t="s">
        <v>13030</v>
      </c>
      <c r="J4556" t="s">
        <v>172</v>
      </c>
      <c r="K4556" t="s">
        <v>55</v>
      </c>
      <c r="L4556" t="s">
        <v>13031</v>
      </c>
      <c r="M4556" t="s">
        <v>57</v>
      </c>
      <c r="N4556" t="str">
        <f t="shared" si="25"/>
        <v>014992</v>
      </c>
      <c r="O4556" t="s">
        <v>12051</v>
      </c>
      <c r="P4556" t="s">
        <v>68</v>
      </c>
      <c r="Q4556">
        <v>100</v>
      </c>
      <c r="R4556">
        <v>28.200000000000003</v>
      </c>
      <c r="S4556" t="s">
        <v>77</v>
      </c>
    </row>
    <row r="4557" spans="1:19" x14ac:dyDescent="0.35">
      <c r="A4557">
        <v>621</v>
      </c>
      <c r="B4557" t="str">
        <f>"000621"</f>
        <v>000621</v>
      </c>
      <c r="C4557" t="s">
        <v>13032</v>
      </c>
      <c r="D4557" t="s">
        <v>3398</v>
      </c>
      <c r="E4557" t="s">
        <v>12048</v>
      </c>
      <c r="F4557" t="s">
        <v>3396</v>
      </c>
      <c r="G4557" t="s">
        <v>543</v>
      </c>
      <c r="H4557" t="s">
        <v>13033</v>
      </c>
      <c r="I4557" t="s">
        <v>13034</v>
      </c>
      <c r="J4557" t="s">
        <v>687</v>
      </c>
      <c r="K4557" t="s">
        <v>55</v>
      </c>
      <c r="L4557" t="s">
        <v>10659</v>
      </c>
      <c r="M4557" t="s">
        <v>57</v>
      </c>
      <c r="N4557" t="str">
        <f t="shared" si="25"/>
        <v>014992</v>
      </c>
      <c r="O4557" t="s">
        <v>12051</v>
      </c>
      <c r="P4557" t="s">
        <v>68</v>
      </c>
      <c r="Q4557">
        <v>100</v>
      </c>
      <c r="R4557">
        <v>49.3</v>
      </c>
      <c r="S4557" t="s">
        <v>180</v>
      </c>
    </row>
    <row r="4558" spans="1:19" x14ac:dyDescent="0.35">
      <c r="A4558">
        <v>621</v>
      </c>
      <c r="B4558" t="str">
        <f>"000621"</f>
        <v>000621</v>
      </c>
      <c r="C4558" t="s">
        <v>13032</v>
      </c>
      <c r="D4558" t="s">
        <v>12052</v>
      </c>
      <c r="E4558" t="s">
        <v>12048</v>
      </c>
      <c r="F4558" t="s">
        <v>3396</v>
      </c>
      <c r="G4558" t="s">
        <v>543</v>
      </c>
      <c r="H4558" t="s">
        <v>13033</v>
      </c>
      <c r="I4558" t="s">
        <v>13034</v>
      </c>
      <c r="J4558" t="s">
        <v>687</v>
      </c>
      <c r="K4558" t="s">
        <v>55</v>
      </c>
      <c r="L4558" t="s">
        <v>10659</v>
      </c>
      <c r="M4558" t="s">
        <v>57</v>
      </c>
      <c r="N4558" t="str">
        <f t="shared" si="25"/>
        <v>014992</v>
      </c>
      <c r="O4558" t="s">
        <v>12051</v>
      </c>
      <c r="P4558" t="s">
        <v>68</v>
      </c>
      <c r="Q4558">
        <v>100</v>
      </c>
      <c r="R4558">
        <v>49.3</v>
      </c>
      <c r="S4558" t="s">
        <v>180</v>
      </c>
    </row>
    <row r="4559" spans="1:19" x14ac:dyDescent="0.35">
      <c r="A4559">
        <v>623</v>
      </c>
      <c r="B4559" t="str">
        <f>"000623"</f>
        <v>000623</v>
      </c>
      <c r="C4559" t="s">
        <v>13035</v>
      </c>
      <c r="D4559" t="s">
        <v>3394</v>
      </c>
      <c r="E4559" t="s">
        <v>12048</v>
      </c>
      <c r="F4559" t="s">
        <v>3396</v>
      </c>
      <c r="G4559" t="s">
        <v>383</v>
      </c>
      <c r="H4559" t="s">
        <v>13036</v>
      </c>
      <c r="I4559" t="s">
        <v>13037</v>
      </c>
      <c r="J4559" t="s">
        <v>1215</v>
      </c>
      <c r="K4559" t="s">
        <v>55</v>
      </c>
      <c r="L4559" t="s">
        <v>4319</v>
      </c>
      <c r="M4559" t="s">
        <v>57</v>
      </c>
      <c r="N4559" t="str">
        <f t="shared" si="25"/>
        <v>014992</v>
      </c>
      <c r="O4559" t="s">
        <v>12051</v>
      </c>
      <c r="P4559" t="s">
        <v>68</v>
      </c>
      <c r="Q4559">
        <v>100</v>
      </c>
      <c r="R4559">
        <v>51.4</v>
      </c>
      <c r="S4559" t="s">
        <v>77</v>
      </c>
    </row>
    <row r="4560" spans="1:19" x14ac:dyDescent="0.35">
      <c r="A4560">
        <v>623</v>
      </c>
      <c r="B4560" t="str">
        <f>"000623"</f>
        <v>000623</v>
      </c>
      <c r="C4560" t="s">
        <v>13035</v>
      </c>
      <c r="D4560" t="s">
        <v>12052</v>
      </c>
      <c r="E4560" t="s">
        <v>12048</v>
      </c>
      <c r="F4560" t="s">
        <v>3396</v>
      </c>
      <c r="G4560" t="s">
        <v>383</v>
      </c>
      <c r="H4560" t="s">
        <v>13036</v>
      </c>
      <c r="I4560" t="s">
        <v>13037</v>
      </c>
      <c r="J4560" t="s">
        <v>1215</v>
      </c>
      <c r="K4560" t="s">
        <v>55</v>
      </c>
      <c r="L4560" t="s">
        <v>4319</v>
      </c>
      <c r="M4560" t="s">
        <v>57</v>
      </c>
      <c r="N4560" t="str">
        <f t="shared" si="25"/>
        <v>014992</v>
      </c>
      <c r="O4560" t="s">
        <v>12051</v>
      </c>
      <c r="P4560" t="s">
        <v>68</v>
      </c>
      <c r="Q4560">
        <v>100</v>
      </c>
      <c r="R4560">
        <v>51.4</v>
      </c>
      <c r="S4560" t="s">
        <v>77</v>
      </c>
    </row>
    <row r="4561" spans="1:19" x14ac:dyDescent="0.35">
      <c r="A4561">
        <v>634</v>
      </c>
      <c r="B4561" t="str">
        <f>"000634"</f>
        <v>000634</v>
      </c>
      <c r="C4561" t="s">
        <v>13038</v>
      </c>
      <c r="D4561" t="s">
        <v>3398</v>
      </c>
      <c r="E4561" t="s">
        <v>12048</v>
      </c>
      <c r="F4561" t="s">
        <v>3396</v>
      </c>
      <c r="G4561" t="s">
        <v>244</v>
      </c>
      <c r="H4561" t="s">
        <v>13039</v>
      </c>
      <c r="I4561" t="s">
        <v>13040</v>
      </c>
      <c r="J4561" t="s">
        <v>1179</v>
      </c>
      <c r="K4561" t="s">
        <v>55</v>
      </c>
      <c r="L4561" t="s">
        <v>3475</v>
      </c>
      <c r="M4561" t="s">
        <v>57</v>
      </c>
      <c r="N4561" t="str">
        <f t="shared" si="25"/>
        <v>014992</v>
      </c>
      <c r="O4561" t="s">
        <v>12051</v>
      </c>
      <c r="P4561" t="s">
        <v>68</v>
      </c>
      <c r="Q4561">
        <v>100</v>
      </c>
      <c r="R4561">
        <v>16.900000000000006</v>
      </c>
      <c r="S4561" t="s">
        <v>217</v>
      </c>
    </row>
    <row r="4562" spans="1:19" x14ac:dyDescent="0.35">
      <c r="A4562">
        <v>634</v>
      </c>
      <c r="B4562" t="str">
        <f>"000634"</f>
        <v>000634</v>
      </c>
      <c r="C4562" t="s">
        <v>13038</v>
      </c>
      <c r="D4562" t="s">
        <v>12052</v>
      </c>
      <c r="E4562" t="s">
        <v>12048</v>
      </c>
      <c r="F4562" t="s">
        <v>3396</v>
      </c>
      <c r="G4562" t="s">
        <v>244</v>
      </c>
      <c r="H4562" t="s">
        <v>13039</v>
      </c>
      <c r="I4562" t="s">
        <v>13040</v>
      </c>
      <c r="J4562" t="s">
        <v>1179</v>
      </c>
      <c r="K4562" t="s">
        <v>55</v>
      </c>
      <c r="L4562" t="s">
        <v>3475</v>
      </c>
      <c r="M4562" t="s">
        <v>57</v>
      </c>
      <c r="N4562" t="str">
        <f t="shared" si="25"/>
        <v>014992</v>
      </c>
      <c r="O4562" t="s">
        <v>12051</v>
      </c>
      <c r="P4562" t="s">
        <v>68</v>
      </c>
      <c r="Q4562">
        <v>100</v>
      </c>
      <c r="R4562">
        <v>16.900000000000006</v>
      </c>
      <c r="S4562" t="s">
        <v>217</v>
      </c>
    </row>
    <row r="4563" spans="1:19" x14ac:dyDescent="0.35">
      <c r="A4563">
        <v>640</v>
      </c>
      <c r="B4563" t="str">
        <f>"000640"</f>
        <v>000640</v>
      </c>
      <c r="C4563" t="s">
        <v>13041</v>
      </c>
      <c r="D4563" t="s">
        <v>3398</v>
      </c>
      <c r="E4563" t="s">
        <v>12048</v>
      </c>
      <c r="F4563" t="s">
        <v>3396</v>
      </c>
      <c r="G4563" t="s">
        <v>187</v>
      </c>
      <c r="H4563" t="s">
        <v>2018</v>
      </c>
      <c r="I4563" t="s">
        <v>2019</v>
      </c>
      <c r="J4563" t="s">
        <v>2020</v>
      </c>
      <c r="K4563" t="s">
        <v>55</v>
      </c>
      <c r="L4563" t="s">
        <v>2021</v>
      </c>
      <c r="M4563" t="s">
        <v>57</v>
      </c>
      <c r="N4563" t="str">
        <f>"N/A"</f>
        <v>N/A</v>
      </c>
      <c r="O4563" t="s">
        <v>49</v>
      </c>
      <c r="P4563" t="s">
        <v>68</v>
      </c>
      <c r="Q4563">
        <v>67.599999999999994</v>
      </c>
      <c r="R4563">
        <v>5.4000000000000057</v>
      </c>
      <c r="S4563" t="s">
        <v>77</v>
      </c>
    </row>
    <row r="4564" spans="1:19" x14ac:dyDescent="0.35">
      <c r="A4564">
        <v>640</v>
      </c>
      <c r="B4564" t="str">
        <f>"000640"</f>
        <v>000640</v>
      </c>
      <c r="C4564" t="s">
        <v>13041</v>
      </c>
      <c r="D4564" t="s">
        <v>12052</v>
      </c>
      <c r="E4564" t="s">
        <v>12048</v>
      </c>
      <c r="F4564" t="s">
        <v>3396</v>
      </c>
      <c r="G4564" t="s">
        <v>187</v>
      </c>
      <c r="H4564" t="s">
        <v>2018</v>
      </c>
      <c r="I4564" t="s">
        <v>2019</v>
      </c>
      <c r="J4564" t="s">
        <v>2020</v>
      </c>
      <c r="K4564" t="s">
        <v>55</v>
      </c>
      <c r="L4564" t="s">
        <v>2021</v>
      </c>
      <c r="M4564" t="s">
        <v>57</v>
      </c>
      <c r="N4564" t="str">
        <f>"N/A"</f>
        <v>N/A</v>
      </c>
      <c r="O4564" t="s">
        <v>49</v>
      </c>
      <c r="P4564" t="s">
        <v>68</v>
      </c>
      <c r="Q4564">
        <v>67.599999999999994</v>
      </c>
      <c r="R4564">
        <v>5.4000000000000057</v>
      </c>
      <c r="S4564" t="s">
        <v>77</v>
      </c>
    </row>
    <row r="4565" spans="1:19" x14ac:dyDescent="0.35">
      <c r="A4565">
        <v>640</v>
      </c>
      <c r="B4565" t="str">
        <f>"000640"</f>
        <v>000640</v>
      </c>
      <c r="C4565" t="s">
        <v>13041</v>
      </c>
      <c r="D4565" t="s">
        <v>12063</v>
      </c>
      <c r="E4565" t="s">
        <v>12048</v>
      </c>
      <c r="F4565" t="s">
        <v>3396</v>
      </c>
      <c r="G4565" t="s">
        <v>187</v>
      </c>
      <c r="H4565" t="s">
        <v>2018</v>
      </c>
      <c r="I4565" t="s">
        <v>2019</v>
      </c>
      <c r="J4565" t="s">
        <v>2020</v>
      </c>
      <c r="K4565" t="s">
        <v>55</v>
      </c>
      <c r="L4565" t="s">
        <v>2021</v>
      </c>
      <c r="M4565" t="s">
        <v>57</v>
      </c>
      <c r="N4565" t="str">
        <f>"N/A"</f>
        <v>N/A</v>
      </c>
      <c r="O4565" t="s">
        <v>49</v>
      </c>
      <c r="P4565" t="s">
        <v>68</v>
      </c>
      <c r="Q4565">
        <v>67.599999999999994</v>
      </c>
      <c r="R4565">
        <v>5.4000000000000057</v>
      </c>
      <c r="S4565" t="s">
        <v>77</v>
      </c>
    </row>
    <row r="4566" spans="1:19" x14ac:dyDescent="0.35">
      <c r="A4566">
        <v>660</v>
      </c>
      <c r="B4566" t="str">
        <f>"000660"</f>
        <v>000660</v>
      </c>
      <c r="C4566" t="s">
        <v>13042</v>
      </c>
      <c r="D4566" t="s">
        <v>3394</v>
      </c>
      <c r="E4566" t="s">
        <v>9538</v>
      </c>
      <c r="F4566" t="s">
        <v>3396</v>
      </c>
      <c r="G4566" t="s">
        <v>777</v>
      </c>
      <c r="H4566" t="s">
        <v>13043</v>
      </c>
      <c r="I4566" t="s">
        <v>13044</v>
      </c>
      <c r="J4566" t="s">
        <v>780</v>
      </c>
      <c r="K4566" t="s">
        <v>55</v>
      </c>
      <c r="L4566" t="s">
        <v>781</v>
      </c>
      <c r="M4566" t="s">
        <v>57</v>
      </c>
      <c r="N4566" t="str">
        <f>"052597"</f>
        <v>052597</v>
      </c>
      <c r="O4566" t="s">
        <v>2565</v>
      </c>
      <c r="P4566" t="s">
        <v>68</v>
      </c>
      <c r="Q4566" t="s">
        <v>68</v>
      </c>
      <c r="R4566" t="s">
        <v>68</v>
      </c>
      <c r="S4566" t="s">
        <v>180</v>
      </c>
    </row>
    <row r="4567" spans="1:19" x14ac:dyDescent="0.35">
      <c r="A4567">
        <v>664</v>
      </c>
      <c r="B4567" t="str">
        <f>"000664"</f>
        <v>000664</v>
      </c>
      <c r="C4567" t="s">
        <v>13045</v>
      </c>
      <c r="D4567" t="s">
        <v>3398</v>
      </c>
      <c r="E4567" t="s">
        <v>12048</v>
      </c>
      <c r="F4567" t="s">
        <v>3396</v>
      </c>
      <c r="G4567" t="s">
        <v>600</v>
      </c>
      <c r="H4567" t="s">
        <v>13046</v>
      </c>
      <c r="I4567" t="s">
        <v>13047</v>
      </c>
      <c r="J4567" t="s">
        <v>1348</v>
      </c>
      <c r="K4567" t="s">
        <v>55</v>
      </c>
      <c r="L4567" t="s">
        <v>3568</v>
      </c>
      <c r="M4567" t="s">
        <v>57</v>
      </c>
      <c r="N4567" t="str">
        <f>"016822"</f>
        <v>016822</v>
      </c>
      <c r="O4567" t="s">
        <v>13048</v>
      </c>
      <c r="P4567" t="s">
        <v>68</v>
      </c>
      <c r="Q4567">
        <v>100</v>
      </c>
      <c r="R4567">
        <v>100</v>
      </c>
      <c r="S4567" t="s">
        <v>60</v>
      </c>
    </row>
    <row r="4568" spans="1:19" x14ac:dyDescent="0.35">
      <c r="A4568">
        <v>664</v>
      </c>
      <c r="B4568" t="str">
        <f>"000664"</f>
        <v>000664</v>
      </c>
      <c r="C4568" t="s">
        <v>13045</v>
      </c>
      <c r="D4568" t="s">
        <v>12052</v>
      </c>
      <c r="E4568" t="s">
        <v>12048</v>
      </c>
      <c r="F4568" t="s">
        <v>3396</v>
      </c>
      <c r="G4568" t="s">
        <v>600</v>
      </c>
      <c r="H4568" t="s">
        <v>13046</v>
      </c>
      <c r="I4568" t="s">
        <v>13047</v>
      </c>
      <c r="J4568" t="s">
        <v>1348</v>
      </c>
      <c r="K4568" t="s">
        <v>55</v>
      </c>
      <c r="L4568" t="s">
        <v>3568</v>
      </c>
      <c r="M4568" t="s">
        <v>57</v>
      </c>
      <c r="N4568" t="str">
        <f>"016822"</f>
        <v>016822</v>
      </c>
      <c r="O4568" t="s">
        <v>13048</v>
      </c>
      <c r="P4568" t="s">
        <v>68</v>
      </c>
      <c r="Q4568">
        <v>100</v>
      </c>
      <c r="R4568">
        <v>100</v>
      </c>
      <c r="S4568" t="s">
        <v>60</v>
      </c>
    </row>
    <row r="4569" spans="1:19" x14ac:dyDescent="0.35">
      <c r="A4569">
        <v>664</v>
      </c>
      <c r="B4569" t="str">
        <f>"000664"</f>
        <v>000664</v>
      </c>
      <c r="C4569" t="s">
        <v>13045</v>
      </c>
      <c r="D4569" t="s">
        <v>12063</v>
      </c>
      <c r="E4569" t="s">
        <v>12048</v>
      </c>
      <c r="F4569" t="s">
        <v>3396</v>
      </c>
      <c r="G4569" t="s">
        <v>600</v>
      </c>
      <c r="H4569" t="s">
        <v>13046</v>
      </c>
      <c r="I4569" t="s">
        <v>13047</v>
      </c>
      <c r="J4569" t="s">
        <v>1348</v>
      </c>
      <c r="K4569" t="s">
        <v>55</v>
      </c>
      <c r="L4569" t="s">
        <v>3568</v>
      </c>
      <c r="M4569" t="s">
        <v>57</v>
      </c>
      <c r="N4569" t="str">
        <f>"016822"</f>
        <v>016822</v>
      </c>
      <c r="O4569" t="s">
        <v>13048</v>
      </c>
      <c r="P4569" t="s">
        <v>68</v>
      </c>
      <c r="Q4569">
        <v>100</v>
      </c>
      <c r="R4569">
        <v>100</v>
      </c>
      <c r="S4569" t="s">
        <v>60</v>
      </c>
    </row>
    <row r="4570" spans="1:19" x14ac:dyDescent="0.35">
      <c r="A4570">
        <v>676</v>
      </c>
      <c r="B4570" t="str">
        <f>"000676"</f>
        <v>000676</v>
      </c>
      <c r="C4570" t="s">
        <v>13049</v>
      </c>
      <c r="D4570" t="s">
        <v>3394</v>
      </c>
      <c r="E4570" t="s">
        <v>3395</v>
      </c>
      <c r="F4570" t="s">
        <v>3396</v>
      </c>
      <c r="G4570" t="s">
        <v>143</v>
      </c>
      <c r="H4570" t="s">
        <v>13050</v>
      </c>
      <c r="I4570" t="s">
        <v>13051</v>
      </c>
      <c r="J4570" t="s">
        <v>143</v>
      </c>
      <c r="K4570" t="s">
        <v>55</v>
      </c>
      <c r="L4570" t="s">
        <v>1033</v>
      </c>
      <c r="M4570" t="s">
        <v>57</v>
      </c>
      <c r="N4570" t="str">
        <f>"044263"</f>
        <v>044263</v>
      </c>
      <c r="O4570" t="s">
        <v>1364</v>
      </c>
      <c r="P4570" t="s">
        <v>68</v>
      </c>
      <c r="Q4570">
        <v>100</v>
      </c>
      <c r="R4570">
        <v>88.9</v>
      </c>
      <c r="S4570" t="s">
        <v>69</v>
      </c>
    </row>
    <row r="4571" spans="1:19" x14ac:dyDescent="0.35">
      <c r="A4571">
        <v>679</v>
      </c>
      <c r="B4571" t="str">
        <f>"000679"</f>
        <v>000679</v>
      </c>
      <c r="C4571" t="s">
        <v>13052</v>
      </c>
      <c r="D4571" t="s">
        <v>3398</v>
      </c>
      <c r="E4571" t="s">
        <v>12048</v>
      </c>
      <c r="F4571" t="s">
        <v>3396</v>
      </c>
      <c r="G4571" t="s">
        <v>600</v>
      </c>
      <c r="H4571" t="s">
        <v>13053</v>
      </c>
      <c r="I4571" t="s">
        <v>13054</v>
      </c>
      <c r="J4571" t="s">
        <v>1348</v>
      </c>
      <c r="K4571" t="s">
        <v>55</v>
      </c>
      <c r="L4571" t="s">
        <v>5767</v>
      </c>
      <c r="M4571" t="s">
        <v>57</v>
      </c>
      <c r="N4571" t="str">
        <f>"N/A"</f>
        <v>N/A</v>
      </c>
      <c r="O4571" t="s">
        <v>49</v>
      </c>
      <c r="P4571" t="s">
        <v>68</v>
      </c>
      <c r="Q4571">
        <v>0</v>
      </c>
      <c r="R4571">
        <v>34.599999999999994</v>
      </c>
      <c r="S4571" t="s">
        <v>60</v>
      </c>
    </row>
    <row r="4572" spans="1:19" x14ac:dyDescent="0.35">
      <c r="A4572">
        <v>679</v>
      </c>
      <c r="B4572" t="str">
        <f>"000679"</f>
        <v>000679</v>
      </c>
      <c r="C4572" t="s">
        <v>13052</v>
      </c>
      <c r="D4572" t="s">
        <v>12052</v>
      </c>
      <c r="E4572" t="s">
        <v>12048</v>
      </c>
      <c r="F4572" t="s">
        <v>3396</v>
      </c>
      <c r="G4572" t="s">
        <v>600</v>
      </c>
      <c r="H4572" t="s">
        <v>13053</v>
      </c>
      <c r="I4572" t="s">
        <v>13054</v>
      </c>
      <c r="J4572" t="s">
        <v>1348</v>
      </c>
      <c r="K4572" t="s">
        <v>55</v>
      </c>
      <c r="L4572" t="s">
        <v>5767</v>
      </c>
      <c r="M4572" t="s">
        <v>57</v>
      </c>
      <c r="N4572" t="str">
        <f>"N/A"</f>
        <v>N/A</v>
      </c>
      <c r="O4572" t="s">
        <v>49</v>
      </c>
      <c r="P4572" t="s">
        <v>68</v>
      </c>
      <c r="Q4572">
        <v>0</v>
      </c>
      <c r="R4572">
        <v>34.599999999999994</v>
      </c>
      <c r="S4572" t="s">
        <v>60</v>
      </c>
    </row>
    <row r="4573" spans="1:19" x14ac:dyDescent="0.35">
      <c r="A4573">
        <v>699</v>
      </c>
      <c r="B4573" t="str">
        <f>"000699"</f>
        <v>000699</v>
      </c>
      <c r="C4573" t="s">
        <v>13055</v>
      </c>
      <c r="D4573" t="s">
        <v>3400</v>
      </c>
      <c r="E4573" t="s">
        <v>3395</v>
      </c>
      <c r="F4573" t="s">
        <v>3396</v>
      </c>
      <c r="G4573" t="s">
        <v>821</v>
      </c>
      <c r="H4573" t="s">
        <v>2091</v>
      </c>
      <c r="I4573" t="s">
        <v>2092</v>
      </c>
      <c r="J4573" t="s">
        <v>2093</v>
      </c>
      <c r="K4573" t="s">
        <v>55</v>
      </c>
      <c r="L4573" t="s">
        <v>2094</v>
      </c>
      <c r="M4573" t="s">
        <v>57</v>
      </c>
      <c r="N4573" t="str">
        <f>"047415"</f>
        <v>047415</v>
      </c>
      <c r="O4573" t="s">
        <v>2090</v>
      </c>
      <c r="P4573" t="s">
        <v>68</v>
      </c>
      <c r="Q4573">
        <v>27.1</v>
      </c>
      <c r="R4573">
        <v>17.700000000000003</v>
      </c>
      <c r="S4573" t="s">
        <v>156</v>
      </c>
    </row>
    <row r="4574" spans="1:19" x14ac:dyDescent="0.35">
      <c r="A4574">
        <v>701</v>
      </c>
      <c r="B4574" t="str">
        <f>"000701"</f>
        <v>000701</v>
      </c>
      <c r="C4574" t="s">
        <v>13056</v>
      </c>
      <c r="D4574" t="s">
        <v>3394</v>
      </c>
      <c r="E4574" t="s">
        <v>3395</v>
      </c>
      <c r="F4574" t="s">
        <v>3396</v>
      </c>
      <c r="G4574" t="s">
        <v>143</v>
      </c>
      <c r="H4574" t="s">
        <v>13057</v>
      </c>
      <c r="I4574" t="s">
        <v>13058</v>
      </c>
      <c r="J4574" t="s">
        <v>2986</v>
      </c>
      <c r="K4574" t="s">
        <v>55</v>
      </c>
      <c r="L4574" t="s">
        <v>2987</v>
      </c>
      <c r="M4574" t="s">
        <v>57</v>
      </c>
      <c r="N4574" t="str">
        <f>"048116"</f>
        <v>048116</v>
      </c>
      <c r="O4574" t="s">
        <v>2983</v>
      </c>
      <c r="P4574" t="s">
        <v>68</v>
      </c>
      <c r="Q4574">
        <v>13.9</v>
      </c>
      <c r="R4574">
        <v>19.700000000000003</v>
      </c>
      <c r="S4574" t="s">
        <v>69</v>
      </c>
    </row>
    <row r="4575" spans="1:19" x14ac:dyDescent="0.35">
      <c r="A4575">
        <v>725</v>
      </c>
      <c r="B4575" t="str">
        <f>"000725"</f>
        <v>000725</v>
      </c>
      <c r="C4575" t="s">
        <v>13059</v>
      </c>
      <c r="D4575" t="s">
        <v>3398</v>
      </c>
      <c r="E4575" t="s">
        <v>12048</v>
      </c>
      <c r="F4575" t="s">
        <v>3396</v>
      </c>
      <c r="G4575" t="s">
        <v>600</v>
      </c>
      <c r="H4575" t="s">
        <v>13060</v>
      </c>
      <c r="I4575" t="s">
        <v>13061</v>
      </c>
      <c r="J4575" t="s">
        <v>1348</v>
      </c>
      <c r="K4575" t="s">
        <v>55</v>
      </c>
      <c r="L4575" t="s">
        <v>3462</v>
      </c>
      <c r="M4575" t="s">
        <v>57</v>
      </c>
      <c r="N4575" t="str">
        <f>"015667"</f>
        <v>015667</v>
      </c>
      <c r="O4575" t="s">
        <v>13062</v>
      </c>
      <c r="P4575" t="s">
        <v>68</v>
      </c>
      <c r="Q4575">
        <v>100</v>
      </c>
      <c r="R4575">
        <v>100</v>
      </c>
      <c r="S4575" t="s">
        <v>60</v>
      </c>
    </row>
    <row r="4576" spans="1:19" x14ac:dyDescent="0.35">
      <c r="A4576">
        <v>725</v>
      </c>
      <c r="B4576" t="str">
        <f>"000725"</f>
        <v>000725</v>
      </c>
      <c r="C4576" t="s">
        <v>13059</v>
      </c>
      <c r="D4576" t="s">
        <v>12052</v>
      </c>
      <c r="E4576" t="s">
        <v>12048</v>
      </c>
      <c r="F4576" t="s">
        <v>3396</v>
      </c>
      <c r="G4576" t="s">
        <v>600</v>
      </c>
      <c r="H4576" t="s">
        <v>13060</v>
      </c>
      <c r="I4576" t="s">
        <v>13061</v>
      </c>
      <c r="J4576" t="s">
        <v>1348</v>
      </c>
      <c r="K4576" t="s">
        <v>55</v>
      </c>
      <c r="L4576" t="s">
        <v>3462</v>
      </c>
      <c r="M4576" t="s">
        <v>57</v>
      </c>
      <c r="N4576" t="str">
        <f>"015667"</f>
        <v>015667</v>
      </c>
      <c r="O4576" t="s">
        <v>13062</v>
      </c>
      <c r="P4576" t="s">
        <v>68</v>
      </c>
      <c r="Q4576">
        <v>100</v>
      </c>
      <c r="R4576">
        <v>100</v>
      </c>
      <c r="S4576" t="s">
        <v>60</v>
      </c>
    </row>
    <row r="4577" spans="1:19" x14ac:dyDescent="0.35">
      <c r="A4577">
        <v>736</v>
      </c>
      <c r="B4577" t="str">
        <f>"000736"</f>
        <v>000736</v>
      </c>
      <c r="C4577" t="s">
        <v>13063</v>
      </c>
      <c r="D4577" t="s">
        <v>3394</v>
      </c>
      <c r="E4577" t="s">
        <v>12048</v>
      </c>
      <c r="F4577" t="s">
        <v>3396</v>
      </c>
      <c r="G4577" t="s">
        <v>63</v>
      </c>
      <c r="H4577" t="s">
        <v>13064</v>
      </c>
      <c r="I4577" t="s">
        <v>13065</v>
      </c>
      <c r="J4577" t="s">
        <v>285</v>
      </c>
      <c r="K4577" t="s">
        <v>55</v>
      </c>
      <c r="L4577" t="s">
        <v>10957</v>
      </c>
      <c r="M4577" t="s">
        <v>57</v>
      </c>
      <c r="N4577" t="str">
        <f>"017435"</f>
        <v>017435</v>
      </c>
      <c r="O4577" t="s">
        <v>13066</v>
      </c>
      <c r="P4577" t="s">
        <v>68</v>
      </c>
      <c r="Q4577">
        <v>99.3</v>
      </c>
      <c r="R4577">
        <v>100</v>
      </c>
      <c r="S4577" t="s">
        <v>69</v>
      </c>
    </row>
    <row r="4578" spans="1:19" x14ac:dyDescent="0.35">
      <c r="A4578">
        <v>736</v>
      </c>
      <c r="B4578" t="str">
        <f>"000736"</f>
        <v>000736</v>
      </c>
      <c r="C4578" t="s">
        <v>13063</v>
      </c>
      <c r="D4578" t="s">
        <v>12052</v>
      </c>
      <c r="E4578" t="s">
        <v>12048</v>
      </c>
      <c r="F4578" t="s">
        <v>3396</v>
      </c>
      <c r="G4578" t="s">
        <v>63</v>
      </c>
      <c r="H4578" t="s">
        <v>13064</v>
      </c>
      <c r="I4578" t="s">
        <v>13065</v>
      </c>
      <c r="J4578" t="s">
        <v>285</v>
      </c>
      <c r="K4578" t="s">
        <v>55</v>
      </c>
      <c r="L4578" t="s">
        <v>10957</v>
      </c>
      <c r="M4578" t="s">
        <v>57</v>
      </c>
      <c r="N4578" t="str">
        <f>"017435"</f>
        <v>017435</v>
      </c>
      <c r="O4578" t="s">
        <v>13066</v>
      </c>
      <c r="P4578" t="s">
        <v>68</v>
      </c>
      <c r="Q4578">
        <v>99.3</v>
      </c>
      <c r="R4578">
        <v>100</v>
      </c>
      <c r="S4578" t="s">
        <v>69</v>
      </c>
    </row>
    <row r="4579" spans="1:19" x14ac:dyDescent="0.35">
      <c r="A4579">
        <v>736</v>
      </c>
      <c r="B4579" t="str">
        <f>"000736"</f>
        <v>000736</v>
      </c>
      <c r="C4579" t="s">
        <v>13063</v>
      </c>
      <c r="D4579" t="s">
        <v>12126</v>
      </c>
      <c r="E4579" t="s">
        <v>12048</v>
      </c>
      <c r="F4579" t="s">
        <v>3396</v>
      </c>
      <c r="G4579" t="s">
        <v>63</v>
      </c>
      <c r="H4579" t="s">
        <v>13064</v>
      </c>
      <c r="I4579" t="s">
        <v>13065</v>
      </c>
      <c r="J4579" t="s">
        <v>285</v>
      </c>
      <c r="K4579" t="s">
        <v>55</v>
      </c>
      <c r="L4579" t="s">
        <v>10957</v>
      </c>
      <c r="M4579" t="s">
        <v>57</v>
      </c>
      <c r="N4579" t="str">
        <f>"017435"</f>
        <v>017435</v>
      </c>
      <c r="O4579" t="s">
        <v>13066</v>
      </c>
      <c r="P4579" t="s">
        <v>68</v>
      </c>
      <c r="Q4579">
        <v>99.3</v>
      </c>
      <c r="R4579">
        <v>100</v>
      </c>
      <c r="S4579" t="s">
        <v>69</v>
      </c>
    </row>
    <row r="4580" spans="1:19" x14ac:dyDescent="0.35">
      <c r="A4580">
        <v>770</v>
      </c>
      <c r="B4580" t="str">
        <f>"000770"</f>
        <v>000770</v>
      </c>
      <c r="C4580" t="s">
        <v>13067</v>
      </c>
      <c r="D4580" t="s">
        <v>12052</v>
      </c>
      <c r="E4580" t="s">
        <v>12048</v>
      </c>
      <c r="F4580" t="s">
        <v>3396</v>
      </c>
      <c r="G4580" t="s">
        <v>200</v>
      </c>
      <c r="H4580" t="s">
        <v>13068</v>
      </c>
      <c r="I4580" t="s">
        <v>13069</v>
      </c>
      <c r="J4580" t="s">
        <v>304</v>
      </c>
      <c r="K4580" t="s">
        <v>55</v>
      </c>
      <c r="L4580" t="s">
        <v>3170</v>
      </c>
      <c r="M4580" t="s">
        <v>57</v>
      </c>
      <c r="N4580" t="str">
        <f>"N/A"</f>
        <v>N/A</v>
      </c>
      <c r="O4580" t="s">
        <v>49</v>
      </c>
      <c r="P4580" t="s">
        <v>68</v>
      </c>
      <c r="Q4580">
        <v>85.9</v>
      </c>
      <c r="R4580">
        <v>70</v>
      </c>
      <c r="S4580" t="s">
        <v>156</v>
      </c>
    </row>
    <row r="4581" spans="1:19" x14ac:dyDescent="0.35">
      <c r="A4581">
        <v>770</v>
      </c>
      <c r="B4581" t="str">
        <f>"000770"</f>
        <v>000770</v>
      </c>
      <c r="C4581" t="s">
        <v>13067</v>
      </c>
      <c r="D4581" t="s">
        <v>4572</v>
      </c>
      <c r="E4581" t="s">
        <v>12048</v>
      </c>
      <c r="F4581" t="s">
        <v>3396</v>
      </c>
      <c r="G4581" t="s">
        <v>200</v>
      </c>
      <c r="H4581" t="s">
        <v>13068</v>
      </c>
      <c r="I4581" t="s">
        <v>13069</v>
      </c>
      <c r="J4581" t="s">
        <v>304</v>
      </c>
      <c r="K4581" t="s">
        <v>55</v>
      </c>
      <c r="L4581" t="s">
        <v>3170</v>
      </c>
      <c r="M4581" t="s">
        <v>57</v>
      </c>
      <c r="N4581" t="str">
        <f>"N/A"</f>
        <v>N/A</v>
      </c>
      <c r="O4581" t="s">
        <v>49</v>
      </c>
      <c r="P4581" t="s">
        <v>68</v>
      </c>
      <c r="Q4581">
        <v>85.9</v>
      </c>
      <c r="R4581">
        <v>70</v>
      </c>
      <c r="S4581" t="s">
        <v>156</v>
      </c>
    </row>
    <row r="4582" spans="1:19" x14ac:dyDescent="0.35">
      <c r="A4582">
        <v>779</v>
      </c>
      <c r="B4582" t="str">
        <f>"000779"</f>
        <v>000779</v>
      </c>
      <c r="C4582" t="s">
        <v>13070</v>
      </c>
      <c r="D4582" t="s">
        <v>3394</v>
      </c>
      <c r="E4582" t="s">
        <v>12048</v>
      </c>
      <c r="F4582" t="s">
        <v>3396</v>
      </c>
      <c r="G4582" t="s">
        <v>600</v>
      </c>
      <c r="H4582" t="s">
        <v>13071</v>
      </c>
      <c r="I4582" t="s">
        <v>13072</v>
      </c>
      <c r="J4582" t="s">
        <v>1348</v>
      </c>
      <c r="K4582" t="s">
        <v>55</v>
      </c>
      <c r="L4582" t="s">
        <v>5209</v>
      </c>
      <c r="M4582" t="s">
        <v>57</v>
      </c>
      <c r="N4582" t="str">
        <f>"014821"</f>
        <v>014821</v>
      </c>
      <c r="O4582" t="s">
        <v>13073</v>
      </c>
      <c r="P4582" t="s">
        <v>68</v>
      </c>
      <c r="Q4582">
        <v>94.4</v>
      </c>
      <c r="R4582">
        <v>100</v>
      </c>
      <c r="S4582" t="s">
        <v>60</v>
      </c>
    </row>
    <row r="4583" spans="1:19" x14ac:dyDescent="0.35">
      <c r="A4583">
        <v>779</v>
      </c>
      <c r="B4583" t="str">
        <f>"000779"</f>
        <v>000779</v>
      </c>
      <c r="C4583" t="s">
        <v>13070</v>
      </c>
      <c r="D4583" t="s">
        <v>12471</v>
      </c>
      <c r="E4583" t="s">
        <v>12048</v>
      </c>
      <c r="F4583" t="s">
        <v>3396</v>
      </c>
      <c r="G4583" t="s">
        <v>600</v>
      </c>
      <c r="H4583" t="s">
        <v>13071</v>
      </c>
      <c r="I4583" t="s">
        <v>13072</v>
      </c>
      <c r="J4583" t="s">
        <v>1348</v>
      </c>
      <c r="K4583" t="s">
        <v>55</v>
      </c>
      <c r="L4583" t="s">
        <v>5209</v>
      </c>
      <c r="M4583" t="s">
        <v>57</v>
      </c>
      <c r="N4583" t="str">
        <f>"014821"</f>
        <v>014821</v>
      </c>
      <c r="O4583" t="s">
        <v>13073</v>
      </c>
      <c r="P4583" t="s">
        <v>68</v>
      </c>
      <c r="Q4583">
        <v>94.4</v>
      </c>
      <c r="R4583">
        <v>100</v>
      </c>
      <c r="S4583" t="s">
        <v>60</v>
      </c>
    </row>
    <row r="4584" spans="1:19" x14ac:dyDescent="0.35">
      <c r="A4584">
        <v>780</v>
      </c>
      <c r="B4584" t="str">
        <f>"000780"</f>
        <v>000780</v>
      </c>
      <c r="C4584" t="s">
        <v>13074</v>
      </c>
      <c r="D4584" t="s">
        <v>3400</v>
      </c>
      <c r="E4584" t="s">
        <v>12048</v>
      </c>
      <c r="F4584" t="s">
        <v>3396</v>
      </c>
      <c r="G4584" t="s">
        <v>600</v>
      </c>
      <c r="H4584" t="s">
        <v>13075</v>
      </c>
      <c r="I4584" t="s">
        <v>13076</v>
      </c>
      <c r="J4584" t="s">
        <v>1348</v>
      </c>
      <c r="K4584" t="s">
        <v>55</v>
      </c>
      <c r="L4584" t="s">
        <v>4840</v>
      </c>
      <c r="M4584" t="s">
        <v>57</v>
      </c>
      <c r="N4584" t="str">
        <f>"014821"</f>
        <v>014821</v>
      </c>
      <c r="O4584" t="s">
        <v>13073</v>
      </c>
      <c r="P4584" t="s">
        <v>68</v>
      </c>
      <c r="Q4584">
        <v>100</v>
      </c>
      <c r="R4584">
        <v>100</v>
      </c>
      <c r="S4584" t="s">
        <v>60</v>
      </c>
    </row>
    <row r="4585" spans="1:19" x14ac:dyDescent="0.35">
      <c r="A4585">
        <v>780</v>
      </c>
      <c r="B4585" t="str">
        <f>"000780"</f>
        <v>000780</v>
      </c>
      <c r="C4585" t="s">
        <v>13074</v>
      </c>
      <c r="D4585" t="s">
        <v>12471</v>
      </c>
      <c r="E4585" t="s">
        <v>12048</v>
      </c>
      <c r="F4585" t="s">
        <v>3396</v>
      </c>
      <c r="G4585" t="s">
        <v>600</v>
      </c>
      <c r="H4585" t="s">
        <v>13075</v>
      </c>
      <c r="I4585" t="s">
        <v>13076</v>
      </c>
      <c r="J4585" t="s">
        <v>1348</v>
      </c>
      <c r="K4585" t="s">
        <v>55</v>
      </c>
      <c r="L4585" t="s">
        <v>4840</v>
      </c>
      <c r="M4585" t="s">
        <v>57</v>
      </c>
      <c r="N4585" t="str">
        <f>"014821"</f>
        <v>014821</v>
      </c>
      <c r="O4585" t="s">
        <v>13073</v>
      </c>
      <c r="P4585" t="s">
        <v>68</v>
      </c>
      <c r="Q4585">
        <v>100</v>
      </c>
      <c r="R4585">
        <v>100</v>
      </c>
      <c r="S4585" t="s">
        <v>60</v>
      </c>
    </row>
    <row r="4586" spans="1:19" x14ac:dyDescent="0.35">
      <c r="A4586">
        <v>804</v>
      </c>
      <c r="B4586" t="str">
        <f>"000804"</f>
        <v>000804</v>
      </c>
      <c r="C4586" t="s">
        <v>13077</v>
      </c>
      <c r="D4586" t="s">
        <v>3400</v>
      </c>
      <c r="E4586" t="s">
        <v>12048</v>
      </c>
      <c r="F4586" t="s">
        <v>3396</v>
      </c>
      <c r="G4586" t="s">
        <v>212</v>
      </c>
      <c r="H4586" t="s">
        <v>13078</v>
      </c>
      <c r="I4586" t="s">
        <v>13079</v>
      </c>
      <c r="J4586" t="s">
        <v>215</v>
      </c>
      <c r="K4586" t="s">
        <v>55</v>
      </c>
      <c r="L4586" t="s">
        <v>3919</v>
      </c>
      <c r="M4586" t="s">
        <v>57</v>
      </c>
      <c r="N4586" t="str">
        <f>"014979"</f>
        <v>014979</v>
      </c>
      <c r="O4586" t="s">
        <v>12185</v>
      </c>
      <c r="P4586" t="s">
        <v>68</v>
      </c>
      <c r="Q4586">
        <v>99.4</v>
      </c>
      <c r="R4586">
        <v>100</v>
      </c>
      <c r="S4586" t="s">
        <v>217</v>
      </c>
    </row>
    <row r="4587" spans="1:19" x14ac:dyDescent="0.35">
      <c r="A4587">
        <v>804</v>
      </c>
      <c r="B4587" t="str">
        <f>"000804"</f>
        <v>000804</v>
      </c>
      <c r="C4587" t="s">
        <v>13077</v>
      </c>
      <c r="D4587" t="s">
        <v>12052</v>
      </c>
      <c r="E4587" t="s">
        <v>12048</v>
      </c>
      <c r="F4587" t="s">
        <v>3396</v>
      </c>
      <c r="G4587" t="s">
        <v>212</v>
      </c>
      <c r="H4587" t="s">
        <v>13078</v>
      </c>
      <c r="I4587" t="s">
        <v>13079</v>
      </c>
      <c r="J4587" t="s">
        <v>215</v>
      </c>
      <c r="K4587" t="s">
        <v>55</v>
      </c>
      <c r="L4587" t="s">
        <v>3919</v>
      </c>
      <c r="M4587" t="s">
        <v>57</v>
      </c>
      <c r="N4587" t="str">
        <f>"014979"</f>
        <v>014979</v>
      </c>
      <c r="O4587" t="s">
        <v>12185</v>
      </c>
      <c r="P4587" t="s">
        <v>68</v>
      </c>
      <c r="Q4587">
        <v>99.4</v>
      </c>
      <c r="R4587">
        <v>100</v>
      </c>
      <c r="S4587" t="s">
        <v>217</v>
      </c>
    </row>
    <row r="4588" spans="1:19" x14ac:dyDescent="0.35">
      <c r="A4588">
        <v>808</v>
      </c>
      <c r="B4588" t="str">
        <f>"000808"</f>
        <v>000808</v>
      </c>
      <c r="C4588" t="s">
        <v>13080</v>
      </c>
      <c r="D4588" t="s">
        <v>3394</v>
      </c>
      <c r="E4588" t="s">
        <v>12048</v>
      </c>
      <c r="F4588" t="s">
        <v>3396</v>
      </c>
      <c r="G4588" t="s">
        <v>543</v>
      </c>
      <c r="H4588" t="s">
        <v>13081</v>
      </c>
      <c r="I4588" t="s">
        <v>13082</v>
      </c>
      <c r="J4588" t="s">
        <v>687</v>
      </c>
      <c r="K4588" t="s">
        <v>55</v>
      </c>
      <c r="L4588" t="s">
        <v>10659</v>
      </c>
      <c r="M4588" t="s">
        <v>57</v>
      </c>
      <c r="N4588" t="str">
        <f>"014979"</f>
        <v>014979</v>
      </c>
      <c r="O4588" t="s">
        <v>12185</v>
      </c>
      <c r="P4588" t="s">
        <v>68</v>
      </c>
      <c r="Q4588">
        <v>99.5</v>
      </c>
      <c r="R4588">
        <v>94.8</v>
      </c>
      <c r="S4588" t="s">
        <v>180</v>
      </c>
    </row>
    <row r="4589" spans="1:19" x14ac:dyDescent="0.35">
      <c r="A4589">
        <v>808</v>
      </c>
      <c r="B4589" t="str">
        <f>"000808"</f>
        <v>000808</v>
      </c>
      <c r="C4589" t="s">
        <v>13080</v>
      </c>
      <c r="D4589" t="s">
        <v>12052</v>
      </c>
      <c r="E4589" t="s">
        <v>12048</v>
      </c>
      <c r="F4589" t="s">
        <v>3396</v>
      </c>
      <c r="G4589" t="s">
        <v>543</v>
      </c>
      <c r="H4589" t="s">
        <v>13081</v>
      </c>
      <c r="I4589" t="s">
        <v>13082</v>
      </c>
      <c r="J4589" t="s">
        <v>687</v>
      </c>
      <c r="K4589" t="s">
        <v>55</v>
      </c>
      <c r="L4589" t="s">
        <v>10659</v>
      </c>
      <c r="M4589" t="s">
        <v>57</v>
      </c>
      <c r="N4589" t="str">
        <f>"014979"</f>
        <v>014979</v>
      </c>
      <c r="O4589" t="s">
        <v>12185</v>
      </c>
      <c r="P4589" t="s">
        <v>68</v>
      </c>
      <c r="Q4589">
        <v>99.5</v>
      </c>
      <c r="R4589">
        <v>94.8</v>
      </c>
      <c r="S4589" t="s">
        <v>180</v>
      </c>
    </row>
    <row r="4590" spans="1:19" x14ac:dyDescent="0.35">
      <c r="A4590">
        <v>813</v>
      </c>
      <c r="B4590" t="str">
        <f>"000813"</f>
        <v>000813</v>
      </c>
      <c r="C4590" t="s">
        <v>13083</v>
      </c>
      <c r="D4590" t="s">
        <v>3398</v>
      </c>
      <c r="E4590" t="s">
        <v>12048</v>
      </c>
      <c r="F4590" t="s">
        <v>3396</v>
      </c>
      <c r="G4590" t="s">
        <v>543</v>
      </c>
      <c r="H4590" t="s">
        <v>13084</v>
      </c>
      <c r="I4590" t="s">
        <v>13085</v>
      </c>
      <c r="J4590" t="s">
        <v>687</v>
      </c>
      <c r="K4590" t="s">
        <v>55</v>
      </c>
      <c r="L4590" t="s">
        <v>5260</v>
      </c>
      <c r="M4590" t="s">
        <v>57</v>
      </c>
      <c r="N4590" t="str">
        <f>"017782"</f>
        <v>017782</v>
      </c>
      <c r="O4590" t="s">
        <v>13086</v>
      </c>
      <c r="P4590" t="s">
        <v>68</v>
      </c>
      <c r="Q4590">
        <v>99.2</v>
      </c>
      <c r="R4590">
        <v>90.2</v>
      </c>
      <c r="S4590" t="s">
        <v>180</v>
      </c>
    </row>
    <row r="4591" spans="1:19" x14ac:dyDescent="0.35">
      <c r="A4591">
        <v>813</v>
      </c>
      <c r="B4591" t="str">
        <f>"000813"</f>
        <v>000813</v>
      </c>
      <c r="C4591" t="s">
        <v>13083</v>
      </c>
      <c r="D4591" t="s">
        <v>12052</v>
      </c>
      <c r="E4591" t="s">
        <v>12048</v>
      </c>
      <c r="F4591" t="s">
        <v>3396</v>
      </c>
      <c r="G4591" t="s">
        <v>543</v>
      </c>
      <c r="H4591" t="s">
        <v>13084</v>
      </c>
      <c r="I4591" t="s">
        <v>13085</v>
      </c>
      <c r="J4591" t="s">
        <v>687</v>
      </c>
      <c r="K4591" t="s">
        <v>55</v>
      </c>
      <c r="L4591" t="s">
        <v>5260</v>
      </c>
      <c r="M4591" t="s">
        <v>57</v>
      </c>
      <c r="N4591" t="str">
        <f>"017782"</f>
        <v>017782</v>
      </c>
      <c r="O4591" t="s">
        <v>13086</v>
      </c>
      <c r="P4591" t="s">
        <v>68</v>
      </c>
      <c r="Q4591">
        <v>99.2</v>
      </c>
      <c r="R4591">
        <v>90.2</v>
      </c>
      <c r="S4591" t="s">
        <v>180</v>
      </c>
    </row>
    <row r="4592" spans="1:19" x14ac:dyDescent="0.35">
      <c r="A4592">
        <v>813</v>
      </c>
      <c r="B4592" t="str">
        <f>"000813"</f>
        <v>000813</v>
      </c>
      <c r="C4592" t="s">
        <v>13083</v>
      </c>
      <c r="D4592" t="s">
        <v>12063</v>
      </c>
      <c r="E4592" t="s">
        <v>12048</v>
      </c>
      <c r="F4592" t="s">
        <v>3396</v>
      </c>
      <c r="G4592" t="s">
        <v>543</v>
      </c>
      <c r="H4592" t="s">
        <v>13084</v>
      </c>
      <c r="I4592" t="s">
        <v>13085</v>
      </c>
      <c r="J4592" t="s">
        <v>687</v>
      </c>
      <c r="K4592" t="s">
        <v>55</v>
      </c>
      <c r="L4592" t="s">
        <v>5260</v>
      </c>
      <c r="M4592" t="s">
        <v>57</v>
      </c>
      <c r="N4592" t="str">
        <f>"017782"</f>
        <v>017782</v>
      </c>
      <c r="O4592" t="s">
        <v>13086</v>
      </c>
      <c r="P4592" t="s">
        <v>68</v>
      </c>
      <c r="Q4592">
        <v>99.2</v>
      </c>
      <c r="R4592">
        <v>90.2</v>
      </c>
      <c r="S4592" t="s">
        <v>180</v>
      </c>
    </row>
    <row r="4593" spans="1:19" x14ac:dyDescent="0.35">
      <c r="A4593">
        <v>825</v>
      </c>
      <c r="B4593" t="str">
        <f>"000825"</f>
        <v>000825</v>
      </c>
      <c r="C4593" t="s">
        <v>13087</v>
      </c>
      <c r="D4593" t="s">
        <v>3400</v>
      </c>
      <c r="E4593" t="s">
        <v>12048</v>
      </c>
      <c r="F4593" t="s">
        <v>3396</v>
      </c>
      <c r="G4593" t="s">
        <v>200</v>
      </c>
      <c r="H4593" t="s">
        <v>13088</v>
      </c>
      <c r="I4593" t="s">
        <v>13089</v>
      </c>
      <c r="J4593" t="s">
        <v>304</v>
      </c>
      <c r="K4593" t="s">
        <v>55</v>
      </c>
      <c r="L4593" t="s">
        <v>5763</v>
      </c>
      <c r="M4593" t="s">
        <v>57</v>
      </c>
      <c r="N4593" t="str">
        <f>"014979"</f>
        <v>014979</v>
      </c>
      <c r="O4593" t="s">
        <v>12185</v>
      </c>
      <c r="P4593" t="s">
        <v>68</v>
      </c>
      <c r="Q4593">
        <v>99.4</v>
      </c>
      <c r="R4593">
        <v>84.8</v>
      </c>
      <c r="S4593" t="s">
        <v>156</v>
      </c>
    </row>
    <row r="4594" spans="1:19" x14ac:dyDescent="0.35">
      <c r="A4594">
        <v>825</v>
      </c>
      <c r="B4594" t="str">
        <f>"000825"</f>
        <v>000825</v>
      </c>
      <c r="C4594" t="s">
        <v>13087</v>
      </c>
      <c r="D4594" t="s">
        <v>12052</v>
      </c>
      <c r="E4594" t="s">
        <v>12048</v>
      </c>
      <c r="F4594" t="s">
        <v>3396</v>
      </c>
      <c r="G4594" t="s">
        <v>200</v>
      </c>
      <c r="H4594" t="s">
        <v>13088</v>
      </c>
      <c r="I4594" t="s">
        <v>13089</v>
      </c>
      <c r="J4594" t="s">
        <v>304</v>
      </c>
      <c r="K4594" t="s">
        <v>55</v>
      </c>
      <c r="L4594" t="s">
        <v>5763</v>
      </c>
      <c r="M4594" t="s">
        <v>57</v>
      </c>
      <c r="N4594" t="str">
        <f>"014979"</f>
        <v>014979</v>
      </c>
      <c r="O4594" t="s">
        <v>12185</v>
      </c>
      <c r="P4594" t="s">
        <v>68</v>
      </c>
      <c r="Q4594">
        <v>99.4</v>
      </c>
      <c r="R4594">
        <v>84.8</v>
      </c>
      <c r="S4594" t="s">
        <v>156</v>
      </c>
    </row>
    <row r="4595" spans="1:19" x14ac:dyDescent="0.35">
      <c r="A4595">
        <v>831</v>
      </c>
      <c r="B4595" t="str">
        <f>"000831"</f>
        <v>000831</v>
      </c>
      <c r="C4595" t="s">
        <v>13090</v>
      </c>
      <c r="D4595" t="s">
        <v>3394</v>
      </c>
      <c r="E4595" t="s">
        <v>3395</v>
      </c>
      <c r="F4595" t="s">
        <v>3396</v>
      </c>
      <c r="G4595" t="s">
        <v>674</v>
      </c>
      <c r="H4595" t="s">
        <v>13091</v>
      </c>
      <c r="I4595" t="s">
        <v>13092</v>
      </c>
      <c r="J4595" t="s">
        <v>927</v>
      </c>
      <c r="K4595" t="s">
        <v>55</v>
      </c>
      <c r="L4595" t="s">
        <v>928</v>
      </c>
      <c r="M4595" t="s">
        <v>57</v>
      </c>
      <c r="N4595" t="str">
        <f>"045179"</f>
        <v>045179</v>
      </c>
      <c r="O4595" t="s">
        <v>2380</v>
      </c>
      <c r="P4595" t="s">
        <v>68</v>
      </c>
      <c r="Q4595">
        <v>99.7</v>
      </c>
      <c r="R4595">
        <v>22.900000000000006</v>
      </c>
      <c r="S4595" t="s">
        <v>130</v>
      </c>
    </row>
    <row r="4596" spans="1:19" x14ac:dyDescent="0.35">
      <c r="A4596">
        <v>838</v>
      </c>
      <c r="B4596" t="str">
        <f>"000838"</f>
        <v>000838</v>
      </c>
      <c r="C4596" t="s">
        <v>13093</v>
      </c>
      <c r="D4596" t="s">
        <v>3394</v>
      </c>
      <c r="E4596" t="s">
        <v>12048</v>
      </c>
      <c r="F4596" t="s">
        <v>3396</v>
      </c>
      <c r="G4596" t="s">
        <v>63</v>
      </c>
      <c r="H4596" t="s">
        <v>13094</v>
      </c>
      <c r="I4596" t="s">
        <v>13095</v>
      </c>
      <c r="J4596" t="s">
        <v>285</v>
      </c>
      <c r="K4596" t="s">
        <v>55</v>
      </c>
      <c r="L4596" t="s">
        <v>3798</v>
      </c>
      <c r="M4596" t="s">
        <v>57</v>
      </c>
      <c r="N4596" t="str">
        <f>"014979"</f>
        <v>014979</v>
      </c>
      <c r="O4596" t="s">
        <v>12185</v>
      </c>
      <c r="P4596" t="s">
        <v>68</v>
      </c>
      <c r="Q4596">
        <v>99.6</v>
      </c>
      <c r="R4596">
        <v>92.1</v>
      </c>
      <c r="S4596" t="s">
        <v>69</v>
      </c>
    </row>
    <row r="4597" spans="1:19" x14ac:dyDescent="0.35">
      <c r="A4597">
        <v>838</v>
      </c>
      <c r="B4597" t="str">
        <f>"000838"</f>
        <v>000838</v>
      </c>
      <c r="C4597" t="s">
        <v>13093</v>
      </c>
      <c r="D4597" t="s">
        <v>12052</v>
      </c>
      <c r="E4597" t="s">
        <v>12048</v>
      </c>
      <c r="F4597" t="s">
        <v>3396</v>
      </c>
      <c r="G4597" t="s">
        <v>63</v>
      </c>
      <c r="H4597" t="s">
        <v>13094</v>
      </c>
      <c r="I4597" t="s">
        <v>13095</v>
      </c>
      <c r="J4597" t="s">
        <v>285</v>
      </c>
      <c r="K4597" t="s">
        <v>55</v>
      </c>
      <c r="L4597" t="s">
        <v>3798</v>
      </c>
      <c r="M4597" t="s">
        <v>57</v>
      </c>
      <c r="N4597" t="str">
        <f>"014979"</f>
        <v>014979</v>
      </c>
      <c r="O4597" t="s">
        <v>12185</v>
      </c>
      <c r="P4597" t="s">
        <v>68</v>
      </c>
      <c r="Q4597">
        <v>99.6</v>
      </c>
      <c r="R4597">
        <v>92.1</v>
      </c>
      <c r="S4597" t="s">
        <v>69</v>
      </c>
    </row>
    <row r="4598" spans="1:19" x14ac:dyDescent="0.35">
      <c r="A4598">
        <v>840</v>
      </c>
      <c r="B4598" t="str">
        <f>"000840"</f>
        <v>000840</v>
      </c>
      <c r="C4598" t="s">
        <v>13096</v>
      </c>
      <c r="D4598" t="s">
        <v>3400</v>
      </c>
      <c r="E4598" t="s">
        <v>3395</v>
      </c>
      <c r="F4598" t="s">
        <v>3396</v>
      </c>
      <c r="G4598" t="s">
        <v>143</v>
      </c>
      <c r="H4598" t="s">
        <v>13097</v>
      </c>
      <c r="I4598" t="s">
        <v>13098</v>
      </c>
      <c r="J4598" t="s">
        <v>143</v>
      </c>
      <c r="K4598" t="s">
        <v>55</v>
      </c>
      <c r="L4598" t="s">
        <v>1033</v>
      </c>
      <c r="M4598" t="s">
        <v>57</v>
      </c>
      <c r="N4598" t="str">
        <f>"044263"</f>
        <v>044263</v>
      </c>
      <c r="O4598" t="s">
        <v>1364</v>
      </c>
      <c r="P4598" t="s">
        <v>68</v>
      </c>
      <c r="Q4598">
        <v>100</v>
      </c>
      <c r="R4598">
        <v>82.7</v>
      </c>
      <c r="S4598" t="s">
        <v>69</v>
      </c>
    </row>
    <row r="4599" spans="1:19" x14ac:dyDescent="0.35">
      <c r="A4599">
        <v>841</v>
      </c>
      <c r="B4599" t="str">
        <f>"000841"</f>
        <v>000841</v>
      </c>
      <c r="C4599" t="s">
        <v>13099</v>
      </c>
      <c r="D4599" t="s">
        <v>3400</v>
      </c>
      <c r="E4599" t="s">
        <v>3395</v>
      </c>
      <c r="F4599" t="s">
        <v>3396</v>
      </c>
      <c r="G4599" t="s">
        <v>143</v>
      </c>
      <c r="H4599" t="s">
        <v>13100</v>
      </c>
      <c r="I4599" t="s">
        <v>13101</v>
      </c>
      <c r="J4599" t="s">
        <v>143</v>
      </c>
      <c r="K4599" t="s">
        <v>55</v>
      </c>
      <c r="L4599" t="s">
        <v>1033</v>
      </c>
      <c r="M4599" t="s">
        <v>57</v>
      </c>
      <c r="N4599" t="str">
        <f>"044263"</f>
        <v>044263</v>
      </c>
      <c r="O4599" t="s">
        <v>1364</v>
      </c>
      <c r="P4599" t="s">
        <v>68</v>
      </c>
      <c r="Q4599">
        <v>100</v>
      </c>
      <c r="R4599">
        <v>71.900000000000006</v>
      </c>
      <c r="S4599" t="s">
        <v>69</v>
      </c>
    </row>
    <row r="4600" spans="1:19" x14ac:dyDescent="0.35">
      <c r="A4600">
        <v>843</v>
      </c>
      <c r="B4600" t="str">
        <f>"000843"</f>
        <v>000843</v>
      </c>
      <c r="C4600" t="s">
        <v>13102</v>
      </c>
      <c r="D4600" t="s">
        <v>3394</v>
      </c>
      <c r="E4600" t="s">
        <v>12048</v>
      </c>
      <c r="F4600" t="s">
        <v>3396</v>
      </c>
      <c r="G4600" t="s">
        <v>200</v>
      </c>
      <c r="H4600" t="s">
        <v>13103</v>
      </c>
      <c r="I4600" t="s">
        <v>13104</v>
      </c>
      <c r="J4600" t="s">
        <v>304</v>
      </c>
      <c r="K4600" t="s">
        <v>55</v>
      </c>
      <c r="L4600" t="s">
        <v>6329</v>
      </c>
      <c r="M4600" t="s">
        <v>57</v>
      </c>
      <c r="N4600" t="str">
        <f>"014980"</f>
        <v>014980</v>
      </c>
      <c r="O4600" t="s">
        <v>12538</v>
      </c>
      <c r="P4600" t="s">
        <v>68</v>
      </c>
      <c r="Q4600">
        <v>100</v>
      </c>
      <c r="R4600">
        <v>79</v>
      </c>
      <c r="S4600" t="s">
        <v>156</v>
      </c>
    </row>
    <row r="4601" spans="1:19" x14ac:dyDescent="0.35">
      <c r="A4601">
        <v>843</v>
      </c>
      <c r="B4601" t="str">
        <f>"000843"</f>
        <v>000843</v>
      </c>
      <c r="C4601" t="s">
        <v>13102</v>
      </c>
      <c r="D4601" t="s">
        <v>12052</v>
      </c>
      <c r="E4601" t="s">
        <v>12048</v>
      </c>
      <c r="F4601" t="s">
        <v>3396</v>
      </c>
      <c r="G4601" t="s">
        <v>200</v>
      </c>
      <c r="H4601" t="s">
        <v>13103</v>
      </c>
      <c r="I4601" t="s">
        <v>13104</v>
      </c>
      <c r="J4601" t="s">
        <v>304</v>
      </c>
      <c r="K4601" t="s">
        <v>55</v>
      </c>
      <c r="L4601" t="s">
        <v>6329</v>
      </c>
      <c r="M4601" t="s">
        <v>57</v>
      </c>
      <c r="N4601" t="str">
        <f>"014980"</f>
        <v>014980</v>
      </c>
      <c r="O4601" t="s">
        <v>12538</v>
      </c>
      <c r="P4601" t="s">
        <v>68</v>
      </c>
      <c r="Q4601">
        <v>100</v>
      </c>
      <c r="R4601">
        <v>79</v>
      </c>
      <c r="S4601" t="s">
        <v>156</v>
      </c>
    </row>
    <row r="4602" spans="1:19" x14ac:dyDescent="0.35">
      <c r="A4602">
        <v>855</v>
      </c>
      <c r="B4602" t="str">
        <f>"000855"</f>
        <v>000855</v>
      </c>
      <c r="C4602" t="s">
        <v>13105</v>
      </c>
      <c r="D4602" t="s">
        <v>3394</v>
      </c>
      <c r="E4602" t="s">
        <v>12048</v>
      </c>
      <c r="F4602" t="s">
        <v>3396</v>
      </c>
      <c r="G4602" t="s">
        <v>383</v>
      </c>
      <c r="H4602" t="s">
        <v>13106</v>
      </c>
      <c r="I4602" t="s">
        <v>13107</v>
      </c>
      <c r="J4602" t="s">
        <v>1215</v>
      </c>
      <c r="K4602" t="s">
        <v>55</v>
      </c>
      <c r="L4602" t="s">
        <v>4319</v>
      </c>
      <c r="M4602" t="s">
        <v>57</v>
      </c>
      <c r="N4602" t="str">
        <f>"014980"</f>
        <v>014980</v>
      </c>
      <c r="O4602" t="s">
        <v>12538</v>
      </c>
      <c r="P4602" t="s">
        <v>68</v>
      </c>
      <c r="Q4602">
        <v>100</v>
      </c>
      <c r="R4602">
        <v>88.6</v>
      </c>
      <c r="S4602" t="s">
        <v>77</v>
      </c>
    </row>
    <row r="4603" spans="1:19" x14ac:dyDescent="0.35">
      <c r="A4603">
        <v>855</v>
      </c>
      <c r="B4603" t="str">
        <f>"000855"</f>
        <v>000855</v>
      </c>
      <c r="C4603" t="s">
        <v>13105</v>
      </c>
      <c r="D4603" t="s">
        <v>12052</v>
      </c>
      <c r="E4603" t="s">
        <v>12048</v>
      </c>
      <c r="F4603" t="s">
        <v>3396</v>
      </c>
      <c r="G4603" t="s">
        <v>383</v>
      </c>
      <c r="H4603" t="s">
        <v>13106</v>
      </c>
      <c r="I4603" t="s">
        <v>13107</v>
      </c>
      <c r="J4603" t="s">
        <v>1215</v>
      </c>
      <c r="K4603" t="s">
        <v>55</v>
      </c>
      <c r="L4603" t="s">
        <v>4319</v>
      </c>
      <c r="M4603" t="s">
        <v>57</v>
      </c>
      <c r="N4603" t="str">
        <f>"014980"</f>
        <v>014980</v>
      </c>
      <c r="O4603" t="s">
        <v>12538</v>
      </c>
      <c r="P4603" t="s">
        <v>68</v>
      </c>
      <c r="Q4603">
        <v>100</v>
      </c>
      <c r="R4603">
        <v>88.6</v>
      </c>
      <c r="S4603" t="s">
        <v>77</v>
      </c>
    </row>
    <row r="4604" spans="1:19" x14ac:dyDescent="0.35">
      <c r="A4604">
        <v>858</v>
      </c>
      <c r="B4604" t="str">
        <f>"000858"</f>
        <v>000858</v>
      </c>
      <c r="C4604" t="s">
        <v>13108</v>
      </c>
      <c r="D4604" t="s">
        <v>3394</v>
      </c>
      <c r="E4604" t="s">
        <v>12048</v>
      </c>
      <c r="F4604" t="s">
        <v>3396</v>
      </c>
      <c r="G4604" t="s">
        <v>63</v>
      </c>
      <c r="H4604" t="s">
        <v>13109</v>
      </c>
      <c r="I4604" t="s">
        <v>13110</v>
      </c>
      <c r="J4604" t="s">
        <v>285</v>
      </c>
      <c r="K4604" t="s">
        <v>55</v>
      </c>
      <c r="L4604" t="s">
        <v>5437</v>
      </c>
      <c r="M4604" t="s">
        <v>57</v>
      </c>
      <c r="N4604" t="str">
        <f>"014979"</f>
        <v>014979</v>
      </c>
      <c r="O4604" t="s">
        <v>12185</v>
      </c>
      <c r="P4604" t="s">
        <v>68</v>
      </c>
      <c r="Q4604">
        <v>100</v>
      </c>
      <c r="R4604">
        <v>100</v>
      </c>
      <c r="S4604" t="s">
        <v>69</v>
      </c>
    </row>
    <row r="4605" spans="1:19" x14ac:dyDescent="0.35">
      <c r="A4605">
        <v>858</v>
      </c>
      <c r="B4605" t="str">
        <f>"000858"</f>
        <v>000858</v>
      </c>
      <c r="C4605" t="s">
        <v>13108</v>
      </c>
      <c r="D4605" t="s">
        <v>12052</v>
      </c>
      <c r="E4605" t="s">
        <v>12048</v>
      </c>
      <c r="F4605" t="s">
        <v>3396</v>
      </c>
      <c r="G4605" t="s">
        <v>63</v>
      </c>
      <c r="H4605" t="s">
        <v>13109</v>
      </c>
      <c r="I4605" t="s">
        <v>13110</v>
      </c>
      <c r="J4605" t="s">
        <v>285</v>
      </c>
      <c r="K4605" t="s">
        <v>55</v>
      </c>
      <c r="L4605" t="s">
        <v>5437</v>
      </c>
      <c r="M4605" t="s">
        <v>57</v>
      </c>
      <c r="N4605" t="str">
        <f>"014979"</f>
        <v>014979</v>
      </c>
      <c r="O4605" t="s">
        <v>12185</v>
      </c>
      <c r="P4605" t="s">
        <v>68</v>
      </c>
      <c r="Q4605">
        <v>100</v>
      </c>
      <c r="R4605">
        <v>100</v>
      </c>
      <c r="S4605" t="s">
        <v>69</v>
      </c>
    </row>
    <row r="4606" spans="1:19" x14ac:dyDescent="0.35">
      <c r="A4606">
        <v>859</v>
      </c>
      <c r="B4606" t="str">
        <f>"000859"</f>
        <v>000859</v>
      </c>
      <c r="C4606" t="s">
        <v>13111</v>
      </c>
      <c r="D4606" t="s">
        <v>3394</v>
      </c>
      <c r="E4606" t="s">
        <v>3395</v>
      </c>
      <c r="F4606" t="s">
        <v>3396</v>
      </c>
      <c r="G4606" t="s">
        <v>117</v>
      </c>
      <c r="H4606" t="s">
        <v>13112</v>
      </c>
      <c r="I4606" t="s">
        <v>13113</v>
      </c>
      <c r="J4606" t="s">
        <v>1409</v>
      </c>
      <c r="K4606" t="s">
        <v>55</v>
      </c>
      <c r="L4606" t="s">
        <v>9359</v>
      </c>
      <c r="M4606" t="s">
        <v>57</v>
      </c>
      <c r="N4606" t="str">
        <f>"043711"</f>
        <v>043711</v>
      </c>
      <c r="O4606" t="s">
        <v>3000</v>
      </c>
      <c r="P4606" t="s">
        <v>68</v>
      </c>
      <c r="Q4606">
        <v>100</v>
      </c>
      <c r="R4606">
        <v>47</v>
      </c>
      <c r="S4606" t="s">
        <v>77</v>
      </c>
    </row>
    <row r="4607" spans="1:19" x14ac:dyDescent="0.35">
      <c r="A4607">
        <v>870</v>
      </c>
      <c r="B4607" t="str">
        <f>"000870"</f>
        <v>000870</v>
      </c>
      <c r="C4607" t="s">
        <v>13114</v>
      </c>
      <c r="D4607" t="s">
        <v>3394</v>
      </c>
      <c r="E4607" t="s">
        <v>3395</v>
      </c>
      <c r="F4607" t="s">
        <v>3396</v>
      </c>
      <c r="G4607" t="s">
        <v>132</v>
      </c>
      <c r="H4607" t="s">
        <v>3251</v>
      </c>
      <c r="I4607" t="s">
        <v>3252</v>
      </c>
      <c r="J4607" t="s">
        <v>3253</v>
      </c>
      <c r="K4607" t="s">
        <v>55</v>
      </c>
      <c r="L4607" t="s">
        <v>3254</v>
      </c>
      <c r="M4607" t="s">
        <v>57</v>
      </c>
      <c r="N4607" t="str">
        <f>"045864"</f>
        <v>045864</v>
      </c>
      <c r="O4607" t="s">
        <v>3250</v>
      </c>
      <c r="P4607" t="s">
        <v>68</v>
      </c>
      <c r="Q4607">
        <v>46.6</v>
      </c>
      <c r="R4607">
        <v>3.7000000000000028</v>
      </c>
      <c r="S4607" t="s">
        <v>69</v>
      </c>
    </row>
    <row r="4608" spans="1:19" x14ac:dyDescent="0.35">
      <c r="A4608">
        <v>875</v>
      </c>
      <c r="B4608" t="str">
        <f>"000875"</f>
        <v>000875</v>
      </c>
      <c r="C4608" t="s">
        <v>13115</v>
      </c>
      <c r="D4608" t="s">
        <v>3394</v>
      </c>
      <c r="E4608" t="s">
        <v>12048</v>
      </c>
      <c r="F4608" t="s">
        <v>3396</v>
      </c>
      <c r="G4608" t="s">
        <v>600</v>
      </c>
      <c r="H4608" t="s">
        <v>13116</v>
      </c>
      <c r="I4608" t="s">
        <v>13117</v>
      </c>
      <c r="J4608" t="s">
        <v>1348</v>
      </c>
      <c r="K4608" t="s">
        <v>55</v>
      </c>
      <c r="L4608" t="s">
        <v>1349</v>
      </c>
      <c r="M4608" t="s">
        <v>57</v>
      </c>
      <c r="N4608" t="str">
        <f>"N/A"</f>
        <v>N/A</v>
      </c>
      <c r="O4608" t="s">
        <v>49</v>
      </c>
      <c r="P4608" t="s">
        <v>68</v>
      </c>
      <c r="Q4608">
        <v>99.7</v>
      </c>
      <c r="R4608">
        <v>100</v>
      </c>
      <c r="S4608" t="s">
        <v>60</v>
      </c>
    </row>
    <row r="4609" spans="1:19" x14ac:dyDescent="0.35">
      <c r="A4609">
        <v>875</v>
      </c>
      <c r="B4609" t="str">
        <f>"000875"</f>
        <v>000875</v>
      </c>
      <c r="C4609" t="s">
        <v>13115</v>
      </c>
      <c r="D4609" t="s">
        <v>12052</v>
      </c>
      <c r="E4609" t="s">
        <v>12048</v>
      </c>
      <c r="F4609" t="s">
        <v>3396</v>
      </c>
      <c r="G4609" t="s">
        <v>600</v>
      </c>
      <c r="H4609" t="s">
        <v>13116</v>
      </c>
      <c r="I4609" t="s">
        <v>13117</v>
      </c>
      <c r="J4609" t="s">
        <v>1348</v>
      </c>
      <c r="K4609" t="s">
        <v>55</v>
      </c>
      <c r="L4609" t="s">
        <v>1349</v>
      </c>
      <c r="M4609" t="s">
        <v>57</v>
      </c>
      <c r="N4609" t="str">
        <f>"N/A"</f>
        <v>N/A</v>
      </c>
      <c r="O4609" t="s">
        <v>49</v>
      </c>
      <c r="P4609" t="s">
        <v>68</v>
      </c>
      <c r="Q4609">
        <v>99.7</v>
      </c>
      <c r="R4609">
        <v>100</v>
      </c>
      <c r="S4609" t="s">
        <v>60</v>
      </c>
    </row>
    <row r="4610" spans="1:19" x14ac:dyDescent="0.35">
      <c r="A4610">
        <v>878</v>
      </c>
      <c r="B4610" t="str">
        <f>"000878"</f>
        <v>000878</v>
      </c>
      <c r="C4610" t="s">
        <v>13118</v>
      </c>
      <c r="D4610" t="s">
        <v>3394</v>
      </c>
      <c r="E4610" t="s">
        <v>3395</v>
      </c>
      <c r="F4610" t="s">
        <v>3396</v>
      </c>
      <c r="G4610" t="s">
        <v>110</v>
      </c>
      <c r="H4610" t="s">
        <v>13119</v>
      </c>
      <c r="I4610" t="s">
        <v>13120</v>
      </c>
      <c r="J4610" t="s">
        <v>603</v>
      </c>
      <c r="K4610" t="s">
        <v>55</v>
      </c>
      <c r="L4610" t="s">
        <v>604</v>
      </c>
      <c r="M4610" t="s">
        <v>57</v>
      </c>
      <c r="N4610" t="str">
        <f>"047001"</f>
        <v>047001</v>
      </c>
      <c r="O4610" t="s">
        <v>599</v>
      </c>
      <c r="P4610" t="s">
        <v>68</v>
      </c>
      <c r="Q4610">
        <v>73.400000000000006</v>
      </c>
      <c r="R4610">
        <v>83</v>
      </c>
      <c r="S4610" t="s">
        <v>60</v>
      </c>
    </row>
    <row r="4611" spans="1:19" x14ac:dyDescent="0.35">
      <c r="A4611">
        <v>879</v>
      </c>
      <c r="B4611" t="str">
        <f>"000879"</f>
        <v>000879</v>
      </c>
      <c r="C4611" t="s">
        <v>13121</v>
      </c>
      <c r="D4611" t="s">
        <v>3400</v>
      </c>
      <c r="E4611" t="s">
        <v>3395</v>
      </c>
      <c r="F4611" t="s">
        <v>3396</v>
      </c>
      <c r="G4611" t="s">
        <v>110</v>
      </c>
      <c r="H4611" t="s">
        <v>13122</v>
      </c>
      <c r="I4611" t="s">
        <v>13123</v>
      </c>
      <c r="J4611" t="s">
        <v>603</v>
      </c>
      <c r="K4611" t="s">
        <v>55</v>
      </c>
      <c r="L4611" t="s">
        <v>604</v>
      </c>
      <c r="M4611" t="s">
        <v>57</v>
      </c>
      <c r="N4611" t="str">
        <f>"047001"</f>
        <v>047001</v>
      </c>
      <c r="O4611" t="s">
        <v>599</v>
      </c>
      <c r="P4611" t="s">
        <v>68</v>
      </c>
      <c r="Q4611">
        <v>59</v>
      </c>
      <c r="R4611">
        <v>75.400000000000006</v>
      </c>
      <c r="S4611" t="s">
        <v>60</v>
      </c>
    </row>
    <row r="4612" spans="1:19" x14ac:dyDescent="0.35">
      <c r="A4612">
        <v>883</v>
      </c>
      <c r="B4612" t="str">
        <f>"000883"</f>
        <v>000883</v>
      </c>
      <c r="C4612" t="s">
        <v>13124</v>
      </c>
      <c r="D4612" t="s">
        <v>3400</v>
      </c>
      <c r="E4612" t="s">
        <v>3395</v>
      </c>
      <c r="F4612" t="s">
        <v>3396</v>
      </c>
      <c r="G4612" t="s">
        <v>657</v>
      </c>
      <c r="H4612" t="s">
        <v>13125</v>
      </c>
      <c r="I4612" t="s">
        <v>13126</v>
      </c>
      <c r="J4612" t="s">
        <v>13127</v>
      </c>
      <c r="K4612" t="s">
        <v>55</v>
      </c>
      <c r="L4612" t="s">
        <v>1754</v>
      </c>
      <c r="M4612" t="s">
        <v>57</v>
      </c>
      <c r="N4612" t="str">
        <f>"048264"</f>
        <v>048264</v>
      </c>
      <c r="O4612" t="s">
        <v>3014</v>
      </c>
      <c r="P4612" t="s">
        <v>68</v>
      </c>
      <c r="Q4612">
        <v>25.3</v>
      </c>
      <c r="R4612">
        <v>14.799999999999997</v>
      </c>
      <c r="S4612" t="s">
        <v>60</v>
      </c>
    </row>
    <row r="4613" spans="1:19" x14ac:dyDescent="0.35">
      <c r="A4613">
        <v>884</v>
      </c>
      <c r="B4613" t="str">
        <f>"000884"</f>
        <v>000884</v>
      </c>
      <c r="C4613" t="s">
        <v>13128</v>
      </c>
      <c r="D4613" t="s">
        <v>3394</v>
      </c>
      <c r="E4613" t="s">
        <v>3395</v>
      </c>
      <c r="F4613" t="s">
        <v>3396</v>
      </c>
      <c r="G4613" t="s">
        <v>543</v>
      </c>
      <c r="H4613" t="s">
        <v>13129</v>
      </c>
      <c r="I4613" t="s">
        <v>13130</v>
      </c>
      <c r="J4613" t="s">
        <v>687</v>
      </c>
      <c r="K4613" t="s">
        <v>55</v>
      </c>
      <c r="L4613" t="s">
        <v>10659</v>
      </c>
      <c r="M4613" t="s">
        <v>57</v>
      </c>
      <c r="N4613" t="str">
        <f>"043844"</f>
        <v>043844</v>
      </c>
      <c r="O4613" t="s">
        <v>985</v>
      </c>
      <c r="P4613" t="s">
        <v>68</v>
      </c>
      <c r="Q4613">
        <v>99.1</v>
      </c>
      <c r="R4613">
        <v>93.2</v>
      </c>
      <c r="S4613" t="s">
        <v>180</v>
      </c>
    </row>
    <row r="4614" spans="1:19" x14ac:dyDescent="0.35">
      <c r="A4614">
        <v>892</v>
      </c>
      <c r="B4614" t="str">
        <f>"000892"</f>
        <v>000892</v>
      </c>
      <c r="C4614" t="s">
        <v>13131</v>
      </c>
      <c r="D4614" t="s">
        <v>3394</v>
      </c>
      <c r="E4614" t="s">
        <v>3395</v>
      </c>
      <c r="F4614" t="s">
        <v>3396</v>
      </c>
      <c r="G4614" t="s">
        <v>52</v>
      </c>
      <c r="H4614" t="s">
        <v>13132</v>
      </c>
      <c r="I4614" t="s">
        <v>13133</v>
      </c>
      <c r="J4614" t="s">
        <v>2670</v>
      </c>
      <c r="K4614" t="s">
        <v>55</v>
      </c>
      <c r="L4614" t="s">
        <v>2671</v>
      </c>
      <c r="M4614" t="s">
        <v>57</v>
      </c>
      <c r="N4614" t="str">
        <f>"046763"</f>
        <v>046763</v>
      </c>
      <c r="O4614" t="s">
        <v>2667</v>
      </c>
      <c r="P4614" t="s">
        <v>68</v>
      </c>
      <c r="Q4614">
        <v>16.899999999999999</v>
      </c>
      <c r="R4614">
        <v>56.9</v>
      </c>
      <c r="S4614" t="s">
        <v>60</v>
      </c>
    </row>
    <row r="4615" spans="1:19" x14ac:dyDescent="0.35">
      <c r="A4615">
        <v>912</v>
      </c>
      <c r="B4615" t="str">
        <f>"000912"</f>
        <v>000912</v>
      </c>
      <c r="C4615" t="s">
        <v>13134</v>
      </c>
      <c r="D4615" t="s">
        <v>3398</v>
      </c>
      <c r="E4615" t="s">
        <v>12048</v>
      </c>
      <c r="F4615" t="s">
        <v>3396</v>
      </c>
      <c r="G4615" t="s">
        <v>600</v>
      </c>
      <c r="H4615" t="s">
        <v>13135</v>
      </c>
      <c r="I4615" t="s">
        <v>13136</v>
      </c>
      <c r="J4615" t="s">
        <v>1348</v>
      </c>
      <c r="K4615" t="s">
        <v>55</v>
      </c>
      <c r="L4615" t="s">
        <v>1516</v>
      </c>
      <c r="M4615" t="s">
        <v>57</v>
      </c>
      <c r="N4615" t="str">
        <f t="shared" ref="N4615:N4620" si="26">"N/A"</f>
        <v>N/A</v>
      </c>
      <c r="O4615" t="s">
        <v>49</v>
      </c>
      <c r="P4615" t="s">
        <v>68</v>
      </c>
      <c r="Q4615">
        <v>95.3</v>
      </c>
      <c r="R4615">
        <v>100</v>
      </c>
      <c r="S4615" t="s">
        <v>60</v>
      </c>
    </row>
    <row r="4616" spans="1:19" x14ac:dyDescent="0.35">
      <c r="A4616">
        <v>912</v>
      </c>
      <c r="B4616" t="str">
        <f>"000912"</f>
        <v>000912</v>
      </c>
      <c r="C4616" t="s">
        <v>13134</v>
      </c>
      <c r="D4616" t="s">
        <v>12052</v>
      </c>
      <c r="E4616" t="s">
        <v>12048</v>
      </c>
      <c r="F4616" t="s">
        <v>3396</v>
      </c>
      <c r="G4616" t="s">
        <v>600</v>
      </c>
      <c r="H4616" t="s">
        <v>13135</v>
      </c>
      <c r="I4616" t="s">
        <v>13136</v>
      </c>
      <c r="J4616" t="s">
        <v>1348</v>
      </c>
      <c r="K4616" t="s">
        <v>55</v>
      </c>
      <c r="L4616" t="s">
        <v>1516</v>
      </c>
      <c r="M4616" t="s">
        <v>57</v>
      </c>
      <c r="N4616" t="str">
        <f t="shared" si="26"/>
        <v>N/A</v>
      </c>
      <c r="O4616" t="s">
        <v>49</v>
      </c>
      <c r="P4616" t="s">
        <v>68</v>
      </c>
      <c r="Q4616">
        <v>95.3</v>
      </c>
      <c r="R4616">
        <v>100</v>
      </c>
      <c r="S4616" t="s">
        <v>60</v>
      </c>
    </row>
    <row r="4617" spans="1:19" x14ac:dyDescent="0.35">
      <c r="A4617">
        <v>912</v>
      </c>
      <c r="B4617" t="str">
        <f>"000912"</f>
        <v>000912</v>
      </c>
      <c r="C4617" t="s">
        <v>13134</v>
      </c>
      <c r="D4617" t="s">
        <v>12063</v>
      </c>
      <c r="E4617" t="s">
        <v>12048</v>
      </c>
      <c r="F4617" t="s">
        <v>3396</v>
      </c>
      <c r="G4617" t="s">
        <v>600</v>
      </c>
      <c r="H4617" t="s">
        <v>13135</v>
      </c>
      <c r="I4617" t="s">
        <v>13136</v>
      </c>
      <c r="J4617" t="s">
        <v>1348</v>
      </c>
      <c r="K4617" t="s">
        <v>55</v>
      </c>
      <c r="L4617" t="s">
        <v>1516</v>
      </c>
      <c r="M4617" t="s">
        <v>57</v>
      </c>
      <c r="N4617" t="str">
        <f t="shared" si="26"/>
        <v>N/A</v>
      </c>
      <c r="O4617" t="s">
        <v>49</v>
      </c>
      <c r="P4617" t="s">
        <v>68</v>
      </c>
      <c r="Q4617">
        <v>95.3</v>
      </c>
      <c r="R4617">
        <v>100</v>
      </c>
      <c r="S4617" t="s">
        <v>60</v>
      </c>
    </row>
    <row r="4618" spans="1:19" x14ac:dyDescent="0.35">
      <c r="A4618">
        <v>936</v>
      </c>
      <c r="B4618" t="str">
        <f>"000936"</f>
        <v>000936</v>
      </c>
      <c r="C4618" t="s">
        <v>13137</v>
      </c>
      <c r="D4618" t="s">
        <v>3398</v>
      </c>
      <c r="E4618" t="s">
        <v>12048</v>
      </c>
      <c r="F4618" t="s">
        <v>3396</v>
      </c>
      <c r="G4618" t="s">
        <v>63</v>
      </c>
      <c r="H4618" t="s">
        <v>13138</v>
      </c>
      <c r="I4618" t="s">
        <v>13139</v>
      </c>
      <c r="J4618" t="s">
        <v>285</v>
      </c>
      <c r="K4618" t="s">
        <v>55</v>
      </c>
      <c r="L4618" t="s">
        <v>609</v>
      </c>
      <c r="M4618" t="s">
        <v>57</v>
      </c>
      <c r="N4618" t="str">
        <f t="shared" si="26"/>
        <v>N/A</v>
      </c>
      <c r="O4618" t="s">
        <v>49</v>
      </c>
      <c r="P4618" t="s">
        <v>68</v>
      </c>
      <c r="Q4618">
        <v>88.8</v>
      </c>
      <c r="R4618">
        <v>100</v>
      </c>
      <c r="S4618" t="s">
        <v>69</v>
      </c>
    </row>
    <row r="4619" spans="1:19" x14ac:dyDescent="0.35">
      <c r="A4619">
        <v>936</v>
      </c>
      <c r="B4619" t="str">
        <f>"000936"</f>
        <v>000936</v>
      </c>
      <c r="C4619" t="s">
        <v>13137</v>
      </c>
      <c r="D4619" t="s">
        <v>12052</v>
      </c>
      <c r="E4619" t="s">
        <v>12048</v>
      </c>
      <c r="F4619" t="s">
        <v>3396</v>
      </c>
      <c r="G4619" t="s">
        <v>63</v>
      </c>
      <c r="H4619" t="s">
        <v>13138</v>
      </c>
      <c r="I4619" t="s">
        <v>13139</v>
      </c>
      <c r="J4619" t="s">
        <v>285</v>
      </c>
      <c r="K4619" t="s">
        <v>55</v>
      </c>
      <c r="L4619" t="s">
        <v>609</v>
      </c>
      <c r="M4619" t="s">
        <v>57</v>
      </c>
      <c r="N4619" t="str">
        <f t="shared" si="26"/>
        <v>N/A</v>
      </c>
      <c r="O4619" t="s">
        <v>49</v>
      </c>
      <c r="P4619" t="s">
        <v>68</v>
      </c>
      <c r="Q4619">
        <v>88.8</v>
      </c>
      <c r="R4619">
        <v>100</v>
      </c>
      <c r="S4619" t="s">
        <v>69</v>
      </c>
    </row>
    <row r="4620" spans="1:19" x14ac:dyDescent="0.35">
      <c r="A4620">
        <v>936</v>
      </c>
      <c r="B4620" t="str">
        <f>"000936"</f>
        <v>000936</v>
      </c>
      <c r="C4620" t="s">
        <v>13137</v>
      </c>
      <c r="D4620" t="s">
        <v>12063</v>
      </c>
      <c r="E4620" t="s">
        <v>12048</v>
      </c>
      <c r="F4620" t="s">
        <v>3396</v>
      </c>
      <c r="G4620" t="s">
        <v>63</v>
      </c>
      <c r="H4620" t="s">
        <v>13138</v>
      </c>
      <c r="I4620" t="s">
        <v>13139</v>
      </c>
      <c r="J4620" t="s">
        <v>285</v>
      </c>
      <c r="K4620" t="s">
        <v>55</v>
      </c>
      <c r="L4620" t="s">
        <v>609</v>
      </c>
      <c r="M4620" t="s">
        <v>57</v>
      </c>
      <c r="N4620" t="str">
        <f t="shared" si="26"/>
        <v>N/A</v>
      </c>
      <c r="O4620" t="s">
        <v>49</v>
      </c>
      <c r="P4620" t="s">
        <v>68</v>
      </c>
      <c r="Q4620">
        <v>88.8</v>
      </c>
      <c r="R4620">
        <v>100</v>
      </c>
      <c r="S4620" t="s">
        <v>69</v>
      </c>
    </row>
    <row r="4621" spans="1:19" x14ac:dyDescent="0.35">
      <c r="A4621">
        <v>938</v>
      </c>
      <c r="B4621" t="str">
        <f>"000938"</f>
        <v>000938</v>
      </c>
      <c r="C4621" t="s">
        <v>13140</v>
      </c>
      <c r="D4621" t="s">
        <v>3394</v>
      </c>
      <c r="E4621" t="s">
        <v>12048</v>
      </c>
      <c r="F4621" t="s">
        <v>3396</v>
      </c>
      <c r="G4621" t="s">
        <v>600</v>
      </c>
      <c r="H4621" t="s">
        <v>13141</v>
      </c>
      <c r="I4621" t="s">
        <v>13142</v>
      </c>
      <c r="J4621" t="s">
        <v>1348</v>
      </c>
      <c r="K4621" t="s">
        <v>55</v>
      </c>
      <c r="L4621" t="s">
        <v>3462</v>
      </c>
      <c r="M4621" t="s">
        <v>57</v>
      </c>
      <c r="N4621" t="str">
        <f>"019988"</f>
        <v>019988</v>
      </c>
      <c r="O4621" t="s">
        <v>13143</v>
      </c>
      <c r="P4621" t="s">
        <v>68</v>
      </c>
      <c r="Q4621">
        <v>99.1</v>
      </c>
      <c r="R4621">
        <v>100</v>
      </c>
      <c r="S4621" t="s">
        <v>60</v>
      </c>
    </row>
    <row r="4622" spans="1:19" x14ac:dyDescent="0.35">
      <c r="A4622">
        <v>938</v>
      </c>
      <c r="B4622" t="str">
        <f>"000938"</f>
        <v>000938</v>
      </c>
      <c r="C4622" t="s">
        <v>13140</v>
      </c>
      <c r="D4622" t="s">
        <v>12052</v>
      </c>
      <c r="E4622" t="s">
        <v>12048</v>
      </c>
      <c r="F4622" t="s">
        <v>3396</v>
      </c>
      <c r="G4622" t="s">
        <v>600</v>
      </c>
      <c r="H4622" t="s">
        <v>13141</v>
      </c>
      <c r="I4622" t="s">
        <v>13142</v>
      </c>
      <c r="J4622" t="s">
        <v>1348</v>
      </c>
      <c r="K4622" t="s">
        <v>55</v>
      </c>
      <c r="L4622" t="s">
        <v>3462</v>
      </c>
      <c r="M4622" t="s">
        <v>57</v>
      </c>
      <c r="N4622" t="str">
        <f>"019988"</f>
        <v>019988</v>
      </c>
      <c r="O4622" t="s">
        <v>13143</v>
      </c>
      <c r="P4622" t="s">
        <v>68</v>
      </c>
      <c r="Q4622">
        <v>99.1</v>
      </c>
      <c r="R4622">
        <v>100</v>
      </c>
      <c r="S4622" t="s">
        <v>60</v>
      </c>
    </row>
    <row r="4623" spans="1:19" x14ac:dyDescent="0.35">
      <c r="A4623">
        <v>941</v>
      </c>
      <c r="B4623" t="str">
        <f>"000941"</f>
        <v>000941</v>
      </c>
      <c r="C4623" t="s">
        <v>13144</v>
      </c>
      <c r="D4623" t="s">
        <v>3394</v>
      </c>
      <c r="E4623" t="s">
        <v>12048</v>
      </c>
      <c r="F4623" t="s">
        <v>3396</v>
      </c>
      <c r="G4623" t="s">
        <v>110</v>
      </c>
      <c r="H4623" t="s">
        <v>13145</v>
      </c>
      <c r="I4623" t="s">
        <v>13146</v>
      </c>
      <c r="J4623" t="s">
        <v>671</v>
      </c>
      <c r="K4623" t="s">
        <v>55</v>
      </c>
      <c r="L4623" t="s">
        <v>672</v>
      </c>
      <c r="M4623" t="s">
        <v>57</v>
      </c>
      <c r="N4623" t="str">
        <f>"N/A"</f>
        <v>N/A</v>
      </c>
      <c r="O4623" t="s">
        <v>49</v>
      </c>
      <c r="P4623" t="s">
        <v>68</v>
      </c>
      <c r="Q4623">
        <v>100</v>
      </c>
      <c r="R4623">
        <v>27.900000000000006</v>
      </c>
      <c r="S4623" t="s">
        <v>60</v>
      </c>
    </row>
    <row r="4624" spans="1:19" x14ac:dyDescent="0.35">
      <c r="A4624">
        <v>941</v>
      </c>
      <c r="B4624" t="str">
        <f>"000941"</f>
        <v>000941</v>
      </c>
      <c r="C4624" t="s">
        <v>13144</v>
      </c>
      <c r="D4624" t="s">
        <v>12052</v>
      </c>
      <c r="E4624" t="s">
        <v>12048</v>
      </c>
      <c r="F4624" t="s">
        <v>3396</v>
      </c>
      <c r="G4624" t="s">
        <v>110</v>
      </c>
      <c r="H4624" t="s">
        <v>13145</v>
      </c>
      <c r="I4624" t="s">
        <v>13146</v>
      </c>
      <c r="J4624" t="s">
        <v>671</v>
      </c>
      <c r="K4624" t="s">
        <v>55</v>
      </c>
      <c r="L4624" t="s">
        <v>672</v>
      </c>
      <c r="M4624" t="s">
        <v>57</v>
      </c>
      <c r="N4624" t="str">
        <f>"N/A"</f>
        <v>N/A</v>
      </c>
      <c r="O4624" t="s">
        <v>49</v>
      </c>
      <c r="P4624" t="s">
        <v>68</v>
      </c>
      <c r="Q4624">
        <v>100</v>
      </c>
      <c r="R4624">
        <v>27.900000000000006</v>
      </c>
      <c r="S4624" t="s">
        <v>60</v>
      </c>
    </row>
    <row r="4625" spans="1:19" x14ac:dyDescent="0.35">
      <c r="A4625">
        <v>7999</v>
      </c>
      <c r="B4625" t="str">
        <f>"007999"</f>
        <v>007999</v>
      </c>
      <c r="C4625" t="s">
        <v>13147</v>
      </c>
      <c r="D4625" t="s">
        <v>3398</v>
      </c>
      <c r="E4625" t="s">
        <v>12048</v>
      </c>
      <c r="F4625" t="s">
        <v>3396</v>
      </c>
      <c r="G4625" t="s">
        <v>600</v>
      </c>
      <c r="H4625" t="s">
        <v>13148</v>
      </c>
      <c r="I4625" t="s">
        <v>13149</v>
      </c>
      <c r="J4625" t="s">
        <v>1348</v>
      </c>
      <c r="K4625" t="s">
        <v>55</v>
      </c>
      <c r="L4625" t="s">
        <v>4810</v>
      </c>
      <c r="M4625" t="s">
        <v>57</v>
      </c>
      <c r="N4625" t="str">
        <f>"133421"</f>
        <v>133421</v>
      </c>
      <c r="O4625" t="s">
        <v>13150</v>
      </c>
      <c r="P4625" t="s">
        <v>68</v>
      </c>
      <c r="Q4625">
        <v>70.2</v>
      </c>
      <c r="R4625">
        <v>87.3</v>
      </c>
      <c r="S4625" t="s">
        <v>60</v>
      </c>
    </row>
    <row r="4626" spans="1:19" x14ac:dyDescent="0.35">
      <c r="A4626">
        <v>7999</v>
      </c>
      <c r="B4626" t="str">
        <f>"007999"</f>
        <v>007999</v>
      </c>
      <c r="C4626" t="s">
        <v>13147</v>
      </c>
      <c r="D4626" t="s">
        <v>12052</v>
      </c>
      <c r="E4626" t="s">
        <v>12048</v>
      </c>
      <c r="F4626" t="s">
        <v>3396</v>
      </c>
      <c r="G4626" t="s">
        <v>600</v>
      </c>
      <c r="H4626" t="s">
        <v>13148</v>
      </c>
      <c r="I4626" t="s">
        <v>13149</v>
      </c>
      <c r="J4626" t="s">
        <v>1348</v>
      </c>
      <c r="K4626" t="s">
        <v>55</v>
      </c>
      <c r="L4626" t="s">
        <v>4810</v>
      </c>
      <c r="M4626" t="s">
        <v>57</v>
      </c>
      <c r="N4626" t="str">
        <f>"133421"</f>
        <v>133421</v>
      </c>
      <c r="O4626" t="s">
        <v>13150</v>
      </c>
      <c r="P4626" t="s">
        <v>68</v>
      </c>
      <c r="Q4626">
        <v>70.2</v>
      </c>
      <c r="R4626">
        <v>87.3</v>
      </c>
      <c r="S4626" t="s">
        <v>60</v>
      </c>
    </row>
    <row r="4627" spans="1:19" x14ac:dyDescent="0.35">
      <c r="A4627">
        <v>951</v>
      </c>
      <c r="B4627" t="str">
        <f>"000951"</f>
        <v>000951</v>
      </c>
      <c r="C4627" t="s">
        <v>13151</v>
      </c>
      <c r="D4627" t="s">
        <v>3394</v>
      </c>
      <c r="E4627" t="s">
        <v>12048</v>
      </c>
      <c r="F4627" t="s">
        <v>3396</v>
      </c>
      <c r="G4627" t="s">
        <v>200</v>
      </c>
      <c r="H4627" t="s">
        <v>13152</v>
      </c>
      <c r="I4627" t="s">
        <v>13153</v>
      </c>
      <c r="J4627" t="s">
        <v>304</v>
      </c>
      <c r="K4627" t="s">
        <v>55</v>
      </c>
      <c r="L4627" t="s">
        <v>6203</v>
      </c>
      <c r="M4627" t="s">
        <v>57</v>
      </c>
      <c r="N4627" t="str">
        <f t="shared" ref="N4627:N4632" si="27">"014997"</f>
        <v>014997</v>
      </c>
      <c r="O4627" t="s">
        <v>12505</v>
      </c>
      <c r="P4627" t="s">
        <v>68</v>
      </c>
      <c r="Q4627">
        <v>100</v>
      </c>
      <c r="R4627">
        <v>92.3</v>
      </c>
      <c r="S4627" t="s">
        <v>156</v>
      </c>
    </row>
    <row r="4628" spans="1:19" x14ac:dyDescent="0.35">
      <c r="A4628">
        <v>951</v>
      </c>
      <c r="B4628" t="str">
        <f>"000951"</f>
        <v>000951</v>
      </c>
      <c r="C4628" t="s">
        <v>13151</v>
      </c>
      <c r="D4628" t="s">
        <v>12052</v>
      </c>
      <c r="E4628" t="s">
        <v>12048</v>
      </c>
      <c r="F4628" t="s">
        <v>3396</v>
      </c>
      <c r="G4628" t="s">
        <v>200</v>
      </c>
      <c r="H4628" t="s">
        <v>13152</v>
      </c>
      <c r="I4628" t="s">
        <v>13153</v>
      </c>
      <c r="J4628" t="s">
        <v>304</v>
      </c>
      <c r="K4628" t="s">
        <v>55</v>
      </c>
      <c r="L4628" t="s">
        <v>6203</v>
      </c>
      <c r="M4628" t="s">
        <v>57</v>
      </c>
      <c r="N4628" t="str">
        <f t="shared" si="27"/>
        <v>014997</v>
      </c>
      <c r="O4628" t="s">
        <v>12505</v>
      </c>
      <c r="P4628" t="s">
        <v>68</v>
      </c>
      <c r="Q4628">
        <v>100</v>
      </c>
      <c r="R4628">
        <v>92.3</v>
      </c>
      <c r="S4628" t="s">
        <v>156</v>
      </c>
    </row>
    <row r="4629" spans="1:19" x14ac:dyDescent="0.35">
      <c r="A4629">
        <v>952</v>
      </c>
      <c r="B4629" t="str">
        <f>"000952"</f>
        <v>000952</v>
      </c>
      <c r="C4629" t="s">
        <v>13154</v>
      </c>
      <c r="D4629" t="s">
        <v>3394</v>
      </c>
      <c r="E4629" t="s">
        <v>12048</v>
      </c>
      <c r="F4629" t="s">
        <v>3396</v>
      </c>
      <c r="G4629" t="s">
        <v>600</v>
      </c>
      <c r="H4629" t="s">
        <v>13155</v>
      </c>
      <c r="I4629" t="s">
        <v>13156</v>
      </c>
      <c r="J4629" t="s">
        <v>1348</v>
      </c>
      <c r="K4629" t="s">
        <v>55</v>
      </c>
      <c r="L4629" t="s">
        <v>3854</v>
      </c>
      <c r="M4629" t="s">
        <v>57</v>
      </c>
      <c r="N4629" t="str">
        <f t="shared" si="27"/>
        <v>014997</v>
      </c>
      <c r="O4629" t="s">
        <v>12505</v>
      </c>
      <c r="P4629" t="s">
        <v>68</v>
      </c>
      <c r="Q4629">
        <v>75.5</v>
      </c>
      <c r="R4629">
        <v>92</v>
      </c>
      <c r="S4629" t="s">
        <v>60</v>
      </c>
    </row>
    <row r="4630" spans="1:19" x14ac:dyDescent="0.35">
      <c r="A4630">
        <v>952</v>
      </c>
      <c r="B4630" t="str">
        <f>"000952"</f>
        <v>000952</v>
      </c>
      <c r="C4630" t="s">
        <v>13154</v>
      </c>
      <c r="D4630" t="s">
        <v>12052</v>
      </c>
      <c r="E4630" t="s">
        <v>12048</v>
      </c>
      <c r="F4630" t="s">
        <v>3396</v>
      </c>
      <c r="G4630" t="s">
        <v>600</v>
      </c>
      <c r="H4630" t="s">
        <v>13155</v>
      </c>
      <c r="I4630" t="s">
        <v>13156</v>
      </c>
      <c r="J4630" t="s">
        <v>1348</v>
      </c>
      <c r="K4630" t="s">
        <v>55</v>
      </c>
      <c r="L4630" t="s">
        <v>3854</v>
      </c>
      <c r="M4630" t="s">
        <v>57</v>
      </c>
      <c r="N4630" t="str">
        <f t="shared" si="27"/>
        <v>014997</v>
      </c>
      <c r="O4630" t="s">
        <v>12505</v>
      </c>
      <c r="P4630" t="s">
        <v>68</v>
      </c>
      <c r="Q4630">
        <v>75.5</v>
      </c>
      <c r="R4630">
        <v>92</v>
      </c>
      <c r="S4630" t="s">
        <v>60</v>
      </c>
    </row>
    <row r="4631" spans="1:19" x14ac:dyDescent="0.35">
      <c r="A4631">
        <v>953</v>
      </c>
      <c r="B4631" t="str">
        <f>"000953"</f>
        <v>000953</v>
      </c>
      <c r="C4631" t="s">
        <v>13157</v>
      </c>
      <c r="D4631" t="s">
        <v>3394</v>
      </c>
      <c r="E4631" t="s">
        <v>12048</v>
      </c>
      <c r="F4631" t="s">
        <v>3396</v>
      </c>
      <c r="G4631" t="s">
        <v>212</v>
      </c>
      <c r="H4631" t="s">
        <v>13158</v>
      </c>
      <c r="I4631" t="s">
        <v>13159</v>
      </c>
      <c r="J4631" t="s">
        <v>215</v>
      </c>
      <c r="K4631" t="s">
        <v>55</v>
      </c>
      <c r="L4631" t="s">
        <v>914</v>
      </c>
      <c r="M4631" t="s">
        <v>57</v>
      </c>
      <c r="N4631" t="str">
        <f t="shared" si="27"/>
        <v>014997</v>
      </c>
      <c r="O4631" t="s">
        <v>12505</v>
      </c>
      <c r="P4631" t="s">
        <v>68</v>
      </c>
      <c r="Q4631">
        <v>100</v>
      </c>
      <c r="R4631">
        <v>100</v>
      </c>
      <c r="S4631" t="s">
        <v>217</v>
      </c>
    </row>
    <row r="4632" spans="1:19" x14ac:dyDescent="0.35">
      <c r="A4632">
        <v>953</v>
      </c>
      <c r="B4632" t="str">
        <f>"000953"</f>
        <v>000953</v>
      </c>
      <c r="C4632" t="s">
        <v>13157</v>
      </c>
      <c r="D4632" t="s">
        <v>12052</v>
      </c>
      <c r="E4632" t="s">
        <v>12048</v>
      </c>
      <c r="F4632" t="s">
        <v>3396</v>
      </c>
      <c r="G4632" t="s">
        <v>212</v>
      </c>
      <c r="H4632" t="s">
        <v>13158</v>
      </c>
      <c r="I4632" t="s">
        <v>13159</v>
      </c>
      <c r="J4632" t="s">
        <v>215</v>
      </c>
      <c r="K4632" t="s">
        <v>55</v>
      </c>
      <c r="L4632" t="s">
        <v>914</v>
      </c>
      <c r="M4632" t="s">
        <v>57</v>
      </c>
      <c r="N4632" t="str">
        <f t="shared" si="27"/>
        <v>014997</v>
      </c>
      <c r="O4632" t="s">
        <v>12505</v>
      </c>
      <c r="P4632" t="s">
        <v>68</v>
      </c>
      <c r="Q4632">
        <v>100</v>
      </c>
      <c r="R4632">
        <v>100</v>
      </c>
      <c r="S4632" t="s">
        <v>217</v>
      </c>
    </row>
    <row r="4633" spans="1:19" x14ac:dyDescent="0.35">
      <c r="A4633">
        <v>7981</v>
      </c>
      <c r="B4633" t="str">
        <f>"007981"</f>
        <v>007981</v>
      </c>
      <c r="C4633" t="s">
        <v>13160</v>
      </c>
      <c r="D4633" t="s">
        <v>3543</v>
      </c>
      <c r="E4633" t="s">
        <v>3395</v>
      </c>
      <c r="F4633" t="s">
        <v>3396</v>
      </c>
      <c r="G4633" t="s">
        <v>63</v>
      </c>
      <c r="H4633" t="s">
        <v>13161</v>
      </c>
      <c r="I4633" t="s">
        <v>13162</v>
      </c>
      <c r="J4633" t="s">
        <v>1834</v>
      </c>
      <c r="K4633" t="s">
        <v>55</v>
      </c>
      <c r="L4633" t="s">
        <v>7164</v>
      </c>
      <c r="M4633" t="s">
        <v>57</v>
      </c>
      <c r="N4633" t="str">
        <f>"044842"</f>
        <v>044842</v>
      </c>
      <c r="O4633" t="s">
        <v>1831</v>
      </c>
      <c r="P4633" t="s">
        <v>68</v>
      </c>
      <c r="Q4633" t="s">
        <v>68</v>
      </c>
      <c r="R4633" t="s">
        <v>68</v>
      </c>
      <c r="S4633" t="s">
        <v>69</v>
      </c>
    </row>
    <row r="4634" spans="1:19" x14ac:dyDescent="0.35">
      <c r="A4634">
        <v>7984</v>
      </c>
      <c r="B4634" t="str">
        <f>"007984"</f>
        <v>007984</v>
      </c>
      <c r="C4634" t="s">
        <v>13163</v>
      </c>
      <c r="D4634" t="s">
        <v>3398</v>
      </c>
      <c r="E4634" t="s">
        <v>12048</v>
      </c>
      <c r="F4634" t="s">
        <v>3396</v>
      </c>
      <c r="G4634" t="s">
        <v>383</v>
      </c>
      <c r="H4634" t="s">
        <v>13164</v>
      </c>
      <c r="I4634" t="s">
        <v>13165</v>
      </c>
      <c r="J4634" t="s">
        <v>1215</v>
      </c>
      <c r="K4634" t="s">
        <v>55</v>
      </c>
      <c r="L4634" t="s">
        <v>13166</v>
      </c>
      <c r="M4634" t="s">
        <v>57</v>
      </c>
      <c r="N4634" t="str">
        <f t="shared" ref="N4634:N4641" si="28">"015427"</f>
        <v>015427</v>
      </c>
      <c r="O4634" t="s">
        <v>12157</v>
      </c>
      <c r="P4634" t="s">
        <v>68</v>
      </c>
      <c r="Q4634">
        <v>100</v>
      </c>
      <c r="R4634">
        <v>91.2</v>
      </c>
      <c r="S4634" t="s">
        <v>77</v>
      </c>
    </row>
    <row r="4635" spans="1:19" x14ac:dyDescent="0.35">
      <c r="A4635">
        <v>7984</v>
      </c>
      <c r="B4635" t="str">
        <f>"007984"</f>
        <v>007984</v>
      </c>
      <c r="C4635" t="s">
        <v>13163</v>
      </c>
      <c r="D4635" t="s">
        <v>12052</v>
      </c>
      <c r="E4635" t="s">
        <v>12048</v>
      </c>
      <c r="F4635" t="s">
        <v>3396</v>
      </c>
      <c r="G4635" t="s">
        <v>383</v>
      </c>
      <c r="H4635" t="s">
        <v>13164</v>
      </c>
      <c r="I4635" t="s">
        <v>13165</v>
      </c>
      <c r="J4635" t="s">
        <v>1215</v>
      </c>
      <c r="K4635" t="s">
        <v>55</v>
      </c>
      <c r="L4635" t="s">
        <v>13166</v>
      </c>
      <c r="M4635" t="s">
        <v>57</v>
      </c>
      <c r="N4635" t="str">
        <f t="shared" si="28"/>
        <v>015427</v>
      </c>
      <c r="O4635" t="s">
        <v>12157</v>
      </c>
      <c r="P4635" t="s">
        <v>68</v>
      </c>
      <c r="Q4635">
        <v>100</v>
      </c>
      <c r="R4635">
        <v>91.2</v>
      </c>
      <c r="S4635" t="s">
        <v>77</v>
      </c>
    </row>
    <row r="4636" spans="1:19" x14ac:dyDescent="0.35">
      <c r="A4636">
        <v>7984</v>
      </c>
      <c r="B4636" t="str">
        <f>"007984"</f>
        <v>007984</v>
      </c>
      <c r="C4636" t="s">
        <v>13163</v>
      </c>
      <c r="D4636" t="s">
        <v>4572</v>
      </c>
      <c r="E4636" t="s">
        <v>12048</v>
      </c>
      <c r="F4636" t="s">
        <v>3396</v>
      </c>
      <c r="G4636" t="s">
        <v>383</v>
      </c>
      <c r="H4636" t="s">
        <v>13164</v>
      </c>
      <c r="I4636" t="s">
        <v>13165</v>
      </c>
      <c r="J4636" t="s">
        <v>1215</v>
      </c>
      <c r="K4636" t="s">
        <v>55</v>
      </c>
      <c r="L4636" t="s">
        <v>13166</v>
      </c>
      <c r="M4636" t="s">
        <v>57</v>
      </c>
      <c r="N4636" t="str">
        <f t="shared" si="28"/>
        <v>015427</v>
      </c>
      <c r="O4636" t="s">
        <v>12157</v>
      </c>
      <c r="P4636" t="s">
        <v>68</v>
      </c>
      <c r="Q4636">
        <v>100</v>
      </c>
      <c r="R4636">
        <v>91.2</v>
      </c>
      <c r="S4636" t="s">
        <v>77</v>
      </c>
    </row>
    <row r="4637" spans="1:19" x14ac:dyDescent="0.35">
      <c r="A4637">
        <v>7995</v>
      </c>
      <c r="B4637" t="str">
        <f>"007995"</f>
        <v>007995</v>
      </c>
      <c r="C4637" t="s">
        <v>13167</v>
      </c>
      <c r="D4637" t="s">
        <v>3394</v>
      </c>
      <c r="E4637" t="s">
        <v>12048</v>
      </c>
      <c r="F4637" t="s">
        <v>3396</v>
      </c>
      <c r="G4637" t="s">
        <v>63</v>
      </c>
      <c r="H4637" t="s">
        <v>13168</v>
      </c>
      <c r="I4637" t="s">
        <v>13169</v>
      </c>
      <c r="J4637" t="s">
        <v>285</v>
      </c>
      <c r="K4637" t="s">
        <v>55</v>
      </c>
      <c r="L4637" t="s">
        <v>3525</v>
      </c>
      <c r="M4637" t="s">
        <v>57</v>
      </c>
      <c r="N4637" t="str">
        <f t="shared" si="28"/>
        <v>015427</v>
      </c>
      <c r="O4637" t="s">
        <v>12157</v>
      </c>
      <c r="P4637" t="s">
        <v>68</v>
      </c>
      <c r="Q4637">
        <v>99.3</v>
      </c>
      <c r="R4637">
        <v>100</v>
      </c>
      <c r="S4637" t="s">
        <v>69</v>
      </c>
    </row>
    <row r="4638" spans="1:19" x14ac:dyDescent="0.35">
      <c r="A4638">
        <v>7995</v>
      </c>
      <c r="B4638" t="str">
        <f>"007995"</f>
        <v>007995</v>
      </c>
      <c r="C4638" t="s">
        <v>13167</v>
      </c>
      <c r="D4638" t="s">
        <v>12052</v>
      </c>
      <c r="E4638" t="s">
        <v>12048</v>
      </c>
      <c r="F4638" t="s">
        <v>3396</v>
      </c>
      <c r="G4638" t="s">
        <v>63</v>
      </c>
      <c r="H4638" t="s">
        <v>13168</v>
      </c>
      <c r="I4638" t="s">
        <v>13169</v>
      </c>
      <c r="J4638" t="s">
        <v>285</v>
      </c>
      <c r="K4638" t="s">
        <v>55</v>
      </c>
      <c r="L4638" t="s">
        <v>3525</v>
      </c>
      <c r="M4638" t="s">
        <v>57</v>
      </c>
      <c r="N4638" t="str">
        <f t="shared" si="28"/>
        <v>015427</v>
      </c>
      <c r="O4638" t="s">
        <v>12157</v>
      </c>
      <c r="P4638" t="s">
        <v>68</v>
      </c>
      <c r="Q4638">
        <v>99.3</v>
      </c>
      <c r="R4638">
        <v>100</v>
      </c>
      <c r="S4638" t="s">
        <v>69</v>
      </c>
    </row>
    <row r="4639" spans="1:19" x14ac:dyDescent="0.35">
      <c r="A4639">
        <v>8000</v>
      </c>
      <c r="B4639" t="str">
        <f>"008000"</f>
        <v>008000</v>
      </c>
      <c r="C4639" t="s">
        <v>13170</v>
      </c>
      <c r="D4639" t="s">
        <v>3400</v>
      </c>
      <c r="E4639" t="s">
        <v>12048</v>
      </c>
      <c r="F4639" t="s">
        <v>3396</v>
      </c>
      <c r="G4639" t="s">
        <v>143</v>
      </c>
      <c r="H4639" t="s">
        <v>13171</v>
      </c>
      <c r="I4639" t="s">
        <v>13172</v>
      </c>
      <c r="J4639" t="s">
        <v>143</v>
      </c>
      <c r="K4639" t="s">
        <v>55</v>
      </c>
      <c r="L4639" t="s">
        <v>4806</v>
      </c>
      <c r="M4639" t="s">
        <v>57</v>
      </c>
      <c r="N4639" t="str">
        <f t="shared" si="28"/>
        <v>015427</v>
      </c>
      <c r="O4639" t="s">
        <v>12157</v>
      </c>
      <c r="P4639" t="s">
        <v>68</v>
      </c>
      <c r="Q4639">
        <v>99.8</v>
      </c>
      <c r="R4639">
        <v>80</v>
      </c>
      <c r="S4639" t="s">
        <v>69</v>
      </c>
    </row>
    <row r="4640" spans="1:19" x14ac:dyDescent="0.35">
      <c r="A4640">
        <v>8000</v>
      </c>
      <c r="B4640" t="str">
        <f>"008000"</f>
        <v>008000</v>
      </c>
      <c r="C4640" t="s">
        <v>13170</v>
      </c>
      <c r="D4640" t="s">
        <v>12052</v>
      </c>
      <c r="E4640" t="s">
        <v>12048</v>
      </c>
      <c r="F4640" t="s">
        <v>3396</v>
      </c>
      <c r="G4640" t="s">
        <v>143</v>
      </c>
      <c r="H4640" t="s">
        <v>13171</v>
      </c>
      <c r="I4640" t="s">
        <v>13172</v>
      </c>
      <c r="J4640" t="s">
        <v>143</v>
      </c>
      <c r="K4640" t="s">
        <v>55</v>
      </c>
      <c r="L4640" t="s">
        <v>4806</v>
      </c>
      <c r="M4640" t="s">
        <v>57</v>
      </c>
      <c r="N4640" t="str">
        <f t="shared" si="28"/>
        <v>015427</v>
      </c>
      <c r="O4640" t="s">
        <v>12157</v>
      </c>
      <c r="P4640" t="s">
        <v>68</v>
      </c>
      <c r="Q4640">
        <v>99.8</v>
      </c>
      <c r="R4640">
        <v>80</v>
      </c>
      <c r="S4640" t="s">
        <v>69</v>
      </c>
    </row>
    <row r="4641" spans="1:19" x14ac:dyDescent="0.35">
      <c r="A4641">
        <v>8000</v>
      </c>
      <c r="B4641" t="str">
        <f>"008000"</f>
        <v>008000</v>
      </c>
      <c r="C4641" t="s">
        <v>13170</v>
      </c>
      <c r="D4641" t="s">
        <v>4572</v>
      </c>
      <c r="E4641" t="s">
        <v>12048</v>
      </c>
      <c r="F4641" t="s">
        <v>3396</v>
      </c>
      <c r="G4641" t="s">
        <v>143</v>
      </c>
      <c r="H4641" t="s">
        <v>13171</v>
      </c>
      <c r="I4641" t="s">
        <v>13172</v>
      </c>
      <c r="J4641" t="s">
        <v>143</v>
      </c>
      <c r="K4641" t="s">
        <v>55</v>
      </c>
      <c r="L4641" t="s">
        <v>4806</v>
      </c>
      <c r="M4641" t="s">
        <v>57</v>
      </c>
      <c r="N4641" t="str">
        <f t="shared" si="28"/>
        <v>015427</v>
      </c>
      <c r="O4641" t="s">
        <v>12157</v>
      </c>
      <c r="P4641" t="s">
        <v>68</v>
      </c>
      <c r="Q4641">
        <v>99.8</v>
      </c>
      <c r="R4641">
        <v>80</v>
      </c>
      <c r="S4641" t="s">
        <v>69</v>
      </c>
    </row>
    <row r="4642" spans="1:19" x14ac:dyDescent="0.35">
      <c r="A4642">
        <v>8019</v>
      </c>
      <c r="B4642" t="str">
        <f>"008019"</f>
        <v>008019</v>
      </c>
      <c r="C4642" t="s">
        <v>13173</v>
      </c>
      <c r="D4642" t="s">
        <v>3394</v>
      </c>
      <c r="E4642" t="s">
        <v>9538</v>
      </c>
      <c r="F4642" t="s">
        <v>3396</v>
      </c>
      <c r="G4642" t="s">
        <v>212</v>
      </c>
      <c r="H4642" t="s">
        <v>13174</v>
      </c>
      <c r="I4642" t="s">
        <v>13175</v>
      </c>
      <c r="J4642" t="s">
        <v>215</v>
      </c>
      <c r="K4642" t="s">
        <v>55</v>
      </c>
      <c r="L4642" t="s">
        <v>8502</v>
      </c>
      <c r="M4642" t="s">
        <v>57</v>
      </c>
      <c r="N4642" t="str">
        <f>"000136"</f>
        <v>000136</v>
      </c>
      <c r="O4642" t="s">
        <v>2853</v>
      </c>
      <c r="P4642" t="s">
        <v>68</v>
      </c>
      <c r="Q4642" t="s">
        <v>68</v>
      </c>
      <c r="R4642" t="s">
        <v>68</v>
      </c>
      <c r="S4642" t="s">
        <v>217</v>
      </c>
    </row>
    <row r="4643" spans="1:19" x14ac:dyDescent="0.35">
      <c r="A4643">
        <v>8063</v>
      </c>
      <c r="B4643" t="str">
        <f>"008063"</f>
        <v>008063</v>
      </c>
      <c r="C4643" t="s">
        <v>13176</v>
      </c>
      <c r="D4643" t="s">
        <v>3398</v>
      </c>
      <c r="E4643" t="s">
        <v>12048</v>
      </c>
      <c r="F4643" t="s">
        <v>3396</v>
      </c>
      <c r="G4643" t="s">
        <v>264</v>
      </c>
      <c r="H4643" t="s">
        <v>13177</v>
      </c>
      <c r="I4643" t="s">
        <v>13178</v>
      </c>
      <c r="J4643" t="s">
        <v>267</v>
      </c>
      <c r="K4643" t="s">
        <v>55</v>
      </c>
      <c r="L4643" t="s">
        <v>5205</v>
      </c>
      <c r="M4643" t="s">
        <v>57</v>
      </c>
      <c r="N4643" t="str">
        <f>"016834"</f>
        <v>016834</v>
      </c>
      <c r="O4643" t="s">
        <v>13179</v>
      </c>
      <c r="P4643" t="s">
        <v>68</v>
      </c>
      <c r="Q4643">
        <v>100</v>
      </c>
      <c r="R4643">
        <v>66.2</v>
      </c>
      <c r="S4643" t="s">
        <v>77</v>
      </c>
    </row>
    <row r="4644" spans="1:19" x14ac:dyDescent="0.35">
      <c r="A4644">
        <v>8063</v>
      </c>
      <c r="B4644" t="str">
        <f>"008063"</f>
        <v>008063</v>
      </c>
      <c r="C4644" t="s">
        <v>13176</v>
      </c>
      <c r="D4644" t="s">
        <v>12052</v>
      </c>
      <c r="E4644" t="s">
        <v>12048</v>
      </c>
      <c r="F4644" t="s">
        <v>3396</v>
      </c>
      <c r="G4644" t="s">
        <v>264</v>
      </c>
      <c r="H4644" t="s">
        <v>13177</v>
      </c>
      <c r="I4644" t="s">
        <v>13178</v>
      </c>
      <c r="J4644" t="s">
        <v>267</v>
      </c>
      <c r="K4644" t="s">
        <v>55</v>
      </c>
      <c r="L4644" t="s">
        <v>5205</v>
      </c>
      <c r="M4644" t="s">
        <v>57</v>
      </c>
      <c r="N4644" t="str">
        <f>"016834"</f>
        <v>016834</v>
      </c>
      <c r="O4644" t="s">
        <v>13179</v>
      </c>
      <c r="P4644" t="s">
        <v>68</v>
      </c>
      <c r="Q4644">
        <v>100</v>
      </c>
      <c r="R4644">
        <v>66.2</v>
      </c>
      <c r="S4644" t="s">
        <v>77</v>
      </c>
    </row>
    <row r="4645" spans="1:19" x14ac:dyDescent="0.35">
      <c r="A4645">
        <v>8063</v>
      </c>
      <c r="B4645" t="str">
        <f>"008063"</f>
        <v>008063</v>
      </c>
      <c r="C4645" t="s">
        <v>13176</v>
      </c>
      <c r="D4645" t="s">
        <v>12063</v>
      </c>
      <c r="E4645" t="s">
        <v>12048</v>
      </c>
      <c r="F4645" t="s">
        <v>3396</v>
      </c>
      <c r="G4645" t="s">
        <v>264</v>
      </c>
      <c r="H4645" t="s">
        <v>13177</v>
      </c>
      <c r="I4645" t="s">
        <v>13178</v>
      </c>
      <c r="J4645" t="s">
        <v>267</v>
      </c>
      <c r="K4645" t="s">
        <v>55</v>
      </c>
      <c r="L4645" t="s">
        <v>5205</v>
      </c>
      <c r="M4645" t="s">
        <v>57</v>
      </c>
      <c r="N4645" t="str">
        <f>"016834"</f>
        <v>016834</v>
      </c>
      <c r="O4645" t="s">
        <v>13179</v>
      </c>
      <c r="P4645" t="s">
        <v>68</v>
      </c>
      <c r="Q4645">
        <v>100</v>
      </c>
      <c r="R4645">
        <v>66.2</v>
      </c>
      <c r="S4645" t="s">
        <v>77</v>
      </c>
    </row>
    <row r="4646" spans="1:19" x14ac:dyDescent="0.35">
      <c r="A4646">
        <v>8064</v>
      </c>
      <c r="B4646" t="str">
        <f>"008064"</f>
        <v>008064</v>
      </c>
      <c r="C4646" t="s">
        <v>13180</v>
      </c>
      <c r="D4646" t="s">
        <v>3394</v>
      </c>
      <c r="E4646" t="s">
        <v>12048</v>
      </c>
      <c r="F4646" t="s">
        <v>3396</v>
      </c>
      <c r="G4646" t="s">
        <v>759</v>
      </c>
      <c r="H4646" t="s">
        <v>13181</v>
      </c>
      <c r="I4646" t="s">
        <v>13182</v>
      </c>
      <c r="J4646" t="s">
        <v>400</v>
      </c>
      <c r="K4646" t="s">
        <v>55</v>
      </c>
      <c r="L4646" t="s">
        <v>762</v>
      </c>
      <c r="M4646" t="s">
        <v>57</v>
      </c>
      <c r="N4646" t="str">
        <f>"015427"</f>
        <v>015427</v>
      </c>
      <c r="O4646" t="s">
        <v>12157</v>
      </c>
      <c r="P4646" t="s">
        <v>68</v>
      </c>
      <c r="Q4646">
        <v>100</v>
      </c>
      <c r="R4646">
        <v>68.400000000000006</v>
      </c>
      <c r="S4646" t="s">
        <v>69</v>
      </c>
    </row>
    <row r="4647" spans="1:19" x14ac:dyDescent="0.35">
      <c r="A4647">
        <v>8064</v>
      </c>
      <c r="B4647" t="str">
        <f>"008064"</f>
        <v>008064</v>
      </c>
      <c r="C4647" t="s">
        <v>13180</v>
      </c>
      <c r="D4647" t="s">
        <v>12052</v>
      </c>
      <c r="E4647" t="s">
        <v>12048</v>
      </c>
      <c r="F4647" t="s">
        <v>3396</v>
      </c>
      <c r="G4647" t="s">
        <v>759</v>
      </c>
      <c r="H4647" t="s">
        <v>13181</v>
      </c>
      <c r="I4647" t="s">
        <v>13182</v>
      </c>
      <c r="J4647" t="s">
        <v>400</v>
      </c>
      <c r="K4647" t="s">
        <v>55</v>
      </c>
      <c r="L4647" t="s">
        <v>762</v>
      </c>
      <c r="M4647" t="s">
        <v>57</v>
      </c>
      <c r="N4647" t="str">
        <f>"015427"</f>
        <v>015427</v>
      </c>
      <c r="O4647" t="s">
        <v>12157</v>
      </c>
      <c r="P4647" t="s">
        <v>68</v>
      </c>
      <c r="Q4647">
        <v>100</v>
      </c>
      <c r="R4647">
        <v>68.400000000000006</v>
      </c>
      <c r="S4647" t="s">
        <v>69</v>
      </c>
    </row>
    <row r="4648" spans="1:19" x14ac:dyDescent="0.35">
      <c r="A4648">
        <v>8064</v>
      </c>
      <c r="B4648" t="str">
        <f>"008064"</f>
        <v>008064</v>
      </c>
      <c r="C4648" t="s">
        <v>13180</v>
      </c>
      <c r="D4648" t="s">
        <v>4572</v>
      </c>
      <c r="E4648" t="s">
        <v>12048</v>
      </c>
      <c r="F4648" t="s">
        <v>3396</v>
      </c>
      <c r="G4648" t="s">
        <v>759</v>
      </c>
      <c r="H4648" t="s">
        <v>13181</v>
      </c>
      <c r="I4648" t="s">
        <v>13182</v>
      </c>
      <c r="J4648" t="s">
        <v>400</v>
      </c>
      <c r="K4648" t="s">
        <v>55</v>
      </c>
      <c r="L4648" t="s">
        <v>762</v>
      </c>
      <c r="M4648" t="s">
        <v>57</v>
      </c>
      <c r="N4648" t="str">
        <f>"015427"</f>
        <v>015427</v>
      </c>
      <c r="O4648" t="s">
        <v>12157</v>
      </c>
      <c r="P4648" t="s">
        <v>68</v>
      </c>
      <c r="Q4648">
        <v>100</v>
      </c>
      <c r="R4648">
        <v>68.400000000000006</v>
      </c>
      <c r="S4648" t="s">
        <v>69</v>
      </c>
    </row>
    <row r="4649" spans="1:19" x14ac:dyDescent="0.35">
      <c r="A4649">
        <v>8070</v>
      </c>
      <c r="B4649" t="str">
        <f>"008070"</f>
        <v>008070</v>
      </c>
      <c r="C4649" t="s">
        <v>13183</v>
      </c>
      <c r="D4649" t="s">
        <v>3394</v>
      </c>
      <c r="E4649" t="s">
        <v>9538</v>
      </c>
      <c r="F4649" t="s">
        <v>3396</v>
      </c>
      <c r="G4649" t="s">
        <v>600</v>
      </c>
      <c r="H4649" t="s">
        <v>13184</v>
      </c>
      <c r="I4649" t="s">
        <v>13185</v>
      </c>
      <c r="J4649" t="s">
        <v>1348</v>
      </c>
      <c r="K4649" t="s">
        <v>55</v>
      </c>
      <c r="L4649" t="s">
        <v>4008</v>
      </c>
      <c r="M4649" t="s">
        <v>57</v>
      </c>
      <c r="N4649" t="str">
        <f>"008070"</f>
        <v>008070</v>
      </c>
      <c r="O4649" t="s">
        <v>13183</v>
      </c>
      <c r="P4649" t="s">
        <v>68</v>
      </c>
      <c r="Q4649" t="s">
        <v>68</v>
      </c>
      <c r="R4649" t="s">
        <v>68</v>
      </c>
      <c r="S4649" t="s">
        <v>60</v>
      </c>
    </row>
    <row r="4650" spans="1:19" x14ac:dyDescent="0.35">
      <c r="A4650">
        <v>8071</v>
      </c>
      <c r="B4650" t="str">
        <f>"008071"</f>
        <v>008071</v>
      </c>
      <c r="C4650" t="s">
        <v>13186</v>
      </c>
      <c r="D4650" t="s">
        <v>3398</v>
      </c>
      <c r="E4650" t="s">
        <v>9538</v>
      </c>
      <c r="F4650" t="s">
        <v>3396</v>
      </c>
      <c r="G4650" t="s">
        <v>1193</v>
      </c>
      <c r="H4650" t="s">
        <v>13187</v>
      </c>
      <c r="I4650" t="s">
        <v>13188</v>
      </c>
      <c r="J4650" t="s">
        <v>1196</v>
      </c>
      <c r="K4650" t="s">
        <v>55</v>
      </c>
      <c r="L4650" t="s">
        <v>1197</v>
      </c>
      <c r="M4650" t="s">
        <v>57</v>
      </c>
      <c r="N4650" t="str">
        <f>"008071"</f>
        <v>008071</v>
      </c>
      <c r="O4650" t="s">
        <v>13186</v>
      </c>
      <c r="P4650" t="s">
        <v>68</v>
      </c>
      <c r="Q4650" t="s">
        <v>68</v>
      </c>
      <c r="R4650" t="s">
        <v>68</v>
      </c>
      <c r="S4650" t="s">
        <v>156</v>
      </c>
    </row>
    <row r="4651" spans="1:19" x14ac:dyDescent="0.35">
      <c r="A4651">
        <v>8096</v>
      </c>
      <c r="B4651" t="str">
        <f>"008096"</f>
        <v>008096</v>
      </c>
      <c r="C4651" t="s">
        <v>13189</v>
      </c>
      <c r="D4651" t="s">
        <v>3394</v>
      </c>
      <c r="E4651" t="s">
        <v>9538</v>
      </c>
      <c r="F4651" t="s">
        <v>3396</v>
      </c>
      <c r="G4651" t="s">
        <v>172</v>
      </c>
      <c r="H4651" t="s">
        <v>13190</v>
      </c>
      <c r="I4651" t="s">
        <v>13191</v>
      </c>
      <c r="J4651" t="s">
        <v>1873</v>
      </c>
      <c r="K4651" t="s">
        <v>55</v>
      </c>
      <c r="L4651" t="s">
        <v>1874</v>
      </c>
      <c r="M4651" t="s">
        <v>57</v>
      </c>
      <c r="N4651" t="str">
        <f>"008096"</f>
        <v>008096</v>
      </c>
      <c r="O4651" t="s">
        <v>13189</v>
      </c>
      <c r="P4651" t="s">
        <v>68</v>
      </c>
      <c r="Q4651" t="s">
        <v>68</v>
      </c>
      <c r="R4651" t="s">
        <v>68</v>
      </c>
      <c r="S4651" t="s">
        <v>217</v>
      </c>
    </row>
    <row r="4652" spans="1:19" x14ac:dyDescent="0.35">
      <c r="A4652">
        <v>8096</v>
      </c>
      <c r="B4652" t="str">
        <f>"008096"</f>
        <v>008096</v>
      </c>
      <c r="C4652" t="s">
        <v>13189</v>
      </c>
      <c r="D4652" t="s">
        <v>9541</v>
      </c>
      <c r="E4652" t="s">
        <v>9538</v>
      </c>
      <c r="F4652" t="s">
        <v>3396</v>
      </c>
      <c r="G4652" t="s">
        <v>172</v>
      </c>
      <c r="H4652" t="s">
        <v>13190</v>
      </c>
      <c r="I4652" t="s">
        <v>13191</v>
      </c>
      <c r="J4652" t="s">
        <v>1873</v>
      </c>
      <c r="K4652" t="s">
        <v>55</v>
      </c>
      <c r="L4652" t="s">
        <v>1874</v>
      </c>
      <c r="M4652" t="s">
        <v>57</v>
      </c>
      <c r="N4652" t="str">
        <f>"008096"</f>
        <v>008096</v>
      </c>
      <c r="O4652" t="s">
        <v>13189</v>
      </c>
      <c r="P4652" t="s">
        <v>68</v>
      </c>
      <c r="Q4652" t="s">
        <v>68</v>
      </c>
      <c r="R4652" t="s">
        <v>68</v>
      </c>
      <c r="S4652" t="s">
        <v>217</v>
      </c>
    </row>
    <row r="4653" spans="1:19" x14ac:dyDescent="0.35">
      <c r="A4653">
        <v>8112</v>
      </c>
      <c r="B4653" t="str">
        <f>"008112"</f>
        <v>008112</v>
      </c>
      <c r="C4653" t="s">
        <v>13192</v>
      </c>
      <c r="D4653" t="s">
        <v>3394</v>
      </c>
      <c r="E4653" t="s">
        <v>3395</v>
      </c>
      <c r="F4653" t="s">
        <v>3396</v>
      </c>
      <c r="G4653" t="s">
        <v>1948</v>
      </c>
      <c r="H4653" t="s">
        <v>13193</v>
      </c>
      <c r="I4653" t="s">
        <v>13194</v>
      </c>
      <c r="J4653" t="s">
        <v>1951</v>
      </c>
      <c r="K4653" t="s">
        <v>55</v>
      </c>
      <c r="L4653" t="s">
        <v>1952</v>
      </c>
      <c r="M4653" t="s">
        <v>57</v>
      </c>
      <c r="N4653" t="str">
        <f>"045476"</f>
        <v>045476</v>
      </c>
      <c r="O4653" t="s">
        <v>1947</v>
      </c>
      <c r="P4653" t="s">
        <v>68</v>
      </c>
      <c r="Q4653">
        <v>13.8</v>
      </c>
      <c r="R4653">
        <v>20.700000000000003</v>
      </c>
      <c r="S4653" t="s">
        <v>60</v>
      </c>
    </row>
    <row r="4654" spans="1:19" x14ac:dyDescent="0.35">
      <c r="A4654">
        <v>8162</v>
      </c>
      <c r="B4654" t="str">
        <f>"008162"</f>
        <v>008162</v>
      </c>
      <c r="C4654" t="s">
        <v>13195</v>
      </c>
      <c r="D4654" t="s">
        <v>3394</v>
      </c>
      <c r="E4654" t="s">
        <v>3395</v>
      </c>
      <c r="F4654" t="s">
        <v>3396</v>
      </c>
      <c r="G4654" t="s">
        <v>52</v>
      </c>
      <c r="H4654" t="s">
        <v>13196</v>
      </c>
      <c r="I4654" t="s">
        <v>13197</v>
      </c>
      <c r="J4654" t="s">
        <v>13198</v>
      </c>
      <c r="K4654" t="s">
        <v>55</v>
      </c>
      <c r="L4654" t="s">
        <v>2671</v>
      </c>
      <c r="M4654" t="s">
        <v>57</v>
      </c>
      <c r="N4654" t="str">
        <f>"046763"</f>
        <v>046763</v>
      </c>
      <c r="O4654" t="s">
        <v>2667</v>
      </c>
      <c r="P4654" t="s">
        <v>68</v>
      </c>
      <c r="Q4654">
        <v>21.9</v>
      </c>
      <c r="R4654">
        <v>70.7</v>
      </c>
      <c r="S4654" t="s">
        <v>60</v>
      </c>
    </row>
    <row r="4655" spans="1:19" x14ac:dyDescent="0.35">
      <c r="A4655">
        <v>8163</v>
      </c>
      <c r="B4655" t="str">
        <f>"008163"</f>
        <v>008163</v>
      </c>
      <c r="C4655" t="s">
        <v>13199</v>
      </c>
      <c r="D4655" t="s">
        <v>3394</v>
      </c>
      <c r="E4655" t="s">
        <v>9538</v>
      </c>
      <c r="F4655" t="s">
        <v>3396</v>
      </c>
      <c r="G4655" t="s">
        <v>600</v>
      </c>
      <c r="H4655" t="s">
        <v>13200</v>
      </c>
      <c r="I4655" t="s">
        <v>13201</v>
      </c>
      <c r="J4655" t="s">
        <v>1500</v>
      </c>
      <c r="K4655" t="s">
        <v>55</v>
      </c>
      <c r="L4655" t="s">
        <v>1501</v>
      </c>
      <c r="M4655" t="s">
        <v>57</v>
      </c>
      <c r="N4655" t="str">
        <f>"052571"</f>
        <v>052571</v>
      </c>
      <c r="O4655" t="s">
        <v>2843</v>
      </c>
      <c r="P4655" t="s">
        <v>68</v>
      </c>
      <c r="Q4655" t="s">
        <v>68</v>
      </c>
      <c r="R4655" t="s">
        <v>68</v>
      </c>
      <c r="S4655" t="s">
        <v>60</v>
      </c>
    </row>
    <row r="4656" spans="1:19" x14ac:dyDescent="0.35">
      <c r="A4656">
        <v>8242</v>
      </c>
      <c r="B4656" t="str">
        <f>"008242"</f>
        <v>008242</v>
      </c>
      <c r="C4656" t="s">
        <v>13202</v>
      </c>
      <c r="D4656" t="s">
        <v>3394</v>
      </c>
      <c r="E4656" t="s">
        <v>3395</v>
      </c>
      <c r="F4656" t="s">
        <v>3396</v>
      </c>
      <c r="G4656" t="s">
        <v>110</v>
      </c>
      <c r="H4656" t="s">
        <v>13203</v>
      </c>
      <c r="I4656" t="s">
        <v>13204</v>
      </c>
      <c r="J4656" t="s">
        <v>1027</v>
      </c>
      <c r="K4656" t="s">
        <v>55</v>
      </c>
      <c r="L4656" t="s">
        <v>1028</v>
      </c>
      <c r="M4656" t="s">
        <v>57</v>
      </c>
      <c r="N4656" t="str">
        <f>"048009"</f>
        <v>048009</v>
      </c>
      <c r="O4656" t="s">
        <v>1024</v>
      </c>
      <c r="P4656" t="s">
        <v>68</v>
      </c>
      <c r="Q4656">
        <v>57.2</v>
      </c>
      <c r="R4656">
        <v>66</v>
      </c>
      <c r="S4656" t="s">
        <v>60</v>
      </c>
    </row>
    <row r="4657" spans="1:19" x14ac:dyDescent="0.35">
      <c r="A4657">
        <v>8246</v>
      </c>
      <c r="B4657" t="str">
        <f>"008246"</f>
        <v>008246</v>
      </c>
      <c r="C4657" t="s">
        <v>13205</v>
      </c>
      <c r="D4657" t="s">
        <v>3398</v>
      </c>
      <c r="E4657" t="s">
        <v>9538</v>
      </c>
      <c r="F4657" t="s">
        <v>3396</v>
      </c>
      <c r="G4657" t="s">
        <v>861</v>
      </c>
      <c r="H4657" t="s">
        <v>13206</v>
      </c>
      <c r="I4657" t="s">
        <v>13207</v>
      </c>
      <c r="J4657" t="s">
        <v>864</v>
      </c>
      <c r="K4657" t="s">
        <v>55</v>
      </c>
      <c r="L4657" t="s">
        <v>865</v>
      </c>
      <c r="M4657" t="s">
        <v>57</v>
      </c>
      <c r="N4657" t="str">
        <f>"008246"</f>
        <v>008246</v>
      </c>
      <c r="O4657" t="s">
        <v>13205</v>
      </c>
      <c r="P4657" t="s">
        <v>68</v>
      </c>
      <c r="Q4657" t="s">
        <v>68</v>
      </c>
      <c r="R4657" t="s">
        <v>68</v>
      </c>
      <c r="S4657" t="s">
        <v>130</v>
      </c>
    </row>
    <row r="4658" spans="1:19" x14ac:dyDescent="0.35">
      <c r="A4658">
        <v>8252</v>
      </c>
      <c r="B4658" t="str">
        <f>"008252"</f>
        <v>008252</v>
      </c>
      <c r="C4658" t="s">
        <v>13208</v>
      </c>
      <c r="D4658" t="s">
        <v>3394</v>
      </c>
      <c r="E4658" t="s">
        <v>3395</v>
      </c>
      <c r="F4658" t="s">
        <v>3396</v>
      </c>
      <c r="G4658" t="s">
        <v>264</v>
      </c>
      <c r="H4658" t="s">
        <v>13209</v>
      </c>
      <c r="I4658" t="s">
        <v>13210</v>
      </c>
      <c r="J4658" t="s">
        <v>160</v>
      </c>
      <c r="K4658" t="s">
        <v>55</v>
      </c>
      <c r="L4658" t="s">
        <v>161</v>
      </c>
      <c r="M4658" t="s">
        <v>57</v>
      </c>
      <c r="N4658" t="str">
        <f>"050013"</f>
        <v>050013</v>
      </c>
      <c r="O4658" t="s">
        <v>2579</v>
      </c>
      <c r="P4658" t="s">
        <v>68</v>
      </c>
      <c r="Q4658">
        <v>22.5</v>
      </c>
      <c r="R4658">
        <v>12</v>
      </c>
      <c r="S4658" t="s">
        <v>77</v>
      </c>
    </row>
    <row r="4659" spans="1:19" x14ac:dyDescent="0.35">
      <c r="A4659">
        <v>8257</v>
      </c>
      <c r="B4659" t="str">
        <f>"008257"</f>
        <v>008257</v>
      </c>
      <c r="C4659" t="s">
        <v>13211</v>
      </c>
      <c r="D4659" t="s">
        <v>3394</v>
      </c>
      <c r="E4659" t="s">
        <v>3395</v>
      </c>
      <c r="F4659" t="s">
        <v>3396</v>
      </c>
      <c r="G4659" t="s">
        <v>1948</v>
      </c>
      <c r="H4659" t="s">
        <v>13212</v>
      </c>
      <c r="I4659" t="s">
        <v>13213</v>
      </c>
      <c r="J4659" t="s">
        <v>1956</v>
      </c>
      <c r="K4659" t="s">
        <v>55</v>
      </c>
      <c r="L4659" t="s">
        <v>1957</v>
      </c>
      <c r="M4659" t="s">
        <v>57</v>
      </c>
      <c r="N4659" t="str">
        <f>"047027"</f>
        <v>047027</v>
      </c>
      <c r="O4659" t="s">
        <v>1953</v>
      </c>
      <c r="P4659" t="s">
        <v>68</v>
      </c>
      <c r="Q4659">
        <v>2.4</v>
      </c>
      <c r="R4659">
        <v>50.5</v>
      </c>
      <c r="S4659" t="s">
        <v>60</v>
      </c>
    </row>
    <row r="4660" spans="1:19" x14ac:dyDescent="0.35">
      <c r="A4660">
        <v>8262</v>
      </c>
      <c r="B4660" t="str">
        <f>"008262"</f>
        <v>008262</v>
      </c>
      <c r="C4660" t="s">
        <v>13214</v>
      </c>
      <c r="D4660" t="s">
        <v>3398</v>
      </c>
      <c r="E4660" t="s">
        <v>3395</v>
      </c>
      <c r="F4660" t="s">
        <v>3396</v>
      </c>
      <c r="G4660" t="s">
        <v>200</v>
      </c>
      <c r="H4660" t="s">
        <v>13215</v>
      </c>
      <c r="I4660" t="s">
        <v>13216</v>
      </c>
      <c r="J4660" t="s">
        <v>304</v>
      </c>
      <c r="K4660" t="s">
        <v>55</v>
      </c>
      <c r="L4660" t="s">
        <v>13217</v>
      </c>
      <c r="M4660" t="s">
        <v>57</v>
      </c>
      <c r="N4660" t="str">
        <f>"044909"</f>
        <v>044909</v>
      </c>
      <c r="O4660" t="s">
        <v>3318</v>
      </c>
      <c r="P4660" t="s">
        <v>68</v>
      </c>
      <c r="Q4660">
        <v>99.6</v>
      </c>
      <c r="R4660">
        <v>93.7</v>
      </c>
      <c r="S4660" t="s">
        <v>156</v>
      </c>
    </row>
    <row r="4661" spans="1:19" x14ac:dyDescent="0.35">
      <c r="A4661">
        <v>8278</v>
      </c>
      <c r="B4661" t="str">
        <f>"008278"</f>
        <v>008278</v>
      </c>
      <c r="C4661" t="s">
        <v>13218</v>
      </c>
      <c r="D4661" t="s">
        <v>3398</v>
      </c>
      <c r="E4661" t="s">
        <v>12048</v>
      </c>
      <c r="F4661" t="s">
        <v>3396</v>
      </c>
      <c r="G4661" t="s">
        <v>63</v>
      </c>
      <c r="H4661" t="s">
        <v>13219</v>
      </c>
      <c r="I4661" t="s">
        <v>13220</v>
      </c>
      <c r="J4661" t="s">
        <v>2182</v>
      </c>
      <c r="K4661" t="s">
        <v>55</v>
      </c>
      <c r="L4661" t="s">
        <v>6058</v>
      </c>
      <c r="M4661" t="s">
        <v>57</v>
      </c>
      <c r="N4661" t="str">
        <f>"014979"</f>
        <v>014979</v>
      </c>
      <c r="O4661" t="s">
        <v>12185</v>
      </c>
      <c r="P4661" t="s">
        <v>68</v>
      </c>
      <c r="Q4661">
        <v>78.400000000000006</v>
      </c>
      <c r="R4661">
        <v>100</v>
      </c>
      <c r="S4661" t="s">
        <v>69</v>
      </c>
    </row>
    <row r="4662" spans="1:19" x14ac:dyDescent="0.35">
      <c r="A4662">
        <v>8278</v>
      </c>
      <c r="B4662" t="str">
        <f>"008278"</f>
        <v>008278</v>
      </c>
      <c r="C4662" t="s">
        <v>13218</v>
      </c>
      <c r="D4662" t="s">
        <v>12052</v>
      </c>
      <c r="E4662" t="s">
        <v>12048</v>
      </c>
      <c r="F4662" t="s">
        <v>3396</v>
      </c>
      <c r="G4662" t="s">
        <v>63</v>
      </c>
      <c r="H4662" t="s">
        <v>13219</v>
      </c>
      <c r="I4662" t="s">
        <v>13220</v>
      </c>
      <c r="J4662" t="s">
        <v>2182</v>
      </c>
      <c r="K4662" t="s">
        <v>55</v>
      </c>
      <c r="L4662" t="s">
        <v>6058</v>
      </c>
      <c r="M4662" t="s">
        <v>57</v>
      </c>
      <c r="N4662" t="str">
        <f>"014979"</f>
        <v>014979</v>
      </c>
      <c r="O4662" t="s">
        <v>12185</v>
      </c>
      <c r="P4662" t="s">
        <v>68</v>
      </c>
      <c r="Q4662">
        <v>78.400000000000006</v>
      </c>
      <c r="R4662">
        <v>100</v>
      </c>
      <c r="S4662" t="s">
        <v>69</v>
      </c>
    </row>
    <row r="4663" spans="1:19" x14ac:dyDescent="0.35">
      <c r="A4663">
        <v>8280</v>
      </c>
      <c r="B4663" t="str">
        <f>"008280"</f>
        <v>008280</v>
      </c>
      <c r="C4663" t="s">
        <v>13221</v>
      </c>
      <c r="D4663" t="s">
        <v>3400</v>
      </c>
      <c r="E4663" t="s">
        <v>12048</v>
      </c>
      <c r="F4663" t="s">
        <v>3396</v>
      </c>
      <c r="G4663" t="s">
        <v>600</v>
      </c>
      <c r="H4663" t="s">
        <v>13222</v>
      </c>
      <c r="I4663" t="s">
        <v>13223</v>
      </c>
      <c r="J4663" t="s">
        <v>1348</v>
      </c>
      <c r="K4663" t="s">
        <v>55</v>
      </c>
      <c r="L4663" t="s">
        <v>5611</v>
      </c>
      <c r="M4663" t="s">
        <v>57</v>
      </c>
      <c r="N4663" t="str">
        <f>"014979"</f>
        <v>014979</v>
      </c>
      <c r="O4663" t="s">
        <v>12185</v>
      </c>
      <c r="P4663" t="s">
        <v>68</v>
      </c>
      <c r="Q4663">
        <v>99.6</v>
      </c>
      <c r="R4663">
        <v>63.3</v>
      </c>
      <c r="S4663" t="s">
        <v>60</v>
      </c>
    </row>
    <row r="4664" spans="1:19" x14ac:dyDescent="0.35">
      <c r="A4664">
        <v>8280</v>
      </c>
      <c r="B4664" t="str">
        <f>"008280"</f>
        <v>008280</v>
      </c>
      <c r="C4664" t="s">
        <v>13221</v>
      </c>
      <c r="D4664" t="s">
        <v>12052</v>
      </c>
      <c r="E4664" t="s">
        <v>12048</v>
      </c>
      <c r="F4664" t="s">
        <v>3396</v>
      </c>
      <c r="G4664" t="s">
        <v>600</v>
      </c>
      <c r="H4664" t="s">
        <v>13222</v>
      </c>
      <c r="I4664" t="s">
        <v>13223</v>
      </c>
      <c r="J4664" t="s">
        <v>1348</v>
      </c>
      <c r="K4664" t="s">
        <v>55</v>
      </c>
      <c r="L4664" t="s">
        <v>5611</v>
      </c>
      <c r="M4664" t="s">
        <v>57</v>
      </c>
      <c r="N4664" t="str">
        <f>"014979"</f>
        <v>014979</v>
      </c>
      <c r="O4664" t="s">
        <v>12185</v>
      </c>
      <c r="P4664" t="s">
        <v>68</v>
      </c>
      <c r="Q4664">
        <v>99.6</v>
      </c>
      <c r="R4664">
        <v>63.3</v>
      </c>
      <c r="S4664" t="s">
        <v>60</v>
      </c>
    </row>
    <row r="4665" spans="1:19" x14ac:dyDescent="0.35">
      <c r="A4665">
        <v>8281</v>
      </c>
      <c r="B4665" t="str">
        <f>"008281"</f>
        <v>008281</v>
      </c>
      <c r="C4665" t="s">
        <v>13224</v>
      </c>
      <c r="D4665" t="s">
        <v>3394</v>
      </c>
      <c r="E4665" t="s">
        <v>12048</v>
      </c>
      <c r="F4665" t="s">
        <v>3396</v>
      </c>
      <c r="G4665" t="s">
        <v>600</v>
      </c>
      <c r="H4665" t="s">
        <v>13225</v>
      </c>
      <c r="I4665" t="s">
        <v>13226</v>
      </c>
      <c r="J4665" t="s">
        <v>1348</v>
      </c>
      <c r="K4665" t="s">
        <v>55</v>
      </c>
      <c r="L4665" t="s">
        <v>2733</v>
      </c>
      <c r="M4665" t="s">
        <v>57</v>
      </c>
      <c r="N4665" t="str">
        <f>"014997"</f>
        <v>014997</v>
      </c>
      <c r="O4665" t="s">
        <v>12505</v>
      </c>
      <c r="P4665" t="s">
        <v>68</v>
      </c>
      <c r="Q4665">
        <v>100</v>
      </c>
      <c r="R4665">
        <v>100</v>
      </c>
      <c r="S4665" t="s">
        <v>60</v>
      </c>
    </row>
    <row r="4666" spans="1:19" x14ac:dyDescent="0.35">
      <c r="A4666">
        <v>8281</v>
      </c>
      <c r="B4666" t="str">
        <f>"008281"</f>
        <v>008281</v>
      </c>
      <c r="C4666" t="s">
        <v>13224</v>
      </c>
      <c r="D4666" t="s">
        <v>12052</v>
      </c>
      <c r="E4666" t="s">
        <v>12048</v>
      </c>
      <c r="F4666" t="s">
        <v>3396</v>
      </c>
      <c r="G4666" t="s">
        <v>600</v>
      </c>
      <c r="H4666" t="s">
        <v>13225</v>
      </c>
      <c r="I4666" t="s">
        <v>13226</v>
      </c>
      <c r="J4666" t="s">
        <v>1348</v>
      </c>
      <c r="K4666" t="s">
        <v>55</v>
      </c>
      <c r="L4666" t="s">
        <v>2733</v>
      </c>
      <c r="M4666" t="s">
        <v>57</v>
      </c>
      <c r="N4666" t="str">
        <f>"014997"</f>
        <v>014997</v>
      </c>
      <c r="O4666" t="s">
        <v>12505</v>
      </c>
      <c r="P4666" t="s">
        <v>68</v>
      </c>
      <c r="Q4666">
        <v>100</v>
      </c>
      <c r="R4666">
        <v>100</v>
      </c>
      <c r="S4666" t="s">
        <v>60</v>
      </c>
    </row>
    <row r="4667" spans="1:19" x14ac:dyDescent="0.35">
      <c r="A4667">
        <v>8282</v>
      </c>
      <c r="B4667" t="str">
        <f>"008282"</f>
        <v>008282</v>
      </c>
      <c r="C4667" t="s">
        <v>13227</v>
      </c>
      <c r="D4667" t="s">
        <v>3398</v>
      </c>
      <c r="E4667" t="s">
        <v>12048</v>
      </c>
      <c r="F4667" t="s">
        <v>3396</v>
      </c>
      <c r="G4667" t="s">
        <v>600</v>
      </c>
      <c r="H4667" t="s">
        <v>13228</v>
      </c>
      <c r="I4667" t="s">
        <v>13229</v>
      </c>
      <c r="J4667" t="s">
        <v>1348</v>
      </c>
      <c r="K4667" t="s">
        <v>55</v>
      </c>
      <c r="L4667" t="s">
        <v>3462</v>
      </c>
      <c r="M4667" t="s">
        <v>57</v>
      </c>
      <c r="N4667" t="str">
        <f>"016821"</f>
        <v>016821</v>
      </c>
      <c r="O4667" t="s">
        <v>13230</v>
      </c>
      <c r="P4667" t="s">
        <v>68</v>
      </c>
      <c r="Q4667">
        <v>100</v>
      </c>
      <c r="R4667">
        <v>86</v>
      </c>
      <c r="S4667" t="s">
        <v>60</v>
      </c>
    </row>
    <row r="4668" spans="1:19" x14ac:dyDescent="0.35">
      <c r="A4668">
        <v>8282</v>
      </c>
      <c r="B4668" t="str">
        <f>"008282"</f>
        <v>008282</v>
      </c>
      <c r="C4668" t="s">
        <v>13227</v>
      </c>
      <c r="D4668" t="s">
        <v>12052</v>
      </c>
      <c r="E4668" t="s">
        <v>12048</v>
      </c>
      <c r="F4668" t="s">
        <v>3396</v>
      </c>
      <c r="G4668" t="s">
        <v>600</v>
      </c>
      <c r="H4668" t="s">
        <v>13228</v>
      </c>
      <c r="I4668" t="s">
        <v>13229</v>
      </c>
      <c r="J4668" t="s">
        <v>1348</v>
      </c>
      <c r="K4668" t="s">
        <v>55</v>
      </c>
      <c r="L4668" t="s">
        <v>3462</v>
      </c>
      <c r="M4668" t="s">
        <v>57</v>
      </c>
      <c r="N4668" t="str">
        <f>"016821"</f>
        <v>016821</v>
      </c>
      <c r="O4668" t="s">
        <v>13230</v>
      </c>
      <c r="P4668" t="s">
        <v>68</v>
      </c>
      <c r="Q4668">
        <v>100</v>
      </c>
      <c r="R4668">
        <v>86</v>
      </c>
      <c r="S4668" t="s">
        <v>60</v>
      </c>
    </row>
    <row r="4669" spans="1:19" x14ac:dyDescent="0.35">
      <c r="A4669">
        <v>8282</v>
      </c>
      <c r="B4669" t="str">
        <f>"008282"</f>
        <v>008282</v>
      </c>
      <c r="C4669" t="s">
        <v>13227</v>
      </c>
      <c r="D4669" t="s">
        <v>12063</v>
      </c>
      <c r="E4669" t="s">
        <v>12048</v>
      </c>
      <c r="F4669" t="s">
        <v>3396</v>
      </c>
      <c r="G4669" t="s">
        <v>600</v>
      </c>
      <c r="H4669" t="s">
        <v>13228</v>
      </c>
      <c r="I4669" t="s">
        <v>13229</v>
      </c>
      <c r="J4669" t="s">
        <v>1348</v>
      </c>
      <c r="K4669" t="s">
        <v>55</v>
      </c>
      <c r="L4669" t="s">
        <v>3462</v>
      </c>
      <c r="M4669" t="s">
        <v>57</v>
      </c>
      <c r="N4669" t="str">
        <f>"016821"</f>
        <v>016821</v>
      </c>
      <c r="O4669" t="s">
        <v>13230</v>
      </c>
      <c r="P4669" t="s">
        <v>68</v>
      </c>
      <c r="Q4669">
        <v>100</v>
      </c>
      <c r="R4669">
        <v>86</v>
      </c>
      <c r="S4669" t="s">
        <v>60</v>
      </c>
    </row>
    <row r="4670" spans="1:19" x14ac:dyDescent="0.35">
      <c r="A4670">
        <v>8283</v>
      </c>
      <c r="B4670" t="str">
        <f>"008283"</f>
        <v>008283</v>
      </c>
      <c r="C4670" t="s">
        <v>13231</v>
      </c>
      <c r="D4670" t="s">
        <v>3398</v>
      </c>
      <c r="E4670" t="s">
        <v>12048</v>
      </c>
      <c r="F4670" t="s">
        <v>3396</v>
      </c>
      <c r="G4670" t="s">
        <v>543</v>
      </c>
      <c r="H4670" t="s">
        <v>13232</v>
      </c>
      <c r="I4670" t="s">
        <v>13233</v>
      </c>
      <c r="J4670" t="s">
        <v>687</v>
      </c>
      <c r="K4670" t="s">
        <v>55</v>
      </c>
      <c r="L4670" t="s">
        <v>786</v>
      </c>
      <c r="M4670" t="s">
        <v>57</v>
      </c>
      <c r="N4670" t="str">
        <f>"N/A"</f>
        <v>N/A</v>
      </c>
      <c r="O4670" t="s">
        <v>49</v>
      </c>
      <c r="P4670" t="s">
        <v>68</v>
      </c>
      <c r="Q4670">
        <v>100</v>
      </c>
      <c r="R4670">
        <v>100</v>
      </c>
      <c r="S4670" t="s">
        <v>180</v>
      </c>
    </row>
    <row r="4671" spans="1:19" x14ac:dyDescent="0.35">
      <c r="A4671">
        <v>8283</v>
      </c>
      <c r="B4671" t="str">
        <f>"008283"</f>
        <v>008283</v>
      </c>
      <c r="C4671" t="s">
        <v>13231</v>
      </c>
      <c r="D4671" t="s">
        <v>12052</v>
      </c>
      <c r="E4671" t="s">
        <v>12048</v>
      </c>
      <c r="F4671" t="s">
        <v>3396</v>
      </c>
      <c r="G4671" t="s">
        <v>543</v>
      </c>
      <c r="H4671" t="s">
        <v>13232</v>
      </c>
      <c r="I4671" t="s">
        <v>13233</v>
      </c>
      <c r="J4671" t="s">
        <v>687</v>
      </c>
      <c r="K4671" t="s">
        <v>55</v>
      </c>
      <c r="L4671" t="s">
        <v>786</v>
      </c>
      <c r="M4671" t="s">
        <v>57</v>
      </c>
      <c r="N4671" t="str">
        <f>"N/A"</f>
        <v>N/A</v>
      </c>
      <c r="O4671" t="s">
        <v>49</v>
      </c>
      <c r="P4671" t="s">
        <v>68</v>
      </c>
      <c r="Q4671">
        <v>100</v>
      </c>
      <c r="R4671">
        <v>100</v>
      </c>
      <c r="S4671" t="s">
        <v>180</v>
      </c>
    </row>
    <row r="4672" spans="1:19" x14ac:dyDescent="0.35">
      <c r="A4672">
        <v>8283</v>
      </c>
      <c r="B4672" t="str">
        <f>"008283"</f>
        <v>008283</v>
      </c>
      <c r="C4672" t="s">
        <v>13231</v>
      </c>
      <c r="D4672" t="s">
        <v>12063</v>
      </c>
      <c r="E4672" t="s">
        <v>12048</v>
      </c>
      <c r="F4672" t="s">
        <v>3396</v>
      </c>
      <c r="G4672" t="s">
        <v>543</v>
      </c>
      <c r="H4672" t="s">
        <v>13232</v>
      </c>
      <c r="I4672" t="s">
        <v>13233</v>
      </c>
      <c r="J4672" t="s">
        <v>687</v>
      </c>
      <c r="K4672" t="s">
        <v>55</v>
      </c>
      <c r="L4672" t="s">
        <v>786</v>
      </c>
      <c r="M4672" t="s">
        <v>57</v>
      </c>
      <c r="N4672" t="str">
        <f>"N/A"</f>
        <v>N/A</v>
      </c>
      <c r="O4672" t="s">
        <v>49</v>
      </c>
      <c r="P4672" t="s">
        <v>68</v>
      </c>
      <c r="Q4672">
        <v>100</v>
      </c>
      <c r="R4672">
        <v>100</v>
      </c>
      <c r="S4672" t="s">
        <v>180</v>
      </c>
    </row>
    <row r="4673" spans="1:19" x14ac:dyDescent="0.35">
      <c r="A4673">
        <v>8286</v>
      </c>
      <c r="B4673" t="str">
        <f>"008286"</f>
        <v>008286</v>
      </c>
      <c r="C4673" t="s">
        <v>13234</v>
      </c>
      <c r="D4673" t="s">
        <v>3394</v>
      </c>
      <c r="E4673" t="s">
        <v>12048</v>
      </c>
      <c r="F4673" t="s">
        <v>3396</v>
      </c>
      <c r="G4673" t="s">
        <v>63</v>
      </c>
      <c r="H4673" t="s">
        <v>13235</v>
      </c>
      <c r="I4673" t="s">
        <v>13236</v>
      </c>
      <c r="J4673" t="s">
        <v>285</v>
      </c>
      <c r="K4673" t="s">
        <v>55</v>
      </c>
      <c r="L4673" t="s">
        <v>4335</v>
      </c>
      <c r="M4673" t="s">
        <v>57</v>
      </c>
      <c r="N4673" t="str">
        <f>"014997"</f>
        <v>014997</v>
      </c>
      <c r="O4673" t="s">
        <v>12505</v>
      </c>
      <c r="P4673" t="s">
        <v>68</v>
      </c>
      <c r="Q4673">
        <v>100</v>
      </c>
      <c r="R4673">
        <v>100</v>
      </c>
      <c r="S4673" t="s">
        <v>69</v>
      </c>
    </row>
    <row r="4674" spans="1:19" x14ac:dyDescent="0.35">
      <c r="A4674">
        <v>8286</v>
      </c>
      <c r="B4674" t="str">
        <f>"008286"</f>
        <v>008286</v>
      </c>
      <c r="C4674" t="s">
        <v>13234</v>
      </c>
      <c r="D4674" t="s">
        <v>12052</v>
      </c>
      <c r="E4674" t="s">
        <v>12048</v>
      </c>
      <c r="F4674" t="s">
        <v>3396</v>
      </c>
      <c r="G4674" t="s">
        <v>63</v>
      </c>
      <c r="H4674" t="s">
        <v>13235</v>
      </c>
      <c r="I4674" t="s">
        <v>13236</v>
      </c>
      <c r="J4674" t="s">
        <v>285</v>
      </c>
      <c r="K4674" t="s">
        <v>55</v>
      </c>
      <c r="L4674" t="s">
        <v>4335</v>
      </c>
      <c r="M4674" t="s">
        <v>57</v>
      </c>
      <c r="N4674" t="str">
        <f>"014997"</f>
        <v>014997</v>
      </c>
      <c r="O4674" t="s">
        <v>12505</v>
      </c>
      <c r="P4674" t="s">
        <v>68</v>
      </c>
      <c r="Q4674">
        <v>100</v>
      </c>
      <c r="R4674">
        <v>100</v>
      </c>
      <c r="S4674" t="s">
        <v>69</v>
      </c>
    </row>
    <row r="4675" spans="1:19" x14ac:dyDescent="0.35">
      <c r="A4675">
        <v>8287</v>
      </c>
      <c r="B4675" t="str">
        <f>"008287"</f>
        <v>008287</v>
      </c>
      <c r="C4675" t="s">
        <v>13237</v>
      </c>
      <c r="D4675" t="s">
        <v>3394</v>
      </c>
      <c r="E4675" t="s">
        <v>12048</v>
      </c>
      <c r="F4675" t="s">
        <v>3396</v>
      </c>
      <c r="G4675" t="s">
        <v>600</v>
      </c>
      <c r="H4675" t="s">
        <v>13238</v>
      </c>
      <c r="I4675" t="s">
        <v>13239</v>
      </c>
      <c r="J4675" t="s">
        <v>1081</v>
      </c>
      <c r="K4675" t="s">
        <v>55</v>
      </c>
      <c r="L4675" t="s">
        <v>1082</v>
      </c>
      <c r="M4675" t="s">
        <v>57</v>
      </c>
      <c r="N4675" t="str">
        <f>"014995"</f>
        <v>014995</v>
      </c>
      <c r="O4675" t="s">
        <v>12501</v>
      </c>
      <c r="P4675" t="s">
        <v>68</v>
      </c>
      <c r="Q4675">
        <v>99.5</v>
      </c>
      <c r="R4675">
        <v>88.4</v>
      </c>
      <c r="S4675" t="s">
        <v>60</v>
      </c>
    </row>
    <row r="4676" spans="1:19" x14ac:dyDescent="0.35">
      <c r="A4676">
        <v>8287</v>
      </c>
      <c r="B4676" t="str">
        <f>"008287"</f>
        <v>008287</v>
      </c>
      <c r="C4676" t="s">
        <v>13237</v>
      </c>
      <c r="D4676" t="s">
        <v>12052</v>
      </c>
      <c r="E4676" t="s">
        <v>12048</v>
      </c>
      <c r="F4676" t="s">
        <v>3396</v>
      </c>
      <c r="G4676" t="s">
        <v>600</v>
      </c>
      <c r="H4676" t="s">
        <v>13238</v>
      </c>
      <c r="I4676" t="s">
        <v>13239</v>
      </c>
      <c r="J4676" t="s">
        <v>1081</v>
      </c>
      <c r="K4676" t="s">
        <v>55</v>
      </c>
      <c r="L4676" t="s">
        <v>1082</v>
      </c>
      <c r="M4676" t="s">
        <v>57</v>
      </c>
      <c r="N4676" t="str">
        <f>"014995"</f>
        <v>014995</v>
      </c>
      <c r="O4676" t="s">
        <v>12501</v>
      </c>
      <c r="P4676" t="s">
        <v>68</v>
      </c>
      <c r="Q4676">
        <v>99.5</v>
      </c>
      <c r="R4676">
        <v>88.4</v>
      </c>
      <c r="S4676" t="s">
        <v>60</v>
      </c>
    </row>
    <row r="4677" spans="1:19" x14ac:dyDescent="0.35">
      <c r="A4677">
        <v>8289</v>
      </c>
      <c r="B4677" t="str">
        <f>"008289"</f>
        <v>008289</v>
      </c>
      <c r="C4677" t="s">
        <v>13240</v>
      </c>
      <c r="D4677" t="s">
        <v>3398</v>
      </c>
      <c r="E4677" t="s">
        <v>12048</v>
      </c>
      <c r="F4677" t="s">
        <v>3396</v>
      </c>
      <c r="G4677" t="s">
        <v>200</v>
      </c>
      <c r="H4677" t="s">
        <v>13241</v>
      </c>
      <c r="I4677" t="s">
        <v>13242</v>
      </c>
      <c r="J4677" t="s">
        <v>2685</v>
      </c>
      <c r="K4677" t="s">
        <v>55</v>
      </c>
      <c r="L4677" t="s">
        <v>2686</v>
      </c>
      <c r="M4677" t="s">
        <v>57</v>
      </c>
      <c r="N4677" t="str">
        <f>"N/A"</f>
        <v>N/A</v>
      </c>
      <c r="O4677" t="s">
        <v>49</v>
      </c>
      <c r="P4677" t="s">
        <v>68</v>
      </c>
      <c r="Q4677">
        <v>64.2</v>
      </c>
      <c r="R4677">
        <v>35.799999999999997</v>
      </c>
      <c r="S4677" t="s">
        <v>156</v>
      </c>
    </row>
    <row r="4678" spans="1:19" x14ac:dyDescent="0.35">
      <c r="A4678">
        <v>8289</v>
      </c>
      <c r="B4678" t="str">
        <f>"008289"</f>
        <v>008289</v>
      </c>
      <c r="C4678" t="s">
        <v>13240</v>
      </c>
      <c r="D4678" t="s">
        <v>12052</v>
      </c>
      <c r="E4678" t="s">
        <v>12048</v>
      </c>
      <c r="F4678" t="s">
        <v>3396</v>
      </c>
      <c r="G4678" t="s">
        <v>200</v>
      </c>
      <c r="H4678" t="s">
        <v>13241</v>
      </c>
      <c r="I4678" t="s">
        <v>13242</v>
      </c>
      <c r="J4678" t="s">
        <v>2685</v>
      </c>
      <c r="K4678" t="s">
        <v>55</v>
      </c>
      <c r="L4678" t="s">
        <v>2686</v>
      </c>
      <c r="M4678" t="s">
        <v>57</v>
      </c>
      <c r="N4678" t="str">
        <f>"N/A"</f>
        <v>N/A</v>
      </c>
      <c r="O4678" t="s">
        <v>49</v>
      </c>
      <c r="P4678" t="s">
        <v>68</v>
      </c>
      <c r="Q4678">
        <v>64.2</v>
      </c>
      <c r="R4678">
        <v>35.799999999999997</v>
      </c>
      <c r="S4678" t="s">
        <v>156</v>
      </c>
    </row>
    <row r="4679" spans="1:19" x14ac:dyDescent="0.35">
      <c r="A4679">
        <v>8289</v>
      </c>
      <c r="B4679" t="str">
        <f>"008289"</f>
        <v>008289</v>
      </c>
      <c r="C4679" t="s">
        <v>13240</v>
      </c>
      <c r="D4679" t="s">
        <v>12063</v>
      </c>
      <c r="E4679" t="s">
        <v>12048</v>
      </c>
      <c r="F4679" t="s">
        <v>3396</v>
      </c>
      <c r="G4679" t="s">
        <v>200</v>
      </c>
      <c r="H4679" t="s">
        <v>13241</v>
      </c>
      <c r="I4679" t="s">
        <v>13242</v>
      </c>
      <c r="J4679" t="s">
        <v>2685</v>
      </c>
      <c r="K4679" t="s">
        <v>55</v>
      </c>
      <c r="L4679" t="s">
        <v>2686</v>
      </c>
      <c r="M4679" t="s">
        <v>57</v>
      </c>
      <c r="N4679" t="str">
        <f>"N/A"</f>
        <v>N/A</v>
      </c>
      <c r="O4679" t="s">
        <v>49</v>
      </c>
      <c r="P4679" t="s">
        <v>68</v>
      </c>
      <c r="Q4679">
        <v>64.2</v>
      </c>
      <c r="R4679">
        <v>35.799999999999997</v>
      </c>
      <c r="S4679" t="s">
        <v>156</v>
      </c>
    </row>
    <row r="4680" spans="1:19" x14ac:dyDescent="0.35">
      <c r="A4680">
        <v>8290</v>
      </c>
      <c r="B4680" t="str">
        <f>"008290"</f>
        <v>008290</v>
      </c>
      <c r="C4680" t="s">
        <v>13243</v>
      </c>
      <c r="D4680" t="s">
        <v>3394</v>
      </c>
      <c r="E4680" t="s">
        <v>3395</v>
      </c>
      <c r="F4680" t="s">
        <v>3396</v>
      </c>
      <c r="G4680" t="s">
        <v>172</v>
      </c>
      <c r="H4680" t="s">
        <v>13244</v>
      </c>
      <c r="I4680" t="s">
        <v>13245</v>
      </c>
      <c r="J4680" t="s">
        <v>1873</v>
      </c>
      <c r="K4680" t="s">
        <v>55</v>
      </c>
      <c r="L4680" t="s">
        <v>1874</v>
      </c>
      <c r="M4680" t="s">
        <v>57</v>
      </c>
      <c r="N4680" t="str">
        <f>"050427"</f>
        <v>050427</v>
      </c>
      <c r="O4680" t="s">
        <v>1870</v>
      </c>
      <c r="P4680" t="s">
        <v>68</v>
      </c>
      <c r="Q4680">
        <v>10.7</v>
      </c>
      <c r="R4680">
        <v>8.7000000000000028</v>
      </c>
      <c r="S4680" t="s">
        <v>217</v>
      </c>
    </row>
    <row r="4681" spans="1:19" x14ac:dyDescent="0.35">
      <c r="A4681">
        <v>8294</v>
      </c>
      <c r="B4681" t="str">
        <f>"008294"</f>
        <v>008294</v>
      </c>
      <c r="C4681" t="s">
        <v>13246</v>
      </c>
      <c r="D4681" t="s">
        <v>3394</v>
      </c>
      <c r="E4681" t="s">
        <v>3395</v>
      </c>
      <c r="F4681" t="s">
        <v>3396</v>
      </c>
      <c r="G4681" t="s">
        <v>172</v>
      </c>
      <c r="H4681" t="s">
        <v>13247</v>
      </c>
      <c r="I4681" t="s">
        <v>13248</v>
      </c>
      <c r="J4681" t="s">
        <v>1858</v>
      </c>
      <c r="K4681" t="s">
        <v>55</v>
      </c>
      <c r="L4681" t="s">
        <v>1859</v>
      </c>
      <c r="M4681" t="s">
        <v>57</v>
      </c>
      <c r="N4681" t="str">
        <f>"050427"</f>
        <v>050427</v>
      </c>
      <c r="O4681" t="s">
        <v>1870</v>
      </c>
      <c r="P4681" t="s">
        <v>68</v>
      </c>
      <c r="Q4681">
        <v>7.8</v>
      </c>
      <c r="R4681">
        <v>12.799999999999997</v>
      </c>
      <c r="S4681" t="s">
        <v>217</v>
      </c>
    </row>
    <row r="4682" spans="1:19" x14ac:dyDescent="0.35">
      <c r="A4682">
        <v>8298</v>
      </c>
      <c r="B4682" t="str">
        <f>"008298"</f>
        <v>008298</v>
      </c>
      <c r="C4682" t="s">
        <v>13249</v>
      </c>
      <c r="D4682" t="s">
        <v>3398</v>
      </c>
      <c r="E4682" t="s">
        <v>3395</v>
      </c>
      <c r="F4682" t="s">
        <v>3396</v>
      </c>
      <c r="G4682" t="s">
        <v>1193</v>
      </c>
      <c r="H4682" t="s">
        <v>13250</v>
      </c>
      <c r="I4682" t="s">
        <v>13251</v>
      </c>
      <c r="J4682" t="s">
        <v>1196</v>
      </c>
      <c r="K4682" t="s">
        <v>55</v>
      </c>
      <c r="L4682" t="s">
        <v>1197</v>
      </c>
      <c r="M4682" t="s">
        <v>57</v>
      </c>
      <c r="N4682" t="str">
        <f>"044222"</f>
        <v>044222</v>
      </c>
      <c r="O4682" t="s">
        <v>1827</v>
      </c>
      <c r="P4682" t="s">
        <v>68</v>
      </c>
      <c r="Q4682">
        <v>100</v>
      </c>
      <c r="R4682">
        <v>63.8</v>
      </c>
      <c r="S4682" t="s">
        <v>156</v>
      </c>
    </row>
    <row r="4683" spans="1:19" x14ac:dyDescent="0.35">
      <c r="A4683">
        <v>8304</v>
      </c>
      <c r="B4683" t="str">
        <f>"008304"</f>
        <v>008304</v>
      </c>
      <c r="C4683" t="s">
        <v>13252</v>
      </c>
      <c r="D4683" t="s">
        <v>3394</v>
      </c>
      <c r="E4683" t="s">
        <v>3395</v>
      </c>
      <c r="F4683" t="s">
        <v>3396</v>
      </c>
      <c r="G4683" t="s">
        <v>117</v>
      </c>
      <c r="H4683" t="s">
        <v>13253</v>
      </c>
      <c r="I4683" t="s">
        <v>13254</v>
      </c>
      <c r="J4683" t="s">
        <v>1409</v>
      </c>
      <c r="K4683" t="s">
        <v>55</v>
      </c>
      <c r="L4683" t="s">
        <v>4339</v>
      </c>
      <c r="M4683" t="s">
        <v>57</v>
      </c>
      <c r="N4683" t="str">
        <f>"049932"</f>
        <v>049932</v>
      </c>
      <c r="O4683" t="s">
        <v>1406</v>
      </c>
      <c r="P4683" t="s">
        <v>68</v>
      </c>
      <c r="Q4683">
        <v>32.9</v>
      </c>
      <c r="R4683">
        <v>22.5</v>
      </c>
      <c r="S4683" t="s">
        <v>77</v>
      </c>
    </row>
    <row r="4684" spans="1:19" x14ac:dyDescent="0.35">
      <c r="A4684">
        <v>8309</v>
      </c>
      <c r="B4684" t="str">
        <f>"008309"</f>
        <v>008309</v>
      </c>
      <c r="C4684" t="s">
        <v>13255</v>
      </c>
      <c r="D4684" t="s">
        <v>3398</v>
      </c>
      <c r="E4684" t="s">
        <v>3395</v>
      </c>
      <c r="F4684" t="s">
        <v>3396</v>
      </c>
      <c r="G4684" t="s">
        <v>143</v>
      </c>
      <c r="H4684" t="s">
        <v>13256</v>
      </c>
      <c r="I4684" t="s">
        <v>13257</v>
      </c>
      <c r="J4684" t="s">
        <v>143</v>
      </c>
      <c r="K4684" t="s">
        <v>55</v>
      </c>
      <c r="L4684" t="s">
        <v>1033</v>
      </c>
      <c r="M4684" t="s">
        <v>57</v>
      </c>
      <c r="N4684" t="str">
        <f>"044263"</f>
        <v>044263</v>
      </c>
      <c r="O4684" t="s">
        <v>1364</v>
      </c>
      <c r="P4684" t="s">
        <v>68</v>
      </c>
      <c r="Q4684">
        <v>100</v>
      </c>
      <c r="R4684">
        <v>78.900000000000006</v>
      </c>
      <c r="S4684" t="s">
        <v>69</v>
      </c>
    </row>
    <row r="4685" spans="1:19" x14ac:dyDescent="0.35">
      <c r="A4685">
        <v>8933</v>
      </c>
      <c r="B4685" t="str">
        <f>"008933"</f>
        <v>008933</v>
      </c>
      <c r="C4685" t="s">
        <v>4357</v>
      </c>
      <c r="D4685" t="s">
        <v>3394</v>
      </c>
      <c r="E4685" t="s">
        <v>3395</v>
      </c>
      <c r="F4685" t="s">
        <v>3396</v>
      </c>
      <c r="G4685" t="s">
        <v>244</v>
      </c>
      <c r="H4685" t="s">
        <v>13258</v>
      </c>
      <c r="I4685" t="s">
        <v>13259</v>
      </c>
      <c r="J4685" t="s">
        <v>1179</v>
      </c>
      <c r="K4685" t="s">
        <v>55</v>
      </c>
      <c r="L4685" t="s">
        <v>3475</v>
      </c>
      <c r="M4685" t="s">
        <v>57</v>
      </c>
      <c r="N4685" t="str">
        <f>"044404"</f>
        <v>044404</v>
      </c>
      <c r="O4685" t="s">
        <v>1176</v>
      </c>
      <c r="P4685" t="s">
        <v>68</v>
      </c>
      <c r="Q4685">
        <v>100</v>
      </c>
      <c r="R4685">
        <v>69.900000000000006</v>
      </c>
      <c r="S4685" t="s">
        <v>217</v>
      </c>
    </row>
    <row r="4686" spans="1:19" x14ac:dyDescent="0.35">
      <c r="A4686">
        <v>8972</v>
      </c>
      <c r="B4686" t="str">
        <f>"008972"</f>
        <v>008972</v>
      </c>
      <c r="C4686" t="s">
        <v>13260</v>
      </c>
      <c r="D4686" t="s">
        <v>3394</v>
      </c>
      <c r="E4686" t="s">
        <v>9538</v>
      </c>
      <c r="F4686" t="s">
        <v>3396</v>
      </c>
      <c r="G4686" t="s">
        <v>200</v>
      </c>
      <c r="H4686" t="s">
        <v>13261</v>
      </c>
      <c r="I4686" t="s">
        <v>13262</v>
      </c>
      <c r="J4686" t="s">
        <v>431</v>
      </c>
      <c r="K4686" t="s">
        <v>55</v>
      </c>
      <c r="L4686" t="s">
        <v>432</v>
      </c>
      <c r="M4686" t="s">
        <v>57</v>
      </c>
      <c r="N4686" t="str">
        <f>"008972"</f>
        <v>008972</v>
      </c>
      <c r="O4686" t="s">
        <v>13260</v>
      </c>
      <c r="P4686" t="s">
        <v>68</v>
      </c>
      <c r="Q4686" t="s">
        <v>68</v>
      </c>
      <c r="R4686" t="s">
        <v>68</v>
      </c>
      <c r="S4686" t="s">
        <v>156</v>
      </c>
    </row>
    <row r="4687" spans="1:19" x14ac:dyDescent="0.35">
      <c r="A4687">
        <v>8973</v>
      </c>
      <c r="B4687" t="str">
        <f>"008973"</f>
        <v>008973</v>
      </c>
      <c r="C4687" t="s">
        <v>13263</v>
      </c>
      <c r="D4687" t="s">
        <v>3394</v>
      </c>
      <c r="E4687" t="s">
        <v>9538</v>
      </c>
      <c r="F4687" t="s">
        <v>3396</v>
      </c>
      <c r="G4687" t="s">
        <v>212</v>
      </c>
      <c r="H4687" t="s">
        <v>13264</v>
      </c>
      <c r="I4687" t="s">
        <v>13265</v>
      </c>
      <c r="J4687" t="s">
        <v>215</v>
      </c>
      <c r="K4687" t="s">
        <v>55</v>
      </c>
      <c r="L4687" t="s">
        <v>4476</v>
      </c>
      <c r="M4687" t="s">
        <v>57</v>
      </c>
      <c r="N4687" t="str">
        <f>"008973"</f>
        <v>008973</v>
      </c>
      <c r="O4687" t="s">
        <v>13263</v>
      </c>
      <c r="P4687" t="s">
        <v>68</v>
      </c>
      <c r="Q4687" t="s">
        <v>68</v>
      </c>
      <c r="R4687" t="s">
        <v>68</v>
      </c>
      <c r="S4687" t="s">
        <v>217</v>
      </c>
    </row>
    <row r="4688" spans="1:19" x14ac:dyDescent="0.35">
      <c r="A4688">
        <v>8983</v>
      </c>
      <c r="B4688" t="str">
        <f>"008983"</f>
        <v>008983</v>
      </c>
      <c r="C4688" t="s">
        <v>13266</v>
      </c>
      <c r="D4688" t="s">
        <v>3394</v>
      </c>
      <c r="E4688" t="s">
        <v>3395</v>
      </c>
      <c r="F4688" t="s">
        <v>3396</v>
      </c>
      <c r="G4688" t="s">
        <v>244</v>
      </c>
      <c r="H4688" t="s">
        <v>13267</v>
      </c>
      <c r="I4688" t="s">
        <v>13268</v>
      </c>
      <c r="J4688" t="s">
        <v>13269</v>
      </c>
      <c r="K4688" t="s">
        <v>55</v>
      </c>
      <c r="L4688" t="s">
        <v>3475</v>
      </c>
      <c r="M4688" t="s">
        <v>57</v>
      </c>
      <c r="N4688" t="str">
        <f>"046110"</f>
        <v>046110</v>
      </c>
      <c r="O4688" t="s">
        <v>2005</v>
      </c>
      <c r="P4688" t="s">
        <v>68</v>
      </c>
      <c r="Q4688">
        <v>22.5</v>
      </c>
      <c r="R4688">
        <v>35.400000000000006</v>
      </c>
      <c r="S4688" t="s">
        <v>217</v>
      </c>
    </row>
    <row r="4689" spans="1:19" x14ac:dyDescent="0.35">
      <c r="A4689">
        <v>8984</v>
      </c>
      <c r="B4689" t="str">
        <f>"008984"</f>
        <v>008984</v>
      </c>
      <c r="C4689" t="s">
        <v>13270</v>
      </c>
      <c r="D4689" t="s">
        <v>3394</v>
      </c>
      <c r="E4689" t="s">
        <v>3395</v>
      </c>
      <c r="F4689" t="s">
        <v>3396</v>
      </c>
      <c r="G4689" t="s">
        <v>244</v>
      </c>
      <c r="H4689" t="s">
        <v>13271</v>
      </c>
      <c r="I4689" t="s">
        <v>3454</v>
      </c>
      <c r="J4689" t="s">
        <v>13272</v>
      </c>
      <c r="K4689" t="s">
        <v>55</v>
      </c>
      <c r="L4689" t="s">
        <v>5919</v>
      </c>
      <c r="M4689" t="s">
        <v>57</v>
      </c>
      <c r="N4689" t="str">
        <f>"046110"</f>
        <v>046110</v>
      </c>
      <c r="O4689" t="s">
        <v>2005</v>
      </c>
      <c r="P4689" t="s">
        <v>68</v>
      </c>
      <c r="Q4689">
        <v>19.399999999999999</v>
      </c>
      <c r="R4689">
        <v>50.2</v>
      </c>
      <c r="S4689" t="s">
        <v>217</v>
      </c>
    </row>
    <row r="4690" spans="1:19" x14ac:dyDescent="0.35">
      <c r="A4690">
        <v>9029</v>
      </c>
      <c r="B4690" t="str">
        <f>"009029"</f>
        <v>009029</v>
      </c>
      <c r="C4690" t="s">
        <v>13273</v>
      </c>
      <c r="D4690" t="s">
        <v>3394</v>
      </c>
      <c r="E4690" t="s">
        <v>3395</v>
      </c>
      <c r="F4690" t="s">
        <v>3396</v>
      </c>
      <c r="G4690" t="s">
        <v>63</v>
      </c>
      <c r="H4690" t="s">
        <v>13274</v>
      </c>
      <c r="I4690" t="s">
        <v>13275</v>
      </c>
      <c r="J4690" t="s">
        <v>842</v>
      </c>
      <c r="K4690" t="s">
        <v>55</v>
      </c>
      <c r="L4690" t="s">
        <v>843</v>
      </c>
      <c r="M4690" t="s">
        <v>57</v>
      </c>
      <c r="N4690" t="str">
        <f>"044305"</f>
        <v>044305</v>
      </c>
      <c r="O4690" t="s">
        <v>839</v>
      </c>
      <c r="P4690" t="s">
        <v>68</v>
      </c>
      <c r="Q4690">
        <v>99.8</v>
      </c>
      <c r="R4690">
        <v>100</v>
      </c>
      <c r="S4690" t="s">
        <v>69</v>
      </c>
    </row>
    <row r="4691" spans="1:19" x14ac:dyDescent="0.35">
      <c r="A4691">
        <v>9030</v>
      </c>
      <c r="B4691" t="str">
        <f>"009030"</f>
        <v>009030</v>
      </c>
      <c r="C4691" t="s">
        <v>13276</v>
      </c>
      <c r="D4691" t="s">
        <v>3394</v>
      </c>
      <c r="E4691" t="s">
        <v>3395</v>
      </c>
      <c r="F4691" t="s">
        <v>3396</v>
      </c>
      <c r="G4691" t="s">
        <v>63</v>
      </c>
      <c r="H4691" t="s">
        <v>13277</v>
      </c>
      <c r="I4691" t="s">
        <v>13278</v>
      </c>
      <c r="J4691" t="s">
        <v>842</v>
      </c>
      <c r="K4691" t="s">
        <v>55</v>
      </c>
      <c r="L4691" t="s">
        <v>843</v>
      </c>
      <c r="M4691" t="s">
        <v>57</v>
      </c>
      <c r="N4691" t="str">
        <f>"044305"</f>
        <v>044305</v>
      </c>
      <c r="O4691" t="s">
        <v>839</v>
      </c>
      <c r="P4691" t="s">
        <v>68</v>
      </c>
      <c r="Q4691">
        <v>100</v>
      </c>
      <c r="R4691">
        <v>98</v>
      </c>
      <c r="S4691" t="s">
        <v>69</v>
      </c>
    </row>
    <row r="4692" spans="1:19" x14ac:dyDescent="0.35">
      <c r="A4692">
        <v>9031</v>
      </c>
      <c r="B4692" t="str">
        <f>"009031"</f>
        <v>009031</v>
      </c>
      <c r="C4692" t="s">
        <v>13279</v>
      </c>
      <c r="D4692" t="s">
        <v>3394</v>
      </c>
      <c r="E4692" t="s">
        <v>3395</v>
      </c>
      <c r="F4692" t="s">
        <v>3396</v>
      </c>
      <c r="G4692" t="s">
        <v>63</v>
      </c>
      <c r="H4692" t="s">
        <v>13280</v>
      </c>
      <c r="I4692" t="s">
        <v>13281</v>
      </c>
      <c r="J4692" t="s">
        <v>842</v>
      </c>
      <c r="K4692" t="s">
        <v>55</v>
      </c>
      <c r="L4692" t="s">
        <v>843</v>
      </c>
      <c r="M4692" t="s">
        <v>57</v>
      </c>
      <c r="N4692" t="str">
        <f>"044305"</f>
        <v>044305</v>
      </c>
      <c r="O4692" t="s">
        <v>839</v>
      </c>
      <c r="P4692" t="s">
        <v>68</v>
      </c>
      <c r="Q4692">
        <v>99.8</v>
      </c>
      <c r="R4692">
        <v>97.8</v>
      </c>
      <c r="S4692" t="s">
        <v>69</v>
      </c>
    </row>
    <row r="4693" spans="1:19" x14ac:dyDescent="0.35">
      <c r="A4693">
        <v>9038</v>
      </c>
      <c r="B4693" t="str">
        <f>"009038"</f>
        <v>009038</v>
      </c>
      <c r="C4693" t="s">
        <v>13282</v>
      </c>
      <c r="D4693" t="s">
        <v>3398</v>
      </c>
      <c r="E4693" t="s">
        <v>3395</v>
      </c>
      <c r="F4693" t="s">
        <v>3396</v>
      </c>
      <c r="G4693" t="s">
        <v>200</v>
      </c>
      <c r="H4693" t="s">
        <v>302</v>
      </c>
      <c r="I4693" t="s">
        <v>303</v>
      </c>
      <c r="J4693" t="s">
        <v>304</v>
      </c>
      <c r="K4693" t="s">
        <v>55</v>
      </c>
      <c r="L4693" t="s">
        <v>305</v>
      </c>
      <c r="M4693" t="s">
        <v>57</v>
      </c>
      <c r="N4693" t="str">
        <f>"044909"</f>
        <v>044909</v>
      </c>
      <c r="O4693" t="s">
        <v>3318</v>
      </c>
      <c r="P4693" t="s">
        <v>68</v>
      </c>
      <c r="Q4693">
        <v>99.7</v>
      </c>
      <c r="R4693">
        <v>57.3</v>
      </c>
      <c r="S4693" t="s">
        <v>156</v>
      </c>
    </row>
    <row r="4694" spans="1:19" x14ac:dyDescent="0.35">
      <c r="A4694">
        <v>9075</v>
      </c>
      <c r="B4694" t="str">
        <f>"009075"</f>
        <v>009075</v>
      </c>
      <c r="C4694" t="s">
        <v>13283</v>
      </c>
      <c r="D4694" t="s">
        <v>3394</v>
      </c>
      <c r="E4694" t="s">
        <v>3395</v>
      </c>
      <c r="F4694" t="s">
        <v>3396</v>
      </c>
      <c r="G4694" t="s">
        <v>52</v>
      </c>
      <c r="H4694" t="s">
        <v>13284</v>
      </c>
      <c r="I4694" t="s">
        <v>13285</v>
      </c>
      <c r="J4694" t="s">
        <v>10981</v>
      </c>
      <c r="K4694" t="s">
        <v>55</v>
      </c>
      <c r="L4694" t="s">
        <v>10982</v>
      </c>
      <c r="M4694" t="s">
        <v>57</v>
      </c>
      <c r="N4694" t="str">
        <f>"046763"</f>
        <v>046763</v>
      </c>
      <c r="O4694" t="s">
        <v>2667</v>
      </c>
      <c r="P4694" t="s">
        <v>68</v>
      </c>
      <c r="Q4694">
        <v>2.7</v>
      </c>
      <c r="R4694">
        <v>20.900000000000006</v>
      </c>
      <c r="S4694" t="s">
        <v>60</v>
      </c>
    </row>
    <row r="4695" spans="1:19" x14ac:dyDescent="0.35">
      <c r="A4695">
        <v>9077</v>
      </c>
      <c r="B4695" t="str">
        <f>"009077"</f>
        <v>009077</v>
      </c>
      <c r="C4695" t="s">
        <v>13286</v>
      </c>
      <c r="D4695" t="s">
        <v>3400</v>
      </c>
      <c r="E4695" t="s">
        <v>3395</v>
      </c>
      <c r="F4695" t="s">
        <v>3396</v>
      </c>
      <c r="G4695" t="s">
        <v>52</v>
      </c>
      <c r="H4695" t="s">
        <v>13287</v>
      </c>
      <c r="I4695" t="s">
        <v>13288</v>
      </c>
      <c r="J4695" t="s">
        <v>11302</v>
      </c>
      <c r="K4695" t="s">
        <v>55</v>
      </c>
      <c r="L4695" t="s">
        <v>11303</v>
      </c>
      <c r="M4695" t="s">
        <v>57</v>
      </c>
      <c r="N4695" t="str">
        <f>"046763"</f>
        <v>046763</v>
      </c>
      <c r="O4695" t="s">
        <v>2667</v>
      </c>
      <c r="P4695" t="s">
        <v>68</v>
      </c>
      <c r="Q4695">
        <v>7.2</v>
      </c>
      <c r="R4695">
        <v>31.200000000000003</v>
      </c>
      <c r="S4695" t="s">
        <v>60</v>
      </c>
    </row>
    <row r="4696" spans="1:19" x14ac:dyDescent="0.35">
      <c r="A4696">
        <v>9078</v>
      </c>
      <c r="B4696" t="str">
        <f>"009078"</f>
        <v>009078</v>
      </c>
      <c r="C4696" t="s">
        <v>13289</v>
      </c>
      <c r="D4696" t="s">
        <v>3394</v>
      </c>
      <c r="E4696" t="s">
        <v>3395</v>
      </c>
      <c r="F4696" t="s">
        <v>3396</v>
      </c>
      <c r="G4696" t="s">
        <v>52</v>
      </c>
      <c r="H4696" t="s">
        <v>13290</v>
      </c>
      <c r="I4696" t="s">
        <v>13291</v>
      </c>
      <c r="J4696" t="s">
        <v>11302</v>
      </c>
      <c r="K4696" t="s">
        <v>55</v>
      </c>
      <c r="L4696" t="s">
        <v>11303</v>
      </c>
      <c r="M4696" t="s">
        <v>57</v>
      </c>
      <c r="N4696" t="str">
        <f>"046763"</f>
        <v>046763</v>
      </c>
      <c r="O4696" t="s">
        <v>2667</v>
      </c>
      <c r="P4696" t="s">
        <v>68</v>
      </c>
      <c r="Q4696">
        <v>4.7</v>
      </c>
      <c r="R4696">
        <v>36.4</v>
      </c>
      <c r="S4696" t="s">
        <v>60</v>
      </c>
    </row>
    <row r="4697" spans="1:19" x14ac:dyDescent="0.35">
      <c r="A4697">
        <v>9090</v>
      </c>
      <c r="B4697" t="str">
        <f>"009090"</f>
        <v>009090</v>
      </c>
      <c r="C4697" t="s">
        <v>9006</v>
      </c>
      <c r="D4697" t="s">
        <v>3394</v>
      </c>
      <c r="E4697" t="s">
        <v>3395</v>
      </c>
      <c r="F4697" t="s">
        <v>3396</v>
      </c>
      <c r="G4697" t="s">
        <v>600</v>
      </c>
      <c r="H4697" t="s">
        <v>13292</v>
      </c>
      <c r="I4697" t="s">
        <v>13293</v>
      </c>
      <c r="J4697" t="s">
        <v>1956</v>
      </c>
      <c r="K4697" t="s">
        <v>55</v>
      </c>
      <c r="L4697" t="s">
        <v>7495</v>
      </c>
      <c r="M4697" t="s">
        <v>57</v>
      </c>
      <c r="N4697" t="str">
        <f>"047019"</f>
        <v>047019</v>
      </c>
      <c r="O4697" t="s">
        <v>1345</v>
      </c>
      <c r="P4697" t="s">
        <v>68</v>
      </c>
      <c r="Q4697">
        <v>10.1</v>
      </c>
      <c r="R4697">
        <v>37.4</v>
      </c>
      <c r="S4697" t="s">
        <v>60</v>
      </c>
    </row>
    <row r="4698" spans="1:19" x14ac:dyDescent="0.35">
      <c r="A4698">
        <v>9091</v>
      </c>
      <c r="B4698" t="str">
        <f>"009091"</f>
        <v>009091</v>
      </c>
      <c r="C4698" t="s">
        <v>13294</v>
      </c>
      <c r="D4698" t="s">
        <v>3398</v>
      </c>
      <c r="E4698" t="s">
        <v>3395</v>
      </c>
      <c r="F4698" t="s">
        <v>3396</v>
      </c>
      <c r="G4698" t="s">
        <v>600</v>
      </c>
      <c r="H4698" t="s">
        <v>13295</v>
      </c>
      <c r="I4698" t="s">
        <v>13296</v>
      </c>
      <c r="J4698" t="s">
        <v>3622</v>
      </c>
      <c r="K4698" t="s">
        <v>55</v>
      </c>
      <c r="L4698" t="s">
        <v>3623</v>
      </c>
      <c r="M4698" t="s">
        <v>57</v>
      </c>
      <c r="N4698" t="str">
        <f>"047019"</f>
        <v>047019</v>
      </c>
      <c r="O4698" t="s">
        <v>1345</v>
      </c>
      <c r="P4698" t="s">
        <v>68</v>
      </c>
      <c r="Q4698">
        <v>26.1</v>
      </c>
      <c r="R4698">
        <v>35.5</v>
      </c>
      <c r="S4698" t="s">
        <v>60</v>
      </c>
    </row>
    <row r="4699" spans="1:19" x14ac:dyDescent="0.35">
      <c r="A4699">
        <v>9107</v>
      </c>
      <c r="B4699" t="str">
        <f>"009107"</f>
        <v>009107</v>
      </c>
      <c r="C4699" t="s">
        <v>13297</v>
      </c>
      <c r="D4699" t="s">
        <v>3394</v>
      </c>
      <c r="E4699" t="s">
        <v>3395</v>
      </c>
      <c r="F4699" t="s">
        <v>3396</v>
      </c>
      <c r="G4699" t="s">
        <v>264</v>
      </c>
      <c r="H4699" t="s">
        <v>13298</v>
      </c>
      <c r="I4699" t="s">
        <v>13299</v>
      </c>
      <c r="J4699" t="s">
        <v>267</v>
      </c>
      <c r="K4699" t="s">
        <v>55</v>
      </c>
      <c r="L4699" t="s">
        <v>8383</v>
      </c>
      <c r="M4699" t="s">
        <v>57</v>
      </c>
      <c r="N4699" t="str">
        <f>"043489"</f>
        <v>043489</v>
      </c>
      <c r="O4699" t="s">
        <v>3176</v>
      </c>
      <c r="P4699" t="s">
        <v>68</v>
      </c>
      <c r="Q4699">
        <v>100</v>
      </c>
      <c r="R4699">
        <v>95.4</v>
      </c>
      <c r="S4699" t="s">
        <v>77</v>
      </c>
    </row>
    <row r="4700" spans="1:19" x14ac:dyDescent="0.35">
      <c r="A4700">
        <v>9108</v>
      </c>
      <c r="B4700" t="str">
        <f>"009108"</f>
        <v>009108</v>
      </c>
      <c r="C4700" t="s">
        <v>13300</v>
      </c>
      <c r="D4700" t="s">
        <v>3394</v>
      </c>
      <c r="E4700" t="s">
        <v>3395</v>
      </c>
      <c r="F4700" t="s">
        <v>3396</v>
      </c>
      <c r="G4700" t="s">
        <v>169</v>
      </c>
      <c r="H4700" t="s">
        <v>13301</v>
      </c>
      <c r="I4700" t="s">
        <v>13302</v>
      </c>
      <c r="J4700" t="s">
        <v>172</v>
      </c>
      <c r="K4700" t="s">
        <v>55</v>
      </c>
      <c r="L4700" t="s">
        <v>173</v>
      </c>
      <c r="M4700" t="s">
        <v>57</v>
      </c>
      <c r="N4700" t="str">
        <f>"044990"</f>
        <v>044990</v>
      </c>
      <c r="O4700" t="s">
        <v>692</v>
      </c>
      <c r="P4700" t="s">
        <v>68</v>
      </c>
      <c r="Q4700">
        <v>99.8</v>
      </c>
      <c r="R4700">
        <v>51</v>
      </c>
      <c r="S4700" t="s">
        <v>77</v>
      </c>
    </row>
    <row r="4701" spans="1:19" x14ac:dyDescent="0.35">
      <c r="A4701">
        <v>9109</v>
      </c>
      <c r="B4701" t="str">
        <f>"009109"</f>
        <v>009109</v>
      </c>
      <c r="C4701" t="s">
        <v>13303</v>
      </c>
      <c r="D4701" t="s">
        <v>3394</v>
      </c>
      <c r="E4701" t="s">
        <v>3395</v>
      </c>
      <c r="F4701" t="s">
        <v>3396</v>
      </c>
      <c r="G4701" t="s">
        <v>169</v>
      </c>
      <c r="H4701" t="s">
        <v>13304</v>
      </c>
      <c r="I4701" t="s">
        <v>13305</v>
      </c>
      <c r="J4701" t="s">
        <v>172</v>
      </c>
      <c r="K4701" t="s">
        <v>55</v>
      </c>
      <c r="L4701" t="s">
        <v>1097</v>
      </c>
      <c r="M4701" t="s">
        <v>57</v>
      </c>
      <c r="N4701" t="str">
        <f>"044990"</f>
        <v>044990</v>
      </c>
      <c r="O4701" t="s">
        <v>692</v>
      </c>
      <c r="P4701" t="s">
        <v>68</v>
      </c>
      <c r="Q4701">
        <v>99.8</v>
      </c>
      <c r="R4701">
        <v>64.3</v>
      </c>
      <c r="S4701" t="s">
        <v>77</v>
      </c>
    </row>
    <row r="4702" spans="1:19" x14ac:dyDescent="0.35">
      <c r="A4702">
        <v>9112</v>
      </c>
      <c r="B4702" t="str">
        <f>"009112"</f>
        <v>009112</v>
      </c>
      <c r="C4702" t="s">
        <v>13306</v>
      </c>
      <c r="D4702" t="s">
        <v>3394</v>
      </c>
      <c r="E4702" t="s">
        <v>3395</v>
      </c>
      <c r="F4702" t="s">
        <v>3396</v>
      </c>
      <c r="G4702" t="s">
        <v>169</v>
      </c>
      <c r="H4702" t="s">
        <v>13307</v>
      </c>
      <c r="I4702" t="s">
        <v>13308</v>
      </c>
      <c r="J4702" t="s">
        <v>172</v>
      </c>
      <c r="K4702" t="s">
        <v>55</v>
      </c>
      <c r="L4702" t="s">
        <v>13031</v>
      </c>
      <c r="M4702" t="s">
        <v>57</v>
      </c>
      <c r="N4702" t="str">
        <f>"044990"</f>
        <v>044990</v>
      </c>
      <c r="O4702" t="s">
        <v>692</v>
      </c>
      <c r="P4702" t="s">
        <v>68</v>
      </c>
      <c r="Q4702">
        <v>100</v>
      </c>
      <c r="R4702">
        <v>70.8</v>
      </c>
      <c r="S4702" t="s">
        <v>77</v>
      </c>
    </row>
    <row r="4703" spans="1:19" x14ac:dyDescent="0.35">
      <c r="A4703">
        <v>9113</v>
      </c>
      <c r="B4703" t="str">
        <f>"009113"</f>
        <v>009113</v>
      </c>
      <c r="C4703" t="s">
        <v>13309</v>
      </c>
      <c r="D4703" t="s">
        <v>3394</v>
      </c>
      <c r="E4703" t="s">
        <v>3395</v>
      </c>
      <c r="F4703" t="s">
        <v>3396</v>
      </c>
      <c r="G4703" t="s">
        <v>169</v>
      </c>
      <c r="H4703" t="s">
        <v>13310</v>
      </c>
      <c r="I4703" t="s">
        <v>13311</v>
      </c>
      <c r="J4703" t="s">
        <v>172</v>
      </c>
      <c r="K4703" t="s">
        <v>55</v>
      </c>
      <c r="L4703" t="s">
        <v>13031</v>
      </c>
      <c r="M4703" t="s">
        <v>57</v>
      </c>
      <c r="N4703" t="str">
        <f>"044990"</f>
        <v>044990</v>
      </c>
      <c r="O4703" t="s">
        <v>692</v>
      </c>
      <c r="P4703" t="s">
        <v>68</v>
      </c>
      <c r="Q4703">
        <v>99.7</v>
      </c>
      <c r="R4703">
        <v>72.400000000000006</v>
      </c>
      <c r="S4703" t="s">
        <v>77</v>
      </c>
    </row>
    <row r="4704" spans="1:19" x14ac:dyDescent="0.35">
      <c r="A4704">
        <v>9116</v>
      </c>
      <c r="B4704" t="str">
        <f>"009116"</f>
        <v>009116</v>
      </c>
      <c r="C4704" t="s">
        <v>5702</v>
      </c>
      <c r="D4704" t="s">
        <v>3400</v>
      </c>
      <c r="E4704" t="s">
        <v>3395</v>
      </c>
      <c r="F4704" t="s">
        <v>3396</v>
      </c>
      <c r="G4704" t="s">
        <v>63</v>
      </c>
      <c r="H4704" t="s">
        <v>13312</v>
      </c>
      <c r="I4704" t="s">
        <v>13313</v>
      </c>
      <c r="J4704" t="s">
        <v>1271</v>
      </c>
      <c r="K4704" t="s">
        <v>55</v>
      </c>
      <c r="L4704" t="s">
        <v>1272</v>
      </c>
      <c r="M4704" t="s">
        <v>57</v>
      </c>
      <c r="N4704" t="str">
        <f>"044198"</f>
        <v>044198</v>
      </c>
      <c r="O4704" t="s">
        <v>1268</v>
      </c>
      <c r="P4704" t="s">
        <v>68</v>
      </c>
      <c r="Q4704">
        <v>36.9</v>
      </c>
      <c r="R4704">
        <v>16.400000000000006</v>
      </c>
      <c r="S4704" t="s">
        <v>69</v>
      </c>
    </row>
    <row r="4705" spans="1:19" x14ac:dyDescent="0.35">
      <c r="A4705">
        <v>9117</v>
      </c>
      <c r="B4705" t="str">
        <f>"009117"</f>
        <v>009117</v>
      </c>
      <c r="C4705" t="s">
        <v>5390</v>
      </c>
      <c r="D4705" t="s">
        <v>3400</v>
      </c>
      <c r="E4705" t="s">
        <v>3395</v>
      </c>
      <c r="F4705" t="s">
        <v>3396</v>
      </c>
      <c r="G4705" t="s">
        <v>63</v>
      </c>
      <c r="H4705" t="s">
        <v>13314</v>
      </c>
      <c r="I4705" t="s">
        <v>13315</v>
      </c>
      <c r="J4705" t="s">
        <v>1271</v>
      </c>
      <c r="K4705" t="s">
        <v>55</v>
      </c>
      <c r="L4705" t="s">
        <v>1272</v>
      </c>
      <c r="M4705" t="s">
        <v>57</v>
      </c>
      <c r="N4705" t="str">
        <f>"044198"</f>
        <v>044198</v>
      </c>
      <c r="O4705" t="s">
        <v>1268</v>
      </c>
      <c r="P4705" t="s">
        <v>68</v>
      </c>
      <c r="Q4705">
        <v>51.9</v>
      </c>
      <c r="R4705">
        <v>32.700000000000003</v>
      </c>
      <c r="S4705" t="s">
        <v>69</v>
      </c>
    </row>
    <row r="4706" spans="1:19" x14ac:dyDescent="0.35">
      <c r="A4706">
        <v>9119</v>
      </c>
      <c r="B4706" t="str">
        <f>"009119"</f>
        <v>009119</v>
      </c>
      <c r="C4706" t="s">
        <v>13316</v>
      </c>
      <c r="D4706" t="s">
        <v>3394</v>
      </c>
      <c r="E4706" t="s">
        <v>3395</v>
      </c>
      <c r="F4706" t="s">
        <v>3396</v>
      </c>
      <c r="G4706" t="s">
        <v>63</v>
      </c>
      <c r="H4706" t="s">
        <v>13317</v>
      </c>
      <c r="I4706" t="s">
        <v>13318</v>
      </c>
      <c r="J4706" t="s">
        <v>1271</v>
      </c>
      <c r="K4706" t="s">
        <v>55</v>
      </c>
      <c r="L4706" t="s">
        <v>1272</v>
      </c>
      <c r="M4706" t="s">
        <v>57</v>
      </c>
      <c r="N4706" t="str">
        <f>"044198"</f>
        <v>044198</v>
      </c>
      <c r="O4706" t="s">
        <v>1268</v>
      </c>
      <c r="P4706" t="s">
        <v>68</v>
      </c>
      <c r="Q4706">
        <v>26.3</v>
      </c>
      <c r="R4706">
        <v>21</v>
      </c>
      <c r="S4706" t="s">
        <v>69</v>
      </c>
    </row>
    <row r="4707" spans="1:19" x14ac:dyDescent="0.35">
      <c r="A4707">
        <v>9120</v>
      </c>
      <c r="B4707" t="str">
        <f>"009120"</f>
        <v>009120</v>
      </c>
      <c r="C4707" t="s">
        <v>5731</v>
      </c>
      <c r="D4707" t="s">
        <v>3394</v>
      </c>
      <c r="E4707" t="s">
        <v>3395</v>
      </c>
      <c r="F4707" t="s">
        <v>3396</v>
      </c>
      <c r="G4707" t="s">
        <v>63</v>
      </c>
      <c r="H4707" t="s">
        <v>13319</v>
      </c>
      <c r="I4707" t="s">
        <v>13320</v>
      </c>
      <c r="J4707" t="s">
        <v>1271</v>
      </c>
      <c r="K4707" t="s">
        <v>55</v>
      </c>
      <c r="L4707" t="s">
        <v>1272</v>
      </c>
      <c r="M4707" t="s">
        <v>57</v>
      </c>
      <c r="N4707" t="str">
        <f>"044198"</f>
        <v>044198</v>
      </c>
      <c r="O4707" t="s">
        <v>1268</v>
      </c>
      <c r="P4707" t="s">
        <v>68</v>
      </c>
      <c r="Q4707">
        <v>61.5</v>
      </c>
      <c r="R4707">
        <v>40.1</v>
      </c>
      <c r="S4707" t="s">
        <v>69</v>
      </c>
    </row>
    <row r="4708" spans="1:19" x14ac:dyDescent="0.35">
      <c r="A4708">
        <v>9124</v>
      </c>
      <c r="B4708" t="str">
        <f>"009124"</f>
        <v>009124</v>
      </c>
      <c r="C4708" t="s">
        <v>13321</v>
      </c>
      <c r="D4708" t="s">
        <v>3394</v>
      </c>
      <c r="E4708" t="s">
        <v>9538</v>
      </c>
      <c r="F4708" t="s">
        <v>3396</v>
      </c>
      <c r="G4708" t="s">
        <v>172</v>
      </c>
      <c r="H4708" t="s">
        <v>13322</v>
      </c>
      <c r="I4708" t="s">
        <v>13323</v>
      </c>
      <c r="J4708" t="s">
        <v>13324</v>
      </c>
      <c r="K4708" t="s">
        <v>55</v>
      </c>
      <c r="L4708" t="s">
        <v>13325</v>
      </c>
      <c r="M4708" t="s">
        <v>57</v>
      </c>
      <c r="N4708" t="str">
        <f>"009124"</f>
        <v>009124</v>
      </c>
      <c r="O4708" t="s">
        <v>13321</v>
      </c>
      <c r="P4708" t="s">
        <v>68</v>
      </c>
      <c r="Q4708" t="s">
        <v>68</v>
      </c>
      <c r="R4708" t="s">
        <v>68</v>
      </c>
      <c r="S4708" t="s">
        <v>217</v>
      </c>
    </row>
    <row r="4709" spans="1:19" x14ac:dyDescent="0.35">
      <c r="A4709">
        <v>9124</v>
      </c>
      <c r="B4709" t="str">
        <f>"009124"</f>
        <v>009124</v>
      </c>
      <c r="C4709" t="s">
        <v>13321</v>
      </c>
      <c r="D4709" t="s">
        <v>9541</v>
      </c>
      <c r="E4709" t="s">
        <v>9538</v>
      </c>
      <c r="F4709" t="s">
        <v>3396</v>
      </c>
      <c r="G4709" t="s">
        <v>172</v>
      </c>
      <c r="H4709" t="s">
        <v>13322</v>
      </c>
      <c r="I4709" t="s">
        <v>13323</v>
      </c>
      <c r="J4709" t="s">
        <v>13324</v>
      </c>
      <c r="K4709" t="s">
        <v>55</v>
      </c>
      <c r="L4709" t="s">
        <v>13325</v>
      </c>
      <c r="M4709" t="s">
        <v>57</v>
      </c>
      <c r="N4709" t="str">
        <f>"009124"</f>
        <v>009124</v>
      </c>
      <c r="O4709" t="s">
        <v>13321</v>
      </c>
      <c r="P4709" t="s">
        <v>68</v>
      </c>
      <c r="Q4709" t="s">
        <v>68</v>
      </c>
      <c r="R4709" t="s">
        <v>68</v>
      </c>
      <c r="S4709" t="s">
        <v>217</v>
      </c>
    </row>
    <row r="4710" spans="1:19" x14ac:dyDescent="0.35">
      <c r="A4710">
        <v>9128</v>
      </c>
      <c r="B4710" t="str">
        <f>"009128"</f>
        <v>009128</v>
      </c>
      <c r="C4710" t="s">
        <v>7949</v>
      </c>
      <c r="D4710" t="s">
        <v>3394</v>
      </c>
      <c r="E4710" t="s">
        <v>3395</v>
      </c>
      <c r="F4710" t="s">
        <v>3396</v>
      </c>
      <c r="G4710" t="s">
        <v>1613</v>
      </c>
      <c r="H4710" t="s">
        <v>13326</v>
      </c>
      <c r="I4710" t="s">
        <v>13327</v>
      </c>
      <c r="J4710" t="s">
        <v>13272</v>
      </c>
      <c r="K4710" t="s">
        <v>55</v>
      </c>
      <c r="L4710" t="s">
        <v>2379</v>
      </c>
      <c r="M4710" t="s">
        <v>57</v>
      </c>
      <c r="N4710" t="str">
        <f>"046474"</f>
        <v>046474</v>
      </c>
      <c r="O4710" t="s">
        <v>2375</v>
      </c>
      <c r="P4710" t="s">
        <v>68</v>
      </c>
      <c r="Q4710">
        <v>48.5</v>
      </c>
      <c r="R4710">
        <v>5.0999999999999943</v>
      </c>
      <c r="S4710" t="s">
        <v>130</v>
      </c>
    </row>
    <row r="4711" spans="1:19" x14ac:dyDescent="0.35">
      <c r="A4711">
        <v>9145</v>
      </c>
      <c r="B4711" t="str">
        <f>"009145"</f>
        <v>009145</v>
      </c>
      <c r="C4711" t="s">
        <v>13328</v>
      </c>
      <c r="D4711" t="s">
        <v>3398</v>
      </c>
      <c r="E4711" t="s">
        <v>3395</v>
      </c>
      <c r="F4711" t="s">
        <v>3396</v>
      </c>
      <c r="G4711" t="s">
        <v>264</v>
      </c>
      <c r="H4711" t="s">
        <v>13329</v>
      </c>
      <c r="I4711" t="s">
        <v>13330</v>
      </c>
      <c r="J4711" t="s">
        <v>267</v>
      </c>
      <c r="K4711" t="s">
        <v>55</v>
      </c>
      <c r="L4711" t="s">
        <v>1528</v>
      </c>
      <c r="M4711" t="s">
        <v>57</v>
      </c>
      <c r="N4711" t="str">
        <f>"043489"</f>
        <v>043489</v>
      </c>
      <c r="O4711" t="s">
        <v>3176</v>
      </c>
      <c r="P4711" t="s">
        <v>68</v>
      </c>
      <c r="Q4711">
        <v>100</v>
      </c>
      <c r="R4711">
        <v>72.3</v>
      </c>
      <c r="S4711" t="s">
        <v>77</v>
      </c>
    </row>
    <row r="4712" spans="1:19" x14ac:dyDescent="0.35">
      <c r="A4712">
        <v>9148</v>
      </c>
      <c r="B4712" t="str">
        <f>"009148"</f>
        <v>009148</v>
      </c>
      <c r="C4712" t="s">
        <v>13331</v>
      </c>
      <c r="D4712" t="s">
        <v>3398</v>
      </c>
      <c r="E4712" t="s">
        <v>12048</v>
      </c>
      <c r="F4712" t="s">
        <v>3396</v>
      </c>
      <c r="G4712" t="s">
        <v>674</v>
      </c>
      <c r="H4712" t="s">
        <v>13332</v>
      </c>
      <c r="I4712" t="s">
        <v>13333</v>
      </c>
      <c r="J4712" t="s">
        <v>927</v>
      </c>
      <c r="K4712" t="s">
        <v>55</v>
      </c>
      <c r="L4712" t="s">
        <v>928</v>
      </c>
      <c r="M4712" t="s">
        <v>57</v>
      </c>
      <c r="N4712" t="str">
        <f>"045179"</f>
        <v>045179</v>
      </c>
      <c r="O4712" t="s">
        <v>2380</v>
      </c>
      <c r="P4712" t="s">
        <v>68</v>
      </c>
      <c r="Q4712">
        <v>100</v>
      </c>
      <c r="R4712">
        <v>27.5</v>
      </c>
      <c r="S4712" t="s">
        <v>130</v>
      </c>
    </row>
    <row r="4713" spans="1:19" x14ac:dyDescent="0.35">
      <c r="A4713">
        <v>9148</v>
      </c>
      <c r="B4713" t="str">
        <f>"009148"</f>
        <v>009148</v>
      </c>
      <c r="C4713" t="s">
        <v>13331</v>
      </c>
      <c r="D4713" t="s">
        <v>12471</v>
      </c>
      <c r="E4713" t="s">
        <v>12048</v>
      </c>
      <c r="F4713" t="s">
        <v>3396</v>
      </c>
      <c r="G4713" t="s">
        <v>674</v>
      </c>
      <c r="H4713" t="s">
        <v>13332</v>
      </c>
      <c r="I4713" t="s">
        <v>13333</v>
      </c>
      <c r="J4713" t="s">
        <v>927</v>
      </c>
      <c r="K4713" t="s">
        <v>55</v>
      </c>
      <c r="L4713" t="s">
        <v>928</v>
      </c>
      <c r="M4713" t="s">
        <v>57</v>
      </c>
      <c r="N4713" t="str">
        <f>"045179"</f>
        <v>045179</v>
      </c>
      <c r="O4713" t="s">
        <v>2380</v>
      </c>
      <c r="P4713" t="s">
        <v>68</v>
      </c>
      <c r="Q4713">
        <v>100</v>
      </c>
      <c r="R4713">
        <v>27.5</v>
      </c>
      <c r="S4713" t="s">
        <v>130</v>
      </c>
    </row>
    <row r="4714" spans="1:19" x14ac:dyDescent="0.35">
      <c r="A4714">
        <v>9148</v>
      </c>
      <c r="B4714" t="str">
        <f>"009148"</f>
        <v>009148</v>
      </c>
      <c r="C4714" t="s">
        <v>13331</v>
      </c>
      <c r="D4714" t="s">
        <v>12063</v>
      </c>
      <c r="E4714" t="s">
        <v>12048</v>
      </c>
      <c r="F4714" t="s">
        <v>3396</v>
      </c>
      <c r="G4714" t="s">
        <v>674</v>
      </c>
      <c r="H4714" t="s">
        <v>13332</v>
      </c>
      <c r="I4714" t="s">
        <v>13333</v>
      </c>
      <c r="J4714" t="s">
        <v>927</v>
      </c>
      <c r="K4714" t="s">
        <v>55</v>
      </c>
      <c r="L4714" t="s">
        <v>928</v>
      </c>
      <c r="M4714" t="s">
        <v>57</v>
      </c>
      <c r="N4714" t="str">
        <f>"045179"</f>
        <v>045179</v>
      </c>
      <c r="O4714" t="s">
        <v>2380</v>
      </c>
      <c r="P4714" t="s">
        <v>68</v>
      </c>
      <c r="Q4714">
        <v>100</v>
      </c>
      <c r="R4714">
        <v>27.5</v>
      </c>
      <c r="S4714" t="s">
        <v>130</v>
      </c>
    </row>
    <row r="4715" spans="1:19" x14ac:dyDescent="0.35">
      <c r="A4715">
        <v>9149</v>
      </c>
      <c r="B4715" t="str">
        <f>"009149"</f>
        <v>009149</v>
      </c>
      <c r="C4715" t="s">
        <v>13334</v>
      </c>
      <c r="D4715" t="s">
        <v>3398</v>
      </c>
      <c r="E4715" t="s">
        <v>12048</v>
      </c>
      <c r="F4715" t="s">
        <v>3396</v>
      </c>
      <c r="G4715" t="s">
        <v>63</v>
      </c>
      <c r="H4715" t="s">
        <v>13335</v>
      </c>
      <c r="I4715" t="s">
        <v>13336</v>
      </c>
      <c r="J4715" t="s">
        <v>285</v>
      </c>
      <c r="K4715" t="s">
        <v>55</v>
      </c>
      <c r="L4715" t="s">
        <v>5375</v>
      </c>
      <c r="M4715" t="s">
        <v>57</v>
      </c>
      <c r="N4715" t="str">
        <f>"020912"</f>
        <v>020912</v>
      </c>
      <c r="O4715" t="s">
        <v>12089</v>
      </c>
      <c r="P4715" t="s">
        <v>68</v>
      </c>
      <c r="Q4715">
        <v>99.5</v>
      </c>
      <c r="R4715">
        <v>75.7</v>
      </c>
      <c r="S4715" t="s">
        <v>69</v>
      </c>
    </row>
    <row r="4716" spans="1:19" x14ac:dyDescent="0.35">
      <c r="A4716">
        <v>9149</v>
      </c>
      <c r="B4716" t="str">
        <f>"009149"</f>
        <v>009149</v>
      </c>
      <c r="C4716" t="s">
        <v>13334</v>
      </c>
      <c r="D4716" t="s">
        <v>12052</v>
      </c>
      <c r="E4716" t="s">
        <v>12048</v>
      </c>
      <c r="F4716" t="s">
        <v>3396</v>
      </c>
      <c r="G4716" t="s">
        <v>63</v>
      </c>
      <c r="H4716" t="s">
        <v>13335</v>
      </c>
      <c r="I4716" t="s">
        <v>13336</v>
      </c>
      <c r="J4716" t="s">
        <v>285</v>
      </c>
      <c r="K4716" t="s">
        <v>55</v>
      </c>
      <c r="L4716" t="s">
        <v>5375</v>
      </c>
      <c r="M4716" t="s">
        <v>57</v>
      </c>
      <c r="N4716" t="str">
        <f>"020912"</f>
        <v>020912</v>
      </c>
      <c r="O4716" t="s">
        <v>12089</v>
      </c>
      <c r="P4716" t="s">
        <v>68</v>
      </c>
      <c r="Q4716">
        <v>99.5</v>
      </c>
      <c r="R4716">
        <v>75.7</v>
      </c>
      <c r="S4716" t="s">
        <v>69</v>
      </c>
    </row>
    <row r="4717" spans="1:19" x14ac:dyDescent="0.35">
      <c r="A4717">
        <v>9160</v>
      </c>
      <c r="B4717" t="str">
        <f>"009160"</f>
        <v>009160</v>
      </c>
      <c r="C4717" t="s">
        <v>13337</v>
      </c>
      <c r="D4717" t="s">
        <v>3394</v>
      </c>
      <c r="E4717" t="s">
        <v>3395</v>
      </c>
      <c r="F4717" t="s">
        <v>3396</v>
      </c>
      <c r="G4717" t="s">
        <v>351</v>
      </c>
      <c r="H4717" t="s">
        <v>13338</v>
      </c>
      <c r="I4717" t="s">
        <v>13339</v>
      </c>
      <c r="J4717" t="s">
        <v>351</v>
      </c>
      <c r="K4717" t="s">
        <v>55</v>
      </c>
      <c r="L4717" t="s">
        <v>2771</v>
      </c>
      <c r="M4717" t="s">
        <v>57</v>
      </c>
      <c r="N4717" t="str">
        <f>"044156"</f>
        <v>044156</v>
      </c>
      <c r="O4717" t="s">
        <v>2768</v>
      </c>
      <c r="P4717" t="s">
        <v>68</v>
      </c>
      <c r="Q4717">
        <v>56.1</v>
      </c>
      <c r="R4717">
        <v>5.5999999999999943</v>
      </c>
      <c r="S4717" t="s">
        <v>130</v>
      </c>
    </row>
    <row r="4718" spans="1:19" x14ac:dyDescent="0.35">
      <c r="A4718">
        <v>9179</v>
      </c>
      <c r="B4718" t="str">
        <f>"009179"</f>
        <v>009179</v>
      </c>
      <c r="C4718" t="s">
        <v>13340</v>
      </c>
      <c r="D4718" t="s">
        <v>3400</v>
      </c>
      <c r="E4718" t="s">
        <v>12048</v>
      </c>
      <c r="F4718" t="s">
        <v>3396</v>
      </c>
      <c r="G4718" t="s">
        <v>600</v>
      </c>
      <c r="H4718" t="s">
        <v>13341</v>
      </c>
      <c r="I4718" t="s">
        <v>13342</v>
      </c>
      <c r="J4718" t="s">
        <v>1348</v>
      </c>
      <c r="K4718" t="s">
        <v>55</v>
      </c>
      <c r="L4718" t="s">
        <v>3462</v>
      </c>
      <c r="M4718" t="s">
        <v>57</v>
      </c>
      <c r="N4718" t="str">
        <f>"014979"</f>
        <v>014979</v>
      </c>
      <c r="O4718" t="s">
        <v>12185</v>
      </c>
      <c r="P4718" t="s">
        <v>68</v>
      </c>
      <c r="Q4718">
        <v>99.8</v>
      </c>
      <c r="R4718">
        <v>100</v>
      </c>
      <c r="S4718" t="s">
        <v>60</v>
      </c>
    </row>
    <row r="4719" spans="1:19" x14ac:dyDescent="0.35">
      <c r="A4719">
        <v>9179</v>
      </c>
      <c r="B4719" t="str">
        <f>"009179"</f>
        <v>009179</v>
      </c>
      <c r="C4719" t="s">
        <v>13340</v>
      </c>
      <c r="D4719" t="s">
        <v>12052</v>
      </c>
      <c r="E4719" t="s">
        <v>12048</v>
      </c>
      <c r="F4719" t="s">
        <v>3396</v>
      </c>
      <c r="G4719" t="s">
        <v>600</v>
      </c>
      <c r="H4719" t="s">
        <v>13341</v>
      </c>
      <c r="I4719" t="s">
        <v>13342</v>
      </c>
      <c r="J4719" t="s">
        <v>1348</v>
      </c>
      <c r="K4719" t="s">
        <v>55</v>
      </c>
      <c r="L4719" t="s">
        <v>3462</v>
      </c>
      <c r="M4719" t="s">
        <v>57</v>
      </c>
      <c r="N4719" t="str">
        <f>"014979"</f>
        <v>014979</v>
      </c>
      <c r="O4719" t="s">
        <v>12185</v>
      </c>
      <c r="P4719" t="s">
        <v>68</v>
      </c>
      <c r="Q4719">
        <v>99.8</v>
      </c>
      <c r="R4719">
        <v>100</v>
      </c>
      <c r="S4719" t="s">
        <v>60</v>
      </c>
    </row>
    <row r="4720" spans="1:19" x14ac:dyDescent="0.35">
      <c r="A4720">
        <v>9192</v>
      </c>
      <c r="B4720" t="str">
        <f>"009192"</f>
        <v>009192</v>
      </c>
      <c r="C4720" t="s">
        <v>13343</v>
      </c>
      <c r="D4720" t="s">
        <v>3398</v>
      </c>
      <c r="E4720" t="s">
        <v>12048</v>
      </c>
      <c r="F4720" t="s">
        <v>3396</v>
      </c>
      <c r="G4720" t="s">
        <v>663</v>
      </c>
      <c r="H4720" t="s">
        <v>13344</v>
      </c>
      <c r="I4720" t="s">
        <v>13345</v>
      </c>
      <c r="J4720" t="s">
        <v>666</v>
      </c>
      <c r="K4720" t="s">
        <v>55</v>
      </c>
      <c r="L4720" t="s">
        <v>1605</v>
      </c>
      <c r="M4720" t="s">
        <v>57</v>
      </c>
      <c r="N4720" t="str">
        <f>"015427"</f>
        <v>015427</v>
      </c>
      <c r="O4720" t="s">
        <v>12157</v>
      </c>
      <c r="P4720" t="s">
        <v>68</v>
      </c>
      <c r="Q4720">
        <v>99.8</v>
      </c>
      <c r="R4720">
        <v>53.2</v>
      </c>
      <c r="S4720" t="s">
        <v>77</v>
      </c>
    </row>
    <row r="4721" spans="1:19" x14ac:dyDescent="0.35">
      <c r="A4721">
        <v>9192</v>
      </c>
      <c r="B4721" t="str">
        <f>"009192"</f>
        <v>009192</v>
      </c>
      <c r="C4721" t="s">
        <v>13343</v>
      </c>
      <c r="D4721" t="s">
        <v>12052</v>
      </c>
      <c r="E4721" t="s">
        <v>12048</v>
      </c>
      <c r="F4721" t="s">
        <v>3396</v>
      </c>
      <c r="G4721" t="s">
        <v>663</v>
      </c>
      <c r="H4721" t="s">
        <v>13344</v>
      </c>
      <c r="I4721" t="s">
        <v>13345</v>
      </c>
      <c r="J4721" t="s">
        <v>666</v>
      </c>
      <c r="K4721" t="s">
        <v>55</v>
      </c>
      <c r="L4721" t="s">
        <v>1605</v>
      </c>
      <c r="M4721" t="s">
        <v>57</v>
      </c>
      <c r="N4721" t="str">
        <f>"015427"</f>
        <v>015427</v>
      </c>
      <c r="O4721" t="s">
        <v>12157</v>
      </c>
      <c r="P4721" t="s">
        <v>68</v>
      </c>
      <c r="Q4721">
        <v>99.8</v>
      </c>
      <c r="R4721">
        <v>53.2</v>
      </c>
      <c r="S4721" t="s">
        <v>77</v>
      </c>
    </row>
    <row r="4722" spans="1:19" x14ac:dyDescent="0.35">
      <c r="A4722">
        <v>9192</v>
      </c>
      <c r="B4722" t="str">
        <f>"009192"</f>
        <v>009192</v>
      </c>
      <c r="C4722" t="s">
        <v>13343</v>
      </c>
      <c r="D4722" t="s">
        <v>4572</v>
      </c>
      <c r="E4722" t="s">
        <v>12048</v>
      </c>
      <c r="F4722" t="s">
        <v>3396</v>
      </c>
      <c r="G4722" t="s">
        <v>663</v>
      </c>
      <c r="H4722" t="s">
        <v>13344</v>
      </c>
      <c r="I4722" t="s">
        <v>13345</v>
      </c>
      <c r="J4722" t="s">
        <v>666</v>
      </c>
      <c r="K4722" t="s">
        <v>55</v>
      </c>
      <c r="L4722" t="s">
        <v>1605</v>
      </c>
      <c r="M4722" t="s">
        <v>57</v>
      </c>
      <c r="N4722" t="str">
        <f>"015427"</f>
        <v>015427</v>
      </c>
      <c r="O4722" t="s">
        <v>12157</v>
      </c>
      <c r="P4722" t="s">
        <v>68</v>
      </c>
      <c r="Q4722">
        <v>99.8</v>
      </c>
      <c r="R4722">
        <v>53.2</v>
      </c>
      <c r="S4722" t="s">
        <v>77</v>
      </c>
    </row>
    <row r="4723" spans="1:19" x14ac:dyDescent="0.35">
      <c r="A4723">
        <v>9200</v>
      </c>
      <c r="B4723" t="str">
        <f>"009200"</f>
        <v>009200</v>
      </c>
      <c r="C4723" t="s">
        <v>13346</v>
      </c>
      <c r="D4723" t="s">
        <v>3398</v>
      </c>
      <c r="E4723" t="s">
        <v>3395</v>
      </c>
      <c r="F4723" t="s">
        <v>3396</v>
      </c>
      <c r="G4723" t="s">
        <v>212</v>
      </c>
      <c r="H4723" t="s">
        <v>13347</v>
      </c>
      <c r="I4723" t="s">
        <v>13348</v>
      </c>
      <c r="J4723" t="s">
        <v>215</v>
      </c>
      <c r="K4723" t="s">
        <v>55</v>
      </c>
      <c r="L4723" t="s">
        <v>3974</v>
      </c>
      <c r="M4723" t="s">
        <v>57</v>
      </c>
      <c r="N4723" t="str">
        <f>"043752"</f>
        <v>043752</v>
      </c>
      <c r="O4723" t="s">
        <v>440</v>
      </c>
      <c r="P4723" t="s">
        <v>68</v>
      </c>
      <c r="Q4723">
        <v>98.1</v>
      </c>
      <c r="R4723">
        <v>86.6</v>
      </c>
      <c r="S4723" t="s">
        <v>217</v>
      </c>
    </row>
    <row r="4724" spans="1:19" x14ac:dyDescent="0.35">
      <c r="A4724">
        <v>9201</v>
      </c>
      <c r="B4724" t="str">
        <f>"009201"</f>
        <v>009201</v>
      </c>
      <c r="C4724" t="s">
        <v>13349</v>
      </c>
      <c r="D4724" t="s">
        <v>3506</v>
      </c>
      <c r="E4724" t="s">
        <v>3395</v>
      </c>
      <c r="F4724" t="s">
        <v>3396</v>
      </c>
      <c r="G4724" t="s">
        <v>600</v>
      </c>
      <c r="H4724" t="s">
        <v>13350</v>
      </c>
      <c r="I4724" t="s">
        <v>13351</v>
      </c>
      <c r="J4724" t="s">
        <v>603</v>
      </c>
      <c r="K4724" t="s">
        <v>55</v>
      </c>
      <c r="L4724" t="s">
        <v>604</v>
      </c>
      <c r="M4724" t="s">
        <v>57</v>
      </c>
      <c r="N4724" t="str">
        <f>"047001"</f>
        <v>047001</v>
      </c>
      <c r="O4724" t="s">
        <v>599</v>
      </c>
      <c r="P4724" t="s">
        <v>68</v>
      </c>
      <c r="Q4724">
        <v>63.4</v>
      </c>
      <c r="R4724">
        <v>77</v>
      </c>
      <c r="S4724" t="s">
        <v>60</v>
      </c>
    </row>
    <row r="4725" spans="1:19" x14ac:dyDescent="0.35">
      <c r="A4725">
        <v>9212</v>
      </c>
      <c r="B4725" t="str">
        <f>"009212"</f>
        <v>009212</v>
      </c>
      <c r="C4725" t="s">
        <v>13352</v>
      </c>
      <c r="D4725" t="s">
        <v>3394</v>
      </c>
      <c r="E4725" t="s">
        <v>3395</v>
      </c>
      <c r="F4725" t="s">
        <v>3396</v>
      </c>
      <c r="G4725" t="s">
        <v>110</v>
      </c>
      <c r="H4725" t="s">
        <v>13353</v>
      </c>
      <c r="I4725" t="s">
        <v>13354</v>
      </c>
      <c r="J4725" t="s">
        <v>671</v>
      </c>
      <c r="K4725" t="s">
        <v>55</v>
      </c>
      <c r="L4725" t="s">
        <v>672</v>
      </c>
      <c r="M4725" t="s">
        <v>57</v>
      </c>
      <c r="N4725" t="str">
        <f>"044453"</f>
        <v>044453</v>
      </c>
      <c r="O4725" t="s">
        <v>668</v>
      </c>
      <c r="P4725" t="s">
        <v>68</v>
      </c>
      <c r="Q4725">
        <v>84.2</v>
      </c>
      <c r="R4725">
        <v>19.599999999999994</v>
      </c>
      <c r="S4725" t="s">
        <v>60</v>
      </c>
    </row>
    <row r="4726" spans="1:19" x14ac:dyDescent="0.35">
      <c r="A4726">
        <v>9213</v>
      </c>
      <c r="B4726" t="str">
        <f>"009213"</f>
        <v>009213</v>
      </c>
      <c r="C4726" t="s">
        <v>11557</v>
      </c>
      <c r="D4726" t="s">
        <v>3400</v>
      </c>
      <c r="E4726" t="s">
        <v>3395</v>
      </c>
      <c r="F4726" t="s">
        <v>3396</v>
      </c>
      <c r="G4726" t="s">
        <v>110</v>
      </c>
      <c r="H4726" t="s">
        <v>13355</v>
      </c>
      <c r="I4726" t="s">
        <v>13356</v>
      </c>
      <c r="J4726" t="s">
        <v>671</v>
      </c>
      <c r="K4726" t="s">
        <v>55</v>
      </c>
      <c r="L4726" t="s">
        <v>672</v>
      </c>
      <c r="M4726" t="s">
        <v>57</v>
      </c>
      <c r="N4726" t="str">
        <f>"044453"</f>
        <v>044453</v>
      </c>
      <c r="O4726" t="s">
        <v>668</v>
      </c>
      <c r="P4726" t="s">
        <v>68</v>
      </c>
      <c r="Q4726">
        <v>79.599999999999994</v>
      </c>
      <c r="R4726">
        <v>17.099999999999994</v>
      </c>
      <c r="S4726" t="s">
        <v>60</v>
      </c>
    </row>
    <row r="4727" spans="1:19" x14ac:dyDescent="0.35">
      <c r="A4727">
        <v>9214</v>
      </c>
      <c r="B4727" t="str">
        <f>"009214"</f>
        <v>009214</v>
      </c>
      <c r="C4727" t="s">
        <v>13357</v>
      </c>
      <c r="D4727" t="s">
        <v>3394</v>
      </c>
      <c r="E4727" t="s">
        <v>3395</v>
      </c>
      <c r="F4727" t="s">
        <v>3396</v>
      </c>
      <c r="G4727" t="s">
        <v>110</v>
      </c>
      <c r="H4727" t="s">
        <v>13358</v>
      </c>
      <c r="I4727" t="s">
        <v>13359</v>
      </c>
      <c r="J4727" t="s">
        <v>671</v>
      </c>
      <c r="K4727" t="s">
        <v>55</v>
      </c>
      <c r="L4727" t="s">
        <v>672</v>
      </c>
      <c r="M4727" t="s">
        <v>57</v>
      </c>
      <c r="N4727" t="str">
        <f>"044453"</f>
        <v>044453</v>
      </c>
      <c r="O4727" t="s">
        <v>668</v>
      </c>
      <c r="P4727" t="s">
        <v>68</v>
      </c>
      <c r="Q4727">
        <v>62.9</v>
      </c>
      <c r="R4727">
        <v>19.599999999999994</v>
      </c>
      <c r="S4727" t="s">
        <v>60</v>
      </c>
    </row>
    <row r="4728" spans="1:19" x14ac:dyDescent="0.35">
      <c r="A4728">
        <v>9216</v>
      </c>
      <c r="B4728" t="str">
        <f>"009216"</f>
        <v>009216</v>
      </c>
      <c r="C4728" t="s">
        <v>13360</v>
      </c>
      <c r="D4728" t="s">
        <v>3394</v>
      </c>
      <c r="E4728" t="s">
        <v>3395</v>
      </c>
      <c r="F4728" t="s">
        <v>3396</v>
      </c>
      <c r="G4728" t="s">
        <v>110</v>
      </c>
      <c r="H4728" t="s">
        <v>13361</v>
      </c>
      <c r="I4728" t="s">
        <v>13362</v>
      </c>
      <c r="J4728" t="s">
        <v>671</v>
      </c>
      <c r="K4728" t="s">
        <v>55</v>
      </c>
      <c r="L4728" t="s">
        <v>672</v>
      </c>
      <c r="M4728" t="s">
        <v>57</v>
      </c>
      <c r="N4728" t="str">
        <f>"044453"</f>
        <v>044453</v>
      </c>
      <c r="O4728" t="s">
        <v>668</v>
      </c>
      <c r="P4728" t="s">
        <v>68</v>
      </c>
      <c r="Q4728">
        <v>48.8</v>
      </c>
      <c r="R4728">
        <v>17.400000000000006</v>
      </c>
      <c r="S4728" t="s">
        <v>60</v>
      </c>
    </row>
    <row r="4729" spans="1:19" x14ac:dyDescent="0.35">
      <c r="A4729">
        <v>9218</v>
      </c>
      <c r="B4729" t="str">
        <f>"009218"</f>
        <v>009218</v>
      </c>
      <c r="C4729" t="s">
        <v>13363</v>
      </c>
      <c r="D4729" t="s">
        <v>3400</v>
      </c>
      <c r="E4729" t="s">
        <v>3395</v>
      </c>
      <c r="F4729" t="s">
        <v>3396</v>
      </c>
      <c r="G4729" t="s">
        <v>110</v>
      </c>
      <c r="H4729" t="s">
        <v>13364</v>
      </c>
      <c r="I4729" t="s">
        <v>13365</v>
      </c>
      <c r="J4729" t="s">
        <v>671</v>
      </c>
      <c r="K4729" t="s">
        <v>55</v>
      </c>
      <c r="L4729" t="s">
        <v>672</v>
      </c>
      <c r="M4729" t="s">
        <v>57</v>
      </c>
      <c r="N4729" t="str">
        <f>"044453"</f>
        <v>044453</v>
      </c>
      <c r="O4729" t="s">
        <v>668</v>
      </c>
      <c r="P4729" t="s">
        <v>68</v>
      </c>
      <c r="Q4729">
        <v>54.9</v>
      </c>
      <c r="R4729">
        <v>18.099999999999994</v>
      </c>
      <c r="S4729" t="s">
        <v>60</v>
      </c>
    </row>
    <row r="4730" spans="1:19" x14ac:dyDescent="0.35">
      <c r="A4730">
        <v>9220</v>
      </c>
      <c r="B4730" t="str">
        <f>"009220"</f>
        <v>009220</v>
      </c>
      <c r="C4730" t="s">
        <v>13366</v>
      </c>
      <c r="D4730" t="s">
        <v>3394</v>
      </c>
      <c r="E4730" t="s">
        <v>3395</v>
      </c>
      <c r="F4730" t="s">
        <v>3396</v>
      </c>
      <c r="G4730" t="s">
        <v>543</v>
      </c>
      <c r="H4730" t="s">
        <v>13367</v>
      </c>
      <c r="I4730" t="s">
        <v>13368</v>
      </c>
      <c r="J4730" t="s">
        <v>1858</v>
      </c>
      <c r="K4730" t="s">
        <v>55</v>
      </c>
      <c r="L4730" t="s">
        <v>1859</v>
      </c>
      <c r="M4730" t="s">
        <v>57</v>
      </c>
      <c r="N4730" t="str">
        <f>"043737"</f>
        <v>043737</v>
      </c>
      <c r="O4730" t="s">
        <v>1855</v>
      </c>
      <c r="P4730" t="s">
        <v>68</v>
      </c>
      <c r="Q4730">
        <v>18.8</v>
      </c>
      <c r="R4730">
        <v>33.599999999999994</v>
      </c>
      <c r="S4730" t="s">
        <v>180</v>
      </c>
    </row>
    <row r="4731" spans="1:19" x14ac:dyDescent="0.35">
      <c r="A4731">
        <v>9221</v>
      </c>
      <c r="B4731" t="str">
        <f>"009221"</f>
        <v>009221</v>
      </c>
      <c r="C4731" t="s">
        <v>13369</v>
      </c>
      <c r="D4731" t="s">
        <v>3394</v>
      </c>
      <c r="E4731" t="s">
        <v>3395</v>
      </c>
      <c r="F4731" t="s">
        <v>3396</v>
      </c>
      <c r="G4731" t="s">
        <v>143</v>
      </c>
      <c r="H4731" t="s">
        <v>13370</v>
      </c>
      <c r="I4731" t="s">
        <v>13371</v>
      </c>
      <c r="J4731" t="s">
        <v>143</v>
      </c>
      <c r="K4731" t="s">
        <v>55</v>
      </c>
      <c r="L4731" t="s">
        <v>1033</v>
      </c>
      <c r="M4731" t="s">
        <v>57</v>
      </c>
      <c r="N4731" t="str">
        <f>"044263"</f>
        <v>044263</v>
      </c>
      <c r="O4731" t="s">
        <v>1364</v>
      </c>
      <c r="P4731" t="s">
        <v>68</v>
      </c>
      <c r="Q4731">
        <v>100</v>
      </c>
      <c r="R4731">
        <v>77.2</v>
      </c>
      <c r="S4731" t="s">
        <v>69</v>
      </c>
    </row>
    <row r="4732" spans="1:19" x14ac:dyDescent="0.35">
      <c r="A4732">
        <v>9222</v>
      </c>
      <c r="B4732" t="str">
        <f>"009222"</f>
        <v>009222</v>
      </c>
      <c r="C4732" t="s">
        <v>13372</v>
      </c>
      <c r="D4732" t="s">
        <v>3394</v>
      </c>
      <c r="E4732" t="s">
        <v>3395</v>
      </c>
      <c r="F4732" t="s">
        <v>3396</v>
      </c>
      <c r="G4732" t="s">
        <v>143</v>
      </c>
      <c r="H4732" t="s">
        <v>13373</v>
      </c>
      <c r="I4732" t="s">
        <v>13374</v>
      </c>
      <c r="J4732" t="s">
        <v>143</v>
      </c>
      <c r="K4732" t="s">
        <v>55</v>
      </c>
      <c r="L4732" t="s">
        <v>5382</v>
      </c>
      <c r="M4732" t="s">
        <v>57</v>
      </c>
      <c r="N4732" t="str">
        <f>"044263"</f>
        <v>044263</v>
      </c>
      <c r="O4732" t="s">
        <v>1364</v>
      </c>
      <c r="P4732" t="s">
        <v>68</v>
      </c>
      <c r="Q4732">
        <v>100</v>
      </c>
      <c r="R4732">
        <v>77.8</v>
      </c>
      <c r="S4732" t="s">
        <v>69</v>
      </c>
    </row>
    <row r="4733" spans="1:19" x14ac:dyDescent="0.35">
      <c r="A4733">
        <v>9224</v>
      </c>
      <c r="B4733" t="str">
        <f>"009224"</f>
        <v>009224</v>
      </c>
      <c r="C4733" t="s">
        <v>13375</v>
      </c>
      <c r="D4733" t="s">
        <v>3394</v>
      </c>
      <c r="E4733" t="s">
        <v>3395</v>
      </c>
      <c r="F4733" t="s">
        <v>3396</v>
      </c>
      <c r="G4733" t="s">
        <v>543</v>
      </c>
      <c r="H4733" t="s">
        <v>13376</v>
      </c>
      <c r="I4733" t="s">
        <v>13377</v>
      </c>
      <c r="J4733" t="s">
        <v>546</v>
      </c>
      <c r="K4733" t="s">
        <v>55</v>
      </c>
      <c r="L4733" t="s">
        <v>547</v>
      </c>
      <c r="M4733" t="s">
        <v>57</v>
      </c>
      <c r="N4733" t="str">
        <f>"048694"</f>
        <v>048694</v>
      </c>
      <c r="O4733" t="s">
        <v>542</v>
      </c>
      <c r="P4733" t="s">
        <v>68</v>
      </c>
      <c r="Q4733">
        <v>86.3</v>
      </c>
      <c r="R4733">
        <v>94.2</v>
      </c>
      <c r="S4733" t="s">
        <v>180</v>
      </c>
    </row>
    <row r="4734" spans="1:19" x14ac:dyDescent="0.35">
      <c r="A4734">
        <v>9270</v>
      </c>
      <c r="B4734" t="str">
        <f>"009270"</f>
        <v>009270</v>
      </c>
      <c r="C4734" t="s">
        <v>13378</v>
      </c>
      <c r="D4734" t="s">
        <v>3398</v>
      </c>
      <c r="E4734" t="s">
        <v>9538</v>
      </c>
      <c r="F4734" t="s">
        <v>3396</v>
      </c>
      <c r="G4734" t="s">
        <v>264</v>
      </c>
      <c r="H4734" t="s">
        <v>13379</v>
      </c>
      <c r="I4734" t="s">
        <v>13380</v>
      </c>
      <c r="J4734" t="s">
        <v>886</v>
      </c>
      <c r="K4734" t="s">
        <v>55</v>
      </c>
      <c r="L4734" t="s">
        <v>887</v>
      </c>
      <c r="M4734" t="s">
        <v>57</v>
      </c>
      <c r="N4734" t="str">
        <f>"000136"</f>
        <v>000136</v>
      </c>
      <c r="O4734" t="s">
        <v>2853</v>
      </c>
      <c r="P4734" t="s">
        <v>68</v>
      </c>
      <c r="Q4734" t="s">
        <v>68</v>
      </c>
      <c r="R4734" t="s">
        <v>68</v>
      </c>
      <c r="S4734" t="s">
        <v>77</v>
      </c>
    </row>
    <row r="4735" spans="1:19" x14ac:dyDescent="0.35">
      <c r="A4735">
        <v>9270</v>
      </c>
      <c r="B4735" t="str">
        <f>"009270"</f>
        <v>009270</v>
      </c>
      <c r="C4735" t="s">
        <v>13378</v>
      </c>
      <c r="D4735" t="s">
        <v>9541</v>
      </c>
      <c r="E4735" t="s">
        <v>9538</v>
      </c>
      <c r="F4735" t="s">
        <v>3396</v>
      </c>
      <c r="G4735" t="s">
        <v>264</v>
      </c>
      <c r="H4735" t="s">
        <v>13379</v>
      </c>
      <c r="I4735" t="s">
        <v>13380</v>
      </c>
      <c r="J4735" t="s">
        <v>886</v>
      </c>
      <c r="K4735" t="s">
        <v>55</v>
      </c>
      <c r="L4735" t="s">
        <v>887</v>
      </c>
      <c r="M4735" t="s">
        <v>57</v>
      </c>
      <c r="N4735" t="str">
        <f>"000136"</f>
        <v>000136</v>
      </c>
      <c r="O4735" t="s">
        <v>2853</v>
      </c>
      <c r="P4735" t="s">
        <v>68</v>
      </c>
      <c r="Q4735" t="s">
        <v>68</v>
      </c>
      <c r="R4735" t="s">
        <v>68</v>
      </c>
      <c r="S4735" t="s">
        <v>77</v>
      </c>
    </row>
    <row r="4736" spans="1:19" x14ac:dyDescent="0.35">
      <c r="A4736">
        <v>9283</v>
      </c>
      <c r="B4736" t="str">
        <f>"009283"</f>
        <v>009283</v>
      </c>
      <c r="C4736" t="s">
        <v>13381</v>
      </c>
      <c r="D4736" t="s">
        <v>3398</v>
      </c>
      <c r="E4736" t="s">
        <v>12048</v>
      </c>
      <c r="F4736" t="s">
        <v>3396</v>
      </c>
      <c r="G4736" t="s">
        <v>543</v>
      </c>
      <c r="H4736" t="s">
        <v>13382</v>
      </c>
      <c r="I4736" t="s">
        <v>13383</v>
      </c>
      <c r="J4736" t="s">
        <v>687</v>
      </c>
      <c r="K4736" t="s">
        <v>55</v>
      </c>
      <c r="L4736" t="s">
        <v>13384</v>
      </c>
      <c r="M4736" t="s">
        <v>57</v>
      </c>
      <c r="N4736" t="str">
        <f>"N/A"</f>
        <v>N/A</v>
      </c>
      <c r="O4736" t="s">
        <v>49</v>
      </c>
      <c r="P4736" t="s">
        <v>68</v>
      </c>
      <c r="Q4736">
        <v>67</v>
      </c>
      <c r="R4736">
        <v>96.1</v>
      </c>
      <c r="S4736" t="s">
        <v>180</v>
      </c>
    </row>
    <row r="4737" spans="1:19" x14ac:dyDescent="0.35">
      <c r="A4737">
        <v>9283</v>
      </c>
      <c r="B4737" t="str">
        <f>"009283"</f>
        <v>009283</v>
      </c>
      <c r="C4737" t="s">
        <v>13381</v>
      </c>
      <c r="D4737" t="s">
        <v>12052</v>
      </c>
      <c r="E4737" t="s">
        <v>12048</v>
      </c>
      <c r="F4737" t="s">
        <v>3396</v>
      </c>
      <c r="G4737" t="s">
        <v>543</v>
      </c>
      <c r="H4737" t="s">
        <v>13382</v>
      </c>
      <c r="I4737" t="s">
        <v>13383</v>
      </c>
      <c r="J4737" t="s">
        <v>687</v>
      </c>
      <c r="K4737" t="s">
        <v>55</v>
      </c>
      <c r="L4737" t="s">
        <v>13384</v>
      </c>
      <c r="M4737" t="s">
        <v>57</v>
      </c>
      <c r="N4737" t="str">
        <f>"N/A"</f>
        <v>N/A</v>
      </c>
      <c r="O4737" t="s">
        <v>49</v>
      </c>
      <c r="P4737" t="s">
        <v>68</v>
      </c>
      <c r="Q4737">
        <v>67</v>
      </c>
      <c r="R4737">
        <v>96.1</v>
      </c>
      <c r="S4737" t="s">
        <v>180</v>
      </c>
    </row>
    <row r="4738" spans="1:19" x14ac:dyDescent="0.35">
      <c r="A4738">
        <v>9283</v>
      </c>
      <c r="B4738" t="str">
        <f>"009283"</f>
        <v>009283</v>
      </c>
      <c r="C4738" t="s">
        <v>13381</v>
      </c>
      <c r="D4738" t="s">
        <v>3929</v>
      </c>
      <c r="E4738" t="s">
        <v>12048</v>
      </c>
      <c r="F4738" t="s">
        <v>3396</v>
      </c>
      <c r="G4738" t="s">
        <v>543</v>
      </c>
      <c r="H4738" t="s">
        <v>13382</v>
      </c>
      <c r="I4738" t="s">
        <v>13383</v>
      </c>
      <c r="J4738" t="s">
        <v>687</v>
      </c>
      <c r="K4738" t="s">
        <v>55</v>
      </c>
      <c r="L4738" t="s">
        <v>13384</v>
      </c>
      <c r="M4738" t="s">
        <v>57</v>
      </c>
      <c r="N4738" t="str">
        <f>"N/A"</f>
        <v>N/A</v>
      </c>
      <c r="O4738" t="s">
        <v>49</v>
      </c>
      <c r="P4738" t="s">
        <v>68</v>
      </c>
      <c r="Q4738">
        <v>67</v>
      </c>
      <c r="R4738">
        <v>96.1</v>
      </c>
      <c r="S4738" t="s">
        <v>180</v>
      </c>
    </row>
    <row r="4739" spans="1:19" x14ac:dyDescent="0.35">
      <c r="A4739">
        <v>9285</v>
      </c>
      <c r="B4739" t="str">
        <f>"009285"</f>
        <v>009285</v>
      </c>
      <c r="C4739" t="s">
        <v>13385</v>
      </c>
      <c r="D4739" t="s">
        <v>3394</v>
      </c>
      <c r="E4739" t="s">
        <v>3395</v>
      </c>
      <c r="F4739" t="s">
        <v>3396</v>
      </c>
      <c r="G4739" t="s">
        <v>63</v>
      </c>
      <c r="H4739" t="s">
        <v>13386</v>
      </c>
      <c r="I4739" t="s">
        <v>13387</v>
      </c>
      <c r="J4739" t="s">
        <v>285</v>
      </c>
      <c r="K4739" t="s">
        <v>55</v>
      </c>
      <c r="L4739" t="s">
        <v>3561</v>
      </c>
      <c r="M4739" t="s">
        <v>57</v>
      </c>
      <c r="N4739" t="str">
        <f>"043786"</f>
        <v>043786</v>
      </c>
      <c r="O4739" t="s">
        <v>1340</v>
      </c>
      <c r="P4739" t="s">
        <v>68</v>
      </c>
      <c r="Q4739">
        <v>100</v>
      </c>
      <c r="R4739">
        <v>70.599999999999994</v>
      </c>
      <c r="S4739" t="s">
        <v>69</v>
      </c>
    </row>
    <row r="4740" spans="1:19" x14ac:dyDescent="0.35">
      <c r="A4740">
        <v>9286</v>
      </c>
      <c r="B4740" t="str">
        <f>"009286"</f>
        <v>009286</v>
      </c>
      <c r="C4740" t="s">
        <v>7547</v>
      </c>
      <c r="D4740" t="s">
        <v>3398</v>
      </c>
      <c r="E4740" t="s">
        <v>3395</v>
      </c>
      <c r="F4740" t="s">
        <v>3396</v>
      </c>
      <c r="G4740" t="s">
        <v>52</v>
      </c>
      <c r="H4740" t="s">
        <v>13388</v>
      </c>
      <c r="I4740" t="s">
        <v>13389</v>
      </c>
      <c r="J4740" t="s">
        <v>13198</v>
      </c>
      <c r="K4740" t="s">
        <v>55</v>
      </c>
      <c r="L4740" t="s">
        <v>2671</v>
      </c>
      <c r="M4740" t="s">
        <v>57</v>
      </c>
      <c r="N4740" t="str">
        <f>"046763"</f>
        <v>046763</v>
      </c>
      <c r="O4740" t="s">
        <v>2667</v>
      </c>
      <c r="P4740" t="s">
        <v>68</v>
      </c>
      <c r="Q4740">
        <v>14.7</v>
      </c>
      <c r="R4740">
        <v>38.4</v>
      </c>
      <c r="S4740" t="s">
        <v>60</v>
      </c>
    </row>
    <row r="4741" spans="1:19" x14ac:dyDescent="0.35">
      <c r="A4741">
        <v>9374</v>
      </c>
      <c r="B4741" t="str">
        <f>"009374"</f>
        <v>009374</v>
      </c>
      <c r="C4741" t="s">
        <v>13390</v>
      </c>
      <c r="D4741" t="s">
        <v>3394</v>
      </c>
      <c r="E4741" t="s">
        <v>9538</v>
      </c>
      <c r="F4741" t="s">
        <v>3396</v>
      </c>
      <c r="G4741" t="s">
        <v>543</v>
      </c>
      <c r="H4741" t="s">
        <v>13391</v>
      </c>
      <c r="I4741" t="s">
        <v>13392</v>
      </c>
      <c r="J4741" t="s">
        <v>790</v>
      </c>
      <c r="K4741" t="s">
        <v>55</v>
      </c>
      <c r="L4741" t="s">
        <v>791</v>
      </c>
      <c r="M4741" t="s">
        <v>57</v>
      </c>
      <c r="N4741" t="str">
        <f>"009374"</f>
        <v>009374</v>
      </c>
      <c r="O4741" t="s">
        <v>13390</v>
      </c>
      <c r="P4741" t="s">
        <v>68</v>
      </c>
      <c r="Q4741" t="s">
        <v>68</v>
      </c>
      <c r="R4741" t="s">
        <v>68</v>
      </c>
      <c r="S4741" t="s">
        <v>180</v>
      </c>
    </row>
    <row r="4742" spans="1:19" x14ac:dyDescent="0.35">
      <c r="A4742">
        <v>9374</v>
      </c>
      <c r="B4742" t="str">
        <f>"009374"</f>
        <v>009374</v>
      </c>
      <c r="C4742" t="s">
        <v>13390</v>
      </c>
      <c r="D4742" t="s">
        <v>9541</v>
      </c>
      <c r="E4742" t="s">
        <v>9538</v>
      </c>
      <c r="F4742" t="s">
        <v>3396</v>
      </c>
      <c r="G4742" t="s">
        <v>543</v>
      </c>
      <c r="H4742" t="s">
        <v>13391</v>
      </c>
      <c r="I4742" t="s">
        <v>13392</v>
      </c>
      <c r="J4742" t="s">
        <v>790</v>
      </c>
      <c r="K4742" t="s">
        <v>55</v>
      </c>
      <c r="L4742" t="s">
        <v>791</v>
      </c>
      <c r="M4742" t="s">
        <v>57</v>
      </c>
      <c r="N4742" t="str">
        <f>"009374"</f>
        <v>009374</v>
      </c>
      <c r="O4742" t="s">
        <v>13390</v>
      </c>
      <c r="P4742" t="s">
        <v>68</v>
      </c>
      <c r="Q4742" t="s">
        <v>68</v>
      </c>
      <c r="R4742" t="s">
        <v>68</v>
      </c>
      <c r="S4742" t="s">
        <v>180</v>
      </c>
    </row>
    <row r="4743" spans="1:19" x14ac:dyDescent="0.35">
      <c r="A4743">
        <v>9421</v>
      </c>
      <c r="B4743" t="str">
        <f>"009421"</f>
        <v>009421</v>
      </c>
      <c r="C4743" t="s">
        <v>13393</v>
      </c>
      <c r="D4743" t="s">
        <v>3398</v>
      </c>
      <c r="E4743" t="s">
        <v>3395</v>
      </c>
      <c r="F4743" t="s">
        <v>3396</v>
      </c>
      <c r="G4743" t="s">
        <v>63</v>
      </c>
      <c r="H4743" t="s">
        <v>13394</v>
      </c>
      <c r="I4743" t="s">
        <v>13395</v>
      </c>
      <c r="J4743" t="s">
        <v>285</v>
      </c>
      <c r="K4743" t="s">
        <v>55</v>
      </c>
      <c r="L4743" t="s">
        <v>4491</v>
      </c>
      <c r="M4743" t="s">
        <v>57</v>
      </c>
      <c r="N4743" t="str">
        <f>"043786"</f>
        <v>043786</v>
      </c>
      <c r="O4743" t="s">
        <v>1340</v>
      </c>
      <c r="P4743" t="s">
        <v>68</v>
      </c>
      <c r="Q4743">
        <v>100</v>
      </c>
      <c r="R4743">
        <v>100</v>
      </c>
      <c r="S4743" t="s">
        <v>69</v>
      </c>
    </row>
    <row r="4744" spans="1:19" x14ac:dyDescent="0.35">
      <c r="A4744">
        <v>9435</v>
      </c>
      <c r="B4744" t="str">
        <f>"009435"</f>
        <v>009435</v>
      </c>
      <c r="C4744" t="s">
        <v>13396</v>
      </c>
      <c r="D4744" t="s">
        <v>3394</v>
      </c>
      <c r="E4744" t="s">
        <v>9538</v>
      </c>
      <c r="F4744" t="s">
        <v>3396</v>
      </c>
      <c r="G4744" t="s">
        <v>383</v>
      </c>
      <c r="H4744" t="s">
        <v>13397</v>
      </c>
      <c r="I4744" t="s">
        <v>13398</v>
      </c>
      <c r="J4744" t="s">
        <v>1215</v>
      </c>
      <c r="K4744" t="s">
        <v>55</v>
      </c>
      <c r="L4744" t="s">
        <v>9578</v>
      </c>
      <c r="M4744" t="s">
        <v>57</v>
      </c>
      <c r="N4744" t="str">
        <f>"009435"</f>
        <v>009435</v>
      </c>
      <c r="O4744" t="s">
        <v>13396</v>
      </c>
      <c r="P4744" t="s">
        <v>68</v>
      </c>
      <c r="Q4744" t="s">
        <v>68</v>
      </c>
      <c r="R4744" t="s">
        <v>68</v>
      </c>
      <c r="S4744" t="s">
        <v>77</v>
      </c>
    </row>
    <row r="4745" spans="1:19" x14ac:dyDescent="0.35">
      <c r="A4745">
        <v>9443</v>
      </c>
      <c r="B4745" t="str">
        <f>"009443"</f>
        <v>009443</v>
      </c>
      <c r="C4745" t="s">
        <v>13399</v>
      </c>
      <c r="D4745" t="s">
        <v>3394</v>
      </c>
      <c r="E4745" t="s">
        <v>9538</v>
      </c>
      <c r="F4745" t="s">
        <v>3396</v>
      </c>
      <c r="G4745" t="s">
        <v>63</v>
      </c>
      <c r="H4745" t="s">
        <v>13400</v>
      </c>
      <c r="I4745" t="s">
        <v>13401</v>
      </c>
      <c r="J4745" t="s">
        <v>66</v>
      </c>
      <c r="K4745" t="s">
        <v>55</v>
      </c>
      <c r="L4745" t="s">
        <v>2232</v>
      </c>
      <c r="M4745" t="s">
        <v>57</v>
      </c>
      <c r="N4745" t="str">
        <f>"009443"</f>
        <v>009443</v>
      </c>
      <c r="O4745" t="s">
        <v>13399</v>
      </c>
      <c r="P4745" t="s">
        <v>68</v>
      </c>
      <c r="Q4745" t="s">
        <v>68</v>
      </c>
      <c r="R4745" t="s">
        <v>68</v>
      </c>
      <c r="S4745" t="s">
        <v>69</v>
      </c>
    </row>
    <row r="4746" spans="1:19" x14ac:dyDescent="0.35">
      <c r="A4746">
        <v>9453</v>
      </c>
      <c r="B4746" t="str">
        <f>"009453"</f>
        <v>009453</v>
      </c>
      <c r="C4746" t="s">
        <v>13402</v>
      </c>
      <c r="D4746" t="s">
        <v>3394</v>
      </c>
      <c r="E4746" t="s">
        <v>9538</v>
      </c>
      <c r="F4746" t="s">
        <v>3396</v>
      </c>
      <c r="G4746" t="s">
        <v>212</v>
      </c>
      <c r="H4746" t="s">
        <v>13403</v>
      </c>
      <c r="I4746" t="s">
        <v>13404</v>
      </c>
      <c r="J4746" t="s">
        <v>953</v>
      </c>
      <c r="K4746" t="s">
        <v>55</v>
      </c>
      <c r="L4746" t="s">
        <v>954</v>
      </c>
      <c r="M4746" t="s">
        <v>57</v>
      </c>
      <c r="N4746" t="str">
        <f>"052514"</f>
        <v>052514</v>
      </c>
      <c r="O4746" t="s">
        <v>2465</v>
      </c>
      <c r="P4746" t="s">
        <v>68</v>
      </c>
      <c r="Q4746" t="s">
        <v>68</v>
      </c>
      <c r="R4746" t="s">
        <v>68</v>
      </c>
      <c r="S4746" t="s">
        <v>217</v>
      </c>
    </row>
    <row r="4747" spans="1:19" x14ac:dyDescent="0.35">
      <c r="A4747">
        <v>9467</v>
      </c>
      <c r="B4747" t="str">
        <f>"009467"</f>
        <v>009467</v>
      </c>
      <c r="C4747" t="s">
        <v>13405</v>
      </c>
      <c r="D4747" t="s">
        <v>3398</v>
      </c>
      <c r="E4747" t="s">
        <v>9538</v>
      </c>
      <c r="F4747" t="s">
        <v>3396</v>
      </c>
      <c r="G4747" t="s">
        <v>52</v>
      </c>
      <c r="H4747" t="s">
        <v>13406</v>
      </c>
      <c r="I4747" t="s">
        <v>13407</v>
      </c>
      <c r="J4747" t="s">
        <v>2690</v>
      </c>
      <c r="K4747" t="s">
        <v>55</v>
      </c>
      <c r="L4747" t="s">
        <v>10334</v>
      </c>
      <c r="M4747" t="s">
        <v>57</v>
      </c>
      <c r="N4747" t="str">
        <f>"009467"</f>
        <v>009467</v>
      </c>
      <c r="O4747" t="s">
        <v>13405</v>
      </c>
      <c r="P4747" t="s">
        <v>68</v>
      </c>
      <c r="Q4747" t="s">
        <v>68</v>
      </c>
      <c r="R4747" t="s">
        <v>68</v>
      </c>
      <c r="S4747" t="s">
        <v>60</v>
      </c>
    </row>
    <row r="4748" spans="1:19" x14ac:dyDescent="0.35">
      <c r="A4748">
        <v>9484</v>
      </c>
      <c r="B4748" t="str">
        <f>"009484"</f>
        <v>009484</v>
      </c>
      <c r="C4748" t="s">
        <v>13408</v>
      </c>
      <c r="D4748" t="s">
        <v>3398</v>
      </c>
      <c r="E4748" t="s">
        <v>9538</v>
      </c>
      <c r="F4748" t="s">
        <v>3396</v>
      </c>
      <c r="G4748" t="s">
        <v>1613</v>
      </c>
      <c r="H4748" t="s">
        <v>13409</v>
      </c>
      <c r="I4748" t="s">
        <v>13410</v>
      </c>
      <c r="J4748" t="s">
        <v>1613</v>
      </c>
      <c r="K4748" t="s">
        <v>55</v>
      </c>
      <c r="L4748" t="s">
        <v>1616</v>
      </c>
      <c r="M4748" t="s">
        <v>57</v>
      </c>
      <c r="N4748" t="str">
        <f>"009484"</f>
        <v>009484</v>
      </c>
      <c r="O4748" t="s">
        <v>13408</v>
      </c>
      <c r="P4748" t="s">
        <v>68</v>
      </c>
      <c r="Q4748" t="s">
        <v>68</v>
      </c>
      <c r="R4748" t="s">
        <v>68</v>
      </c>
      <c r="S4748" t="s">
        <v>130</v>
      </c>
    </row>
    <row r="4749" spans="1:19" x14ac:dyDescent="0.35">
      <c r="A4749">
        <v>9485</v>
      </c>
      <c r="B4749" t="str">
        <f>"009485"</f>
        <v>009485</v>
      </c>
      <c r="C4749" t="s">
        <v>13411</v>
      </c>
      <c r="D4749" t="s">
        <v>3398</v>
      </c>
      <c r="E4749" t="s">
        <v>9538</v>
      </c>
      <c r="F4749" t="s">
        <v>3396</v>
      </c>
      <c r="G4749" t="s">
        <v>200</v>
      </c>
      <c r="H4749" t="s">
        <v>13412</v>
      </c>
      <c r="I4749" t="s">
        <v>13413</v>
      </c>
      <c r="J4749" t="s">
        <v>7054</v>
      </c>
      <c r="K4749" t="s">
        <v>55</v>
      </c>
      <c r="L4749" t="s">
        <v>7055</v>
      </c>
      <c r="M4749" t="s">
        <v>57</v>
      </c>
      <c r="N4749" t="str">
        <f>"009485"</f>
        <v>009485</v>
      </c>
      <c r="O4749" t="s">
        <v>13411</v>
      </c>
      <c r="P4749" t="s">
        <v>68</v>
      </c>
      <c r="Q4749" t="s">
        <v>68</v>
      </c>
      <c r="R4749" t="s">
        <v>68</v>
      </c>
      <c r="S4749" t="s">
        <v>156</v>
      </c>
    </row>
    <row r="4750" spans="1:19" x14ac:dyDescent="0.35">
      <c r="A4750">
        <v>9487</v>
      </c>
      <c r="B4750" t="str">
        <f>"009487"</f>
        <v>009487</v>
      </c>
      <c r="C4750" t="s">
        <v>13414</v>
      </c>
      <c r="D4750" t="s">
        <v>3394</v>
      </c>
      <c r="E4750" t="s">
        <v>3395</v>
      </c>
      <c r="F4750" t="s">
        <v>3396</v>
      </c>
      <c r="G4750" t="s">
        <v>2298</v>
      </c>
      <c r="H4750" t="s">
        <v>13415</v>
      </c>
      <c r="I4750" t="s">
        <v>13416</v>
      </c>
      <c r="J4750" t="s">
        <v>124</v>
      </c>
      <c r="K4750" t="s">
        <v>55</v>
      </c>
      <c r="L4750" t="s">
        <v>2302</v>
      </c>
      <c r="M4750" t="s">
        <v>57</v>
      </c>
      <c r="N4750" t="str">
        <f>"046920"</f>
        <v>046920</v>
      </c>
      <c r="O4750" t="s">
        <v>2297</v>
      </c>
      <c r="P4750" t="s">
        <v>68</v>
      </c>
      <c r="Q4750">
        <v>43.7</v>
      </c>
      <c r="R4750">
        <v>11.299999999999997</v>
      </c>
      <c r="S4750" t="s">
        <v>60</v>
      </c>
    </row>
    <row r="4751" spans="1:19" x14ac:dyDescent="0.35">
      <c r="A4751">
        <v>9488</v>
      </c>
      <c r="B4751" t="str">
        <f>"009488"</f>
        <v>009488</v>
      </c>
      <c r="C4751" t="s">
        <v>13417</v>
      </c>
      <c r="D4751" t="s">
        <v>3394</v>
      </c>
      <c r="E4751" t="s">
        <v>3395</v>
      </c>
      <c r="F4751" t="s">
        <v>3396</v>
      </c>
      <c r="G4751" t="s">
        <v>117</v>
      </c>
      <c r="H4751" t="s">
        <v>13418</v>
      </c>
      <c r="I4751" t="s">
        <v>13419</v>
      </c>
      <c r="J4751" t="s">
        <v>6143</v>
      </c>
      <c r="K4751" t="s">
        <v>55</v>
      </c>
      <c r="L4751" t="s">
        <v>6144</v>
      </c>
      <c r="M4751" t="s">
        <v>57</v>
      </c>
      <c r="N4751" t="str">
        <f>"049841"</f>
        <v>049841</v>
      </c>
      <c r="O4751" t="s">
        <v>996</v>
      </c>
      <c r="P4751" t="s">
        <v>68</v>
      </c>
      <c r="Q4751">
        <v>41.4</v>
      </c>
      <c r="R4751">
        <v>8.2000000000000028</v>
      </c>
      <c r="S4751" t="s">
        <v>77</v>
      </c>
    </row>
    <row r="4752" spans="1:19" x14ac:dyDescent="0.35">
      <c r="A4752">
        <v>9496</v>
      </c>
      <c r="B4752" t="str">
        <f>"009496"</f>
        <v>009496</v>
      </c>
      <c r="C4752" t="s">
        <v>13420</v>
      </c>
      <c r="D4752" t="s">
        <v>3394</v>
      </c>
      <c r="E4752" t="s">
        <v>3395</v>
      </c>
      <c r="F4752" t="s">
        <v>3396</v>
      </c>
      <c r="G4752" t="s">
        <v>600</v>
      </c>
      <c r="H4752" t="s">
        <v>13421</v>
      </c>
      <c r="I4752" t="s">
        <v>13422</v>
      </c>
      <c r="J4752" t="s">
        <v>3622</v>
      </c>
      <c r="K4752" t="s">
        <v>55</v>
      </c>
      <c r="L4752" t="s">
        <v>3623</v>
      </c>
      <c r="M4752" t="s">
        <v>57</v>
      </c>
      <c r="N4752" t="str">
        <f>"047019"</f>
        <v>047019</v>
      </c>
      <c r="O4752" t="s">
        <v>1345</v>
      </c>
      <c r="P4752" t="s">
        <v>68</v>
      </c>
      <c r="Q4752" t="s">
        <v>68</v>
      </c>
      <c r="R4752" t="s">
        <v>68</v>
      </c>
      <c r="S4752" t="s">
        <v>60</v>
      </c>
    </row>
    <row r="4753" spans="1:19" x14ac:dyDescent="0.35">
      <c r="A4753">
        <v>9511</v>
      </c>
      <c r="B4753" t="str">
        <f>"009511"</f>
        <v>009511</v>
      </c>
      <c r="C4753" t="s">
        <v>13423</v>
      </c>
      <c r="D4753" t="s">
        <v>3400</v>
      </c>
      <c r="E4753" t="s">
        <v>3395</v>
      </c>
      <c r="F4753" t="s">
        <v>3396</v>
      </c>
      <c r="G4753" t="s">
        <v>600</v>
      </c>
      <c r="H4753" t="s">
        <v>13424</v>
      </c>
      <c r="I4753" t="s">
        <v>13425</v>
      </c>
      <c r="J4753" t="s">
        <v>1500</v>
      </c>
      <c r="K4753" t="s">
        <v>55</v>
      </c>
      <c r="L4753" t="s">
        <v>1501</v>
      </c>
      <c r="M4753" t="s">
        <v>57</v>
      </c>
      <c r="N4753" t="str">
        <f>"045138"</f>
        <v>045138</v>
      </c>
      <c r="O4753" t="s">
        <v>1497</v>
      </c>
      <c r="P4753" t="s">
        <v>68</v>
      </c>
      <c r="Q4753">
        <v>14.6</v>
      </c>
      <c r="R4753">
        <v>29.200000000000003</v>
      </c>
      <c r="S4753" t="s">
        <v>60</v>
      </c>
    </row>
    <row r="4754" spans="1:19" x14ac:dyDescent="0.35">
      <c r="A4754">
        <v>9927</v>
      </c>
      <c r="B4754" t="str">
        <f>"009927"</f>
        <v>009927</v>
      </c>
      <c r="C4754" t="s">
        <v>13426</v>
      </c>
      <c r="D4754" t="s">
        <v>3394</v>
      </c>
      <c r="E4754" t="s">
        <v>3395</v>
      </c>
      <c r="F4754" t="s">
        <v>3396</v>
      </c>
      <c r="G4754" t="s">
        <v>172</v>
      </c>
      <c r="H4754" t="s">
        <v>13427</v>
      </c>
      <c r="I4754" t="s">
        <v>13428</v>
      </c>
      <c r="J4754" t="s">
        <v>1853</v>
      </c>
      <c r="K4754" t="s">
        <v>55</v>
      </c>
      <c r="L4754" t="s">
        <v>1854</v>
      </c>
      <c r="M4754" t="s">
        <v>57</v>
      </c>
      <c r="N4754" t="str">
        <f>"050443"</f>
        <v>050443</v>
      </c>
      <c r="O4754" t="s">
        <v>1850</v>
      </c>
      <c r="P4754" t="s">
        <v>68</v>
      </c>
      <c r="Q4754">
        <v>20.8</v>
      </c>
      <c r="R4754">
        <v>15</v>
      </c>
      <c r="S4754" t="s">
        <v>217</v>
      </c>
    </row>
    <row r="4755" spans="1:19" x14ac:dyDescent="0.35">
      <c r="A4755">
        <v>9871</v>
      </c>
      <c r="B4755" t="str">
        <f>"009871"</f>
        <v>009871</v>
      </c>
      <c r="C4755" t="s">
        <v>13429</v>
      </c>
      <c r="D4755" t="s">
        <v>3394</v>
      </c>
      <c r="E4755" t="s">
        <v>3395</v>
      </c>
      <c r="F4755" t="s">
        <v>3396</v>
      </c>
      <c r="G4755" t="s">
        <v>901</v>
      </c>
      <c r="H4755" t="s">
        <v>13430</v>
      </c>
      <c r="I4755" t="s">
        <v>13431</v>
      </c>
      <c r="J4755" t="s">
        <v>1262</v>
      </c>
      <c r="K4755" t="s">
        <v>55</v>
      </c>
      <c r="L4755" t="s">
        <v>1263</v>
      </c>
      <c r="M4755" t="s">
        <v>57</v>
      </c>
      <c r="N4755" t="str">
        <f>"047845"</f>
        <v>047845</v>
      </c>
      <c r="O4755" t="s">
        <v>1259</v>
      </c>
      <c r="P4755" t="s">
        <v>68</v>
      </c>
      <c r="Q4755">
        <v>34.5</v>
      </c>
      <c r="R4755">
        <v>8.5</v>
      </c>
      <c r="S4755" t="s">
        <v>60</v>
      </c>
    </row>
    <row r="4756" spans="1:19" x14ac:dyDescent="0.35">
      <c r="A4756">
        <v>9903</v>
      </c>
      <c r="B4756" t="str">
        <f>"009903"</f>
        <v>009903</v>
      </c>
      <c r="C4756" t="s">
        <v>13432</v>
      </c>
      <c r="D4756" t="s">
        <v>3394</v>
      </c>
      <c r="E4756" t="s">
        <v>3395</v>
      </c>
      <c r="F4756" t="s">
        <v>3396</v>
      </c>
      <c r="G4756" t="s">
        <v>187</v>
      </c>
      <c r="H4756" t="s">
        <v>11860</v>
      </c>
      <c r="I4756" t="s">
        <v>11861</v>
      </c>
      <c r="J4756" t="s">
        <v>309</v>
      </c>
      <c r="K4756" t="s">
        <v>55</v>
      </c>
      <c r="L4756" t="s">
        <v>310</v>
      </c>
      <c r="M4756" t="s">
        <v>57</v>
      </c>
      <c r="N4756" t="str">
        <f>"045120"</f>
        <v>045120</v>
      </c>
      <c r="O4756" t="s">
        <v>306</v>
      </c>
      <c r="P4756" t="s">
        <v>68</v>
      </c>
      <c r="Q4756" t="s">
        <v>68</v>
      </c>
      <c r="R4756" t="s">
        <v>68</v>
      </c>
      <c r="S4756" t="s">
        <v>77</v>
      </c>
    </row>
    <row r="4757" spans="1:19" x14ac:dyDescent="0.35">
      <c r="A4757">
        <v>10134</v>
      </c>
      <c r="B4757" t="str">
        <f>"010134"</f>
        <v>010134</v>
      </c>
      <c r="C4757" t="s">
        <v>13433</v>
      </c>
      <c r="D4757" t="s">
        <v>3400</v>
      </c>
      <c r="E4757" t="s">
        <v>3395</v>
      </c>
      <c r="F4757" t="s">
        <v>3396</v>
      </c>
      <c r="G4757" t="s">
        <v>244</v>
      </c>
      <c r="H4757" t="s">
        <v>372</v>
      </c>
      <c r="I4757" t="s">
        <v>373</v>
      </c>
      <c r="J4757" t="s">
        <v>212</v>
      </c>
      <c r="K4757" t="s">
        <v>55</v>
      </c>
      <c r="L4757" t="s">
        <v>374</v>
      </c>
      <c r="M4757" t="s">
        <v>57</v>
      </c>
      <c r="N4757" t="str">
        <f>"046136"</f>
        <v>046136</v>
      </c>
      <c r="O4757" t="s">
        <v>371</v>
      </c>
      <c r="P4757" t="s">
        <v>68</v>
      </c>
      <c r="Q4757">
        <v>100</v>
      </c>
      <c r="R4757">
        <v>14.599999999999994</v>
      </c>
      <c r="S4757" t="s">
        <v>217</v>
      </c>
    </row>
    <row r="4758" spans="1:19" x14ac:dyDescent="0.35">
      <c r="A4758">
        <v>9953</v>
      </c>
      <c r="B4758" t="str">
        <f>"009953"</f>
        <v>009953</v>
      </c>
      <c r="C4758" t="s">
        <v>13434</v>
      </c>
      <c r="D4758" t="s">
        <v>3394</v>
      </c>
      <c r="E4758" t="s">
        <v>12048</v>
      </c>
      <c r="F4758" t="s">
        <v>3396</v>
      </c>
      <c r="G4758" t="s">
        <v>600</v>
      </c>
      <c r="H4758" t="s">
        <v>13435</v>
      </c>
      <c r="I4758" t="s">
        <v>13436</v>
      </c>
      <c r="J4758" t="s">
        <v>1348</v>
      </c>
      <c r="K4758" t="s">
        <v>55</v>
      </c>
      <c r="L4758" t="s">
        <v>3854</v>
      </c>
      <c r="M4758" t="s">
        <v>57</v>
      </c>
      <c r="N4758" t="str">
        <f t="shared" ref="N4758:N4763" si="29">"014995"</f>
        <v>014995</v>
      </c>
      <c r="O4758" t="s">
        <v>12501</v>
      </c>
      <c r="P4758" t="s">
        <v>68</v>
      </c>
      <c r="Q4758">
        <v>100</v>
      </c>
      <c r="R4758">
        <v>91</v>
      </c>
      <c r="S4758" t="s">
        <v>60</v>
      </c>
    </row>
    <row r="4759" spans="1:19" x14ac:dyDescent="0.35">
      <c r="A4759">
        <v>9953</v>
      </c>
      <c r="B4759" t="str">
        <f>"009953"</f>
        <v>009953</v>
      </c>
      <c r="C4759" t="s">
        <v>13434</v>
      </c>
      <c r="D4759" t="s">
        <v>12052</v>
      </c>
      <c r="E4759" t="s">
        <v>12048</v>
      </c>
      <c r="F4759" t="s">
        <v>3396</v>
      </c>
      <c r="G4759" t="s">
        <v>600</v>
      </c>
      <c r="H4759" t="s">
        <v>13435</v>
      </c>
      <c r="I4759" t="s">
        <v>13436</v>
      </c>
      <c r="J4759" t="s">
        <v>1348</v>
      </c>
      <c r="K4759" t="s">
        <v>55</v>
      </c>
      <c r="L4759" t="s">
        <v>3854</v>
      </c>
      <c r="M4759" t="s">
        <v>57</v>
      </c>
      <c r="N4759" t="str">
        <f t="shared" si="29"/>
        <v>014995</v>
      </c>
      <c r="O4759" t="s">
        <v>12501</v>
      </c>
      <c r="P4759" t="s">
        <v>68</v>
      </c>
      <c r="Q4759">
        <v>100</v>
      </c>
      <c r="R4759">
        <v>91</v>
      </c>
      <c r="S4759" t="s">
        <v>60</v>
      </c>
    </row>
    <row r="4760" spans="1:19" x14ac:dyDescent="0.35">
      <c r="A4760">
        <v>9955</v>
      </c>
      <c r="B4760" t="str">
        <f>"009955"</f>
        <v>009955</v>
      </c>
      <c r="C4760" t="s">
        <v>13437</v>
      </c>
      <c r="D4760" t="s">
        <v>3394</v>
      </c>
      <c r="E4760" t="s">
        <v>12048</v>
      </c>
      <c r="F4760" t="s">
        <v>3396</v>
      </c>
      <c r="G4760" t="s">
        <v>200</v>
      </c>
      <c r="H4760" t="s">
        <v>13438</v>
      </c>
      <c r="I4760" t="s">
        <v>13439</v>
      </c>
      <c r="J4760" t="s">
        <v>304</v>
      </c>
      <c r="K4760" t="s">
        <v>55</v>
      </c>
      <c r="L4760" t="s">
        <v>3170</v>
      </c>
      <c r="M4760" t="s">
        <v>57</v>
      </c>
      <c r="N4760" t="str">
        <f t="shared" si="29"/>
        <v>014995</v>
      </c>
      <c r="O4760" t="s">
        <v>12501</v>
      </c>
      <c r="P4760" t="s">
        <v>68</v>
      </c>
      <c r="Q4760">
        <v>100</v>
      </c>
      <c r="R4760">
        <v>100</v>
      </c>
      <c r="S4760" t="s">
        <v>156</v>
      </c>
    </row>
    <row r="4761" spans="1:19" x14ac:dyDescent="0.35">
      <c r="A4761">
        <v>9955</v>
      </c>
      <c r="B4761" t="str">
        <f>"009955"</f>
        <v>009955</v>
      </c>
      <c r="C4761" t="s">
        <v>13437</v>
      </c>
      <c r="D4761" t="s">
        <v>12052</v>
      </c>
      <c r="E4761" t="s">
        <v>12048</v>
      </c>
      <c r="F4761" t="s">
        <v>3396</v>
      </c>
      <c r="G4761" t="s">
        <v>200</v>
      </c>
      <c r="H4761" t="s">
        <v>13438</v>
      </c>
      <c r="I4761" t="s">
        <v>13439</v>
      </c>
      <c r="J4761" t="s">
        <v>304</v>
      </c>
      <c r="K4761" t="s">
        <v>55</v>
      </c>
      <c r="L4761" t="s">
        <v>3170</v>
      </c>
      <c r="M4761" t="s">
        <v>57</v>
      </c>
      <c r="N4761" t="str">
        <f t="shared" si="29"/>
        <v>014995</v>
      </c>
      <c r="O4761" t="s">
        <v>12501</v>
      </c>
      <c r="P4761" t="s">
        <v>68</v>
      </c>
      <c r="Q4761">
        <v>100</v>
      </c>
      <c r="R4761">
        <v>100</v>
      </c>
      <c r="S4761" t="s">
        <v>156</v>
      </c>
    </row>
    <row r="4762" spans="1:19" x14ac:dyDescent="0.35">
      <c r="A4762">
        <v>9957</v>
      </c>
      <c r="B4762" t="str">
        <f>"009957"</f>
        <v>009957</v>
      </c>
      <c r="C4762" t="s">
        <v>13440</v>
      </c>
      <c r="D4762" t="s">
        <v>3394</v>
      </c>
      <c r="E4762" t="s">
        <v>12048</v>
      </c>
      <c r="F4762" t="s">
        <v>3396</v>
      </c>
      <c r="G4762" t="s">
        <v>543</v>
      </c>
      <c r="H4762" t="s">
        <v>13441</v>
      </c>
      <c r="I4762" t="s">
        <v>13442</v>
      </c>
      <c r="J4762" t="s">
        <v>687</v>
      </c>
      <c r="K4762" t="s">
        <v>55</v>
      </c>
      <c r="L4762" t="s">
        <v>3771</v>
      </c>
      <c r="M4762" t="s">
        <v>57</v>
      </c>
      <c r="N4762" t="str">
        <f t="shared" si="29"/>
        <v>014995</v>
      </c>
      <c r="O4762" t="s">
        <v>12501</v>
      </c>
      <c r="P4762" t="s">
        <v>68</v>
      </c>
      <c r="Q4762">
        <v>99.6</v>
      </c>
      <c r="R4762">
        <v>100</v>
      </c>
      <c r="S4762" t="s">
        <v>180</v>
      </c>
    </row>
    <row r="4763" spans="1:19" x14ac:dyDescent="0.35">
      <c r="A4763">
        <v>9957</v>
      </c>
      <c r="B4763" t="str">
        <f>"009957"</f>
        <v>009957</v>
      </c>
      <c r="C4763" t="s">
        <v>13440</v>
      </c>
      <c r="D4763" t="s">
        <v>12052</v>
      </c>
      <c r="E4763" t="s">
        <v>12048</v>
      </c>
      <c r="F4763" t="s">
        <v>3396</v>
      </c>
      <c r="G4763" t="s">
        <v>543</v>
      </c>
      <c r="H4763" t="s">
        <v>13441</v>
      </c>
      <c r="I4763" t="s">
        <v>13442</v>
      </c>
      <c r="J4763" t="s">
        <v>687</v>
      </c>
      <c r="K4763" t="s">
        <v>55</v>
      </c>
      <c r="L4763" t="s">
        <v>3771</v>
      </c>
      <c r="M4763" t="s">
        <v>57</v>
      </c>
      <c r="N4763" t="str">
        <f t="shared" si="29"/>
        <v>014995</v>
      </c>
      <c r="O4763" t="s">
        <v>12501</v>
      </c>
      <c r="P4763" t="s">
        <v>68</v>
      </c>
      <c r="Q4763">
        <v>99.6</v>
      </c>
      <c r="R4763">
        <v>100</v>
      </c>
      <c r="S4763" t="s">
        <v>180</v>
      </c>
    </row>
    <row r="4764" spans="1:19" x14ac:dyDescent="0.35">
      <c r="A4764">
        <v>9968</v>
      </c>
      <c r="B4764" t="str">
        <f>"009968"</f>
        <v>009968</v>
      </c>
      <c r="C4764" t="s">
        <v>13443</v>
      </c>
      <c r="D4764" t="s">
        <v>3394</v>
      </c>
      <c r="E4764" t="s">
        <v>3395</v>
      </c>
      <c r="F4764" t="s">
        <v>3396</v>
      </c>
      <c r="G4764" t="s">
        <v>117</v>
      </c>
      <c r="H4764" t="s">
        <v>13444</v>
      </c>
      <c r="I4764" t="s">
        <v>13445</v>
      </c>
      <c r="J4764" t="s">
        <v>2463</v>
      </c>
      <c r="K4764" t="s">
        <v>55</v>
      </c>
      <c r="L4764" t="s">
        <v>2464</v>
      </c>
      <c r="M4764" t="s">
        <v>57</v>
      </c>
      <c r="N4764" t="str">
        <f>"049940"</f>
        <v>049940</v>
      </c>
      <c r="O4764" t="s">
        <v>2460</v>
      </c>
      <c r="P4764" t="s">
        <v>68</v>
      </c>
      <c r="Q4764">
        <v>45.9</v>
      </c>
      <c r="R4764">
        <v>6</v>
      </c>
      <c r="S4764" t="s">
        <v>77</v>
      </c>
    </row>
    <row r="4765" spans="1:19" x14ac:dyDescent="0.35">
      <c r="A4765">
        <v>9971</v>
      </c>
      <c r="B4765" t="str">
        <f>"009971"</f>
        <v>009971</v>
      </c>
      <c r="C4765" t="s">
        <v>13446</v>
      </c>
      <c r="D4765" t="s">
        <v>3398</v>
      </c>
      <c r="E4765" t="s">
        <v>12048</v>
      </c>
      <c r="F4765" t="s">
        <v>3396</v>
      </c>
      <c r="G4765" t="s">
        <v>855</v>
      </c>
      <c r="H4765" t="s">
        <v>13447</v>
      </c>
      <c r="I4765" t="s">
        <v>13448</v>
      </c>
      <c r="J4765" t="s">
        <v>855</v>
      </c>
      <c r="K4765" t="s">
        <v>55</v>
      </c>
      <c r="L4765" t="s">
        <v>1457</v>
      </c>
      <c r="M4765" t="s">
        <v>57</v>
      </c>
      <c r="N4765" t="str">
        <f>"N/A"</f>
        <v>N/A</v>
      </c>
      <c r="O4765" t="s">
        <v>49</v>
      </c>
      <c r="P4765" t="s">
        <v>68</v>
      </c>
      <c r="Q4765">
        <v>74.3</v>
      </c>
      <c r="R4765">
        <v>4.0999999999999943</v>
      </c>
      <c r="S4765" t="s">
        <v>77</v>
      </c>
    </row>
    <row r="4766" spans="1:19" x14ac:dyDescent="0.35">
      <c r="A4766">
        <v>9971</v>
      </c>
      <c r="B4766" t="str">
        <f>"009971"</f>
        <v>009971</v>
      </c>
      <c r="C4766" t="s">
        <v>13446</v>
      </c>
      <c r="D4766" t="s">
        <v>12052</v>
      </c>
      <c r="E4766" t="s">
        <v>12048</v>
      </c>
      <c r="F4766" t="s">
        <v>3396</v>
      </c>
      <c r="G4766" t="s">
        <v>855</v>
      </c>
      <c r="H4766" t="s">
        <v>13447</v>
      </c>
      <c r="I4766" t="s">
        <v>13448</v>
      </c>
      <c r="J4766" t="s">
        <v>855</v>
      </c>
      <c r="K4766" t="s">
        <v>55</v>
      </c>
      <c r="L4766" t="s">
        <v>1457</v>
      </c>
      <c r="M4766" t="s">
        <v>57</v>
      </c>
      <c r="N4766" t="str">
        <f>"N/A"</f>
        <v>N/A</v>
      </c>
      <c r="O4766" t="s">
        <v>49</v>
      </c>
      <c r="P4766" t="s">
        <v>68</v>
      </c>
      <c r="Q4766">
        <v>74.3</v>
      </c>
      <c r="R4766">
        <v>4.0999999999999943</v>
      </c>
      <c r="S4766" t="s">
        <v>77</v>
      </c>
    </row>
    <row r="4767" spans="1:19" x14ac:dyDescent="0.35">
      <c r="A4767">
        <v>9971</v>
      </c>
      <c r="B4767" t="str">
        <f>"009971"</f>
        <v>009971</v>
      </c>
      <c r="C4767" t="s">
        <v>13446</v>
      </c>
      <c r="D4767" t="s">
        <v>12063</v>
      </c>
      <c r="E4767" t="s">
        <v>12048</v>
      </c>
      <c r="F4767" t="s">
        <v>3396</v>
      </c>
      <c r="G4767" t="s">
        <v>855</v>
      </c>
      <c r="H4767" t="s">
        <v>13447</v>
      </c>
      <c r="I4767" t="s">
        <v>13448</v>
      </c>
      <c r="J4767" t="s">
        <v>855</v>
      </c>
      <c r="K4767" t="s">
        <v>55</v>
      </c>
      <c r="L4767" t="s">
        <v>1457</v>
      </c>
      <c r="M4767" t="s">
        <v>57</v>
      </c>
      <c r="N4767" t="str">
        <f>"N/A"</f>
        <v>N/A</v>
      </c>
      <c r="O4767" t="s">
        <v>49</v>
      </c>
      <c r="P4767" t="s">
        <v>68</v>
      </c>
      <c r="Q4767">
        <v>74.3</v>
      </c>
      <c r="R4767">
        <v>4.0999999999999943</v>
      </c>
      <c r="S4767" t="s">
        <v>77</v>
      </c>
    </row>
    <row r="4768" spans="1:19" x14ac:dyDescent="0.35">
      <c r="A4768">
        <v>9971</v>
      </c>
      <c r="B4768" t="str">
        <f>"009971"</f>
        <v>009971</v>
      </c>
      <c r="C4768" t="s">
        <v>13446</v>
      </c>
      <c r="D4768" t="s">
        <v>4572</v>
      </c>
      <c r="E4768" t="s">
        <v>12048</v>
      </c>
      <c r="F4768" t="s">
        <v>3396</v>
      </c>
      <c r="G4768" t="s">
        <v>855</v>
      </c>
      <c r="H4768" t="s">
        <v>13447</v>
      </c>
      <c r="I4768" t="s">
        <v>13448</v>
      </c>
      <c r="J4768" t="s">
        <v>855</v>
      </c>
      <c r="K4768" t="s">
        <v>55</v>
      </c>
      <c r="L4768" t="s">
        <v>1457</v>
      </c>
      <c r="M4768" t="s">
        <v>57</v>
      </c>
      <c r="N4768" t="str">
        <f>"N/A"</f>
        <v>N/A</v>
      </c>
      <c r="O4768" t="s">
        <v>49</v>
      </c>
      <c r="P4768" t="s">
        <v>68</v>
      </c>
      <c r="Q4768">
        <v>74.3</v>
      </c>
      <c r="R4768">
        <v>4.0999999999999943</v>
      </c>
      <c r="S4768" t="s">
        <v>77</v>
      </c>
    </row>
    <row r="4769" spans="1:19" x14ac:dyDescent="0.35">
      <c r="A4769">
        <v>9972</v>
      </c>
      <c r="B4769" t="str">
        <f>"009972"</f>
        <v>009972</v>
      </c>
      <c r="C4769" t="s">
        <v>13449</v>
      </c>
      <c r="D4769" t="s">
        <v>3400</v>
      </c>
      <c r="E4769" t="s">
        <v>3395</v>
      </c>
      <c r="F4769" t="s">
        <v>3396</v>
      </c>
      <c r="G4769" t="s">
        <v>117</v>
      </c>
      <c r="H4769" t="s">
        <v>8182</v>
      </c>
      <c r="I4769" t="s">
        <v>8183</v>
      </c>
      <c r="J4769" t="s">
        <v>2463</v>
      </c>
      <c r="K4769" t="s">
        <v>55</v>
      </c>
      <c r="L4769" t="s">
        <v>2464</v>
      </c>
      <c r="M4769" t="s">
        <v>57</v>
      </c>
      <c r="N4769" t="str">
        <f>"049940"</f>
        <v>049940</v>
      </c>
      <c r="O4769" t="s">
        <v>2460</v>
      </c>
      <c r="P4769" t="s">
        <v>68</v>
      </c>
      <c r="Q4769">
        <v>44.5</v>
      </c>
      <c r="R4769">
        <v>6</v>
      </c>
      <c r="S4769" t="s">
        <v>77</v>
      </c>
    </row>
    <row r="4770" spans="1:19" x14ac:dyDescent="0.35">
      <c r="A4770">
        <v>9990</v>
      </c>
      <c r="B4770" t="str">
        <f>"009990"</f>
        <v>009990</v>
      </c>
      <c r="C4770" t="s">
        <v>13450</v>
      </c>
      <c r="D4770" t="s">
        <v>3394</v>
      </c>
      <c r="E4770" t="s">
        <v>12048</v>
      </c>
      <c r="F4770" t="s">
        <v>3396</v>
      </c>
      <c r="G4770" t="s">
        <v>600</v>
      </c>
      <c r="H4770" t="s">
        <v>13451</v>
      </c>
      <c r="I4770" t="s">
        <v>13452</v>
      </c>
      <c r="J4770" t="s">
        <v>1348</v>
      </c>
      <c r="K4770" t="s">
        <v>55</v>
      </c>
      <c r="L4770" t="s">
        <v>5767</v>
      </c>
      <c r="M4770" t="s">
        <v>57</v>
      </c>
      <c r="N4770" t="str">
        <f>"014979"</f>
        <v>014979</v>
      </c>
      <c r="O4770" t="s">
        <v>12185</v>
      </c>
      <c r="P4770" t="s">
        <v>68</v>
      </c>
      <c r="Q4770">
        <v>100</v>
      </c>
      <c r="R4770">
        <v>100</v>
      </c>
      <c r="S4770" t="s">
        <v>60</v>
      </c>
    </row>
    <row r="4771" spans="1:19" x14ac:dyDescent="0.35">
      <c r="A4771">
        <v>9990</v>
      </c>
      <c r="B4771" t="str">
        <f>"009990"</f>
        <v>009990</v>
      </c>
      <c r="C4771" t="s">
        <v>13450</v>
      </c>
      <c r="D4771" t="s">
        <v>12052</v>
      </c>
      <c r="E4771" t="s">
        <v>12048</v>
      </c>
      <c r="F4771" t="s">
        <v>3396</v>
      </c>
      <c r="G4771" t="s">
        <v>600</v>
      </c>
      <c r="H4771" t="s">
        <v>13451</v>
      </c>
      <c r="I4771" t="s">
        <v>13452</v>
      </c>
      <c r="J4771" t="s">
        <v>1348</v>
      </c>
      <c r="K4771" t="s">
        <v>55</v>
      </c>
      <c r="L4771" t="s">
        <v>5767</v>
      </c>
      <c r="M4771" t="s">
        <v>57</v>
      </c>
      <c r="N4771" t="str">
        <f>"014979"</f>
        <v>014979</v>
      </c>
      <c r="O4771" t="s">
        <v>12185</v>
      </c>
      <c r="P4771" t="s">
        <v>68</v>
      </c>
      <c r="Q4771">
        <v>100</v>
      </c>
      <c r="R4771">
        <v>100</v>
      </c>
      <c r="S4771" t="s">
        <v>60</v>
      </c>
    </row>
    <row r="4772" spans="1:19" x14ac:dyDescent="0.35">
      <c r="A4772">
        <v>9996</v>
      </c>
      <c r="B4772" t="str">
        <f>"009996"</f>
        <v>009996</v>
      </c>
      <c r="C4772" t="s">
        <v>13453</v>
      </c>
      <c r="D4772" t="s">
        <v>3398</v>
      </c>
      <c r="E4772" t="s">
        <v>12048</v>
      </c>
      <c r="F4772" t="s">
        <v>3396</v>
      </c>
      <c r="G4772" t="s">
        <v>383</v>
      </c>
      <c r="H4772" t="s">
        <v>13454</v>
      </c>
      <c r="I4772" t="s">
        <v>13455</v>
      </c>
      <c r="J4772" t="s">
        <v>1215</v>
      </c>
      <c r="K4772" t="s">
        <v>55</v>
      </c>
      <c r="L4772" t="s">
        <v>8607</v>
      </c>
      <c r="M4772" t="s">
        <v>57</v>
      </c>
      <c r="N4772" t="str">
        <f>"N/A"</f>
        <v>N/A</v>
      </c>
      <c r="O4772" t="s">
        <v>49</v>
      </c>
      <c r="P4772" t="s">
        <v>68</v>
      </c>
      <c r="Q4772">
        <v>100</v>
      </c>
      <c r="R4772">
        <v>89.2</v>
      </c>
      <c r="S4772" t="s">
        <v>77</v>
      </c>
    </row>
    <row r="4773" spans="1:19" x14ac:dyDescent="0.35">
      <c r="A4773">
        <v>9996</v>
      </c>
      <c r="B4773" t="str">
        <f>"009996"</f>
        <v>009996</v>
      </c>
      <c r="C4773" t="s">
        <v>13453</v>
      </c>
      <c r="D4773" t="s">
        <v>12052</v>
      </c>
      <c r="E4773" t="s">
        <v>12048</v>
      </c>
      <c r="F4773" t="s">
        <v>3396</v>
      </c>
      <c r="G4773" t="s">
        <v>383</v>
      </c>
      <c r="H4773" t="s">
        <v>13454</v>
      </c>
      <c r="I4773" t="s">
        <v>13455</v>
      </c>
      <c r="J4773" t="s">
        <v>1215</v>
      </c>
      <c r="K4773" t="s">
        <v>55</v>
      </c>
      <c r="L4773" t="s">
        <v>8607</v>
      </c>
      <c r="M4773" t="s">
        <v>57</v>
      </c>
      <c r="N4773" t="str">
        <f>"N/A"</f>
        <v>N/A</v>
      </c>
      <c r="O4773" t="s">
        <v>49</v>
      </c>
      <c r="P4773" t="s">
        <v>68</v>
      </c>
      <c r="Q4773">
        <v>100</v>
      </c>
      <c r="R4773">
        <v>89.2</v>
      </c>
      <c r="S4773" t="s">
        <v>77</v>
      </c>
    </row>
    <row r="4774" spans="1:19" x14ac:dyDescent="0.35">
      <c r="A4774">
        <v>9996</v>
      </c>
      <c r="B4774" t="str">
        <f>"009996"</f>
        <v>009996</v>
      </c>
      <c r="C4774" t="s">
        <v>13453</v>
      </c>
      <c r="D4774" t="s">
        <v>12063</v>
      </c>
      <c r="E4774" t="s">
        <v>12048</v>
      </c>
      <c r="F4774" t="s">
        <v>3396</v>
      </c>
      <c r="G4774" t="s">
        <v>383</v>
      </c>
      <c r="H4774" t="s">
        <v>13454</v>
      </c>
      <c r="I4774" t="s">
        <v>13455</v>
      </c>
      <c r="J4774" t="s">
        <v>1215</v>
      </c>
      <c r="K4774" t="s">
        <v>55</v>
      </c>
      <c r="L4774" t="s">
        <v>8607</v>
      </c>
      <c r="M4774" t="s">
        <v>57</v>
      </c>
      <c r="N4774" t="str">
        <f>"N/A"</f>
        <v>N/A</v>
      </c>
      <c r="O4774" t="s">
        <v>49</v>
      </c>
      <c r="P4774" t="s">
        <v>68</v>
      </c>
      <c r="Q4774">
        <v>100</v>
      </c>
      <c r="R4774">
        <v>89.2</v>
      </c>
      <c r="S4774" t="s">
        <v>77</v>
      </c>
    </row>
    <row r="4775" spans="1:19" x14ac:dyDescent="0.35">
      <c r="A4775">
        <v>9997</v>
      </c>
      <c r="B4775" t="str">
        <f>"009997"</f>
        <v>009997</v>
      </c>
      <c r="C4775" t="s">
        <v>13456</v>
      </c>
      <c r="D4775" t="s">
        <v>3398</v>
      </c>
      <c r="E4775" t="s">
        <v>12048</v>
      </c>
      <c r="F4775" t="s">
        <v>3396</v>
      </c>
      <c r="G4775" t="s">
        <v>600</v>
      </c>
      <c r="H4775" t="s">
        <v>13457</v>
      </c>
      <c r="I4775" t="s">
        <v>13458</v>
      </c>
      <c r="J4775" t="s">
        <v>1348</v>
      </c>
      <c r="K4775" t="s">
        <v>55</v>
      </c>
      <c r="L4775" t="s">
        <v>3736</v>
      </c>
      <c r="M4775" t="s">
        <v>57</v>
      </c>
      <c r="N4775" t="str">
        <f>"N/A"</f>
        <v>N/A</v>
      </c>
      <c r="O4775" t="s">
        <v>49</v>
      </c>
      <c r="P4775" t="s">
        <v>68</v>
      </c>
      <c r="Q4775">
        <v>99.2</v>
      </c>
      <c r="R4775">
        <v>98.1</v>
      </c>
      <c r="S4775" t="s">
        <v>60</v>
      </c>
    </row>
    <row r="4776" spans="1:19" x14ac:dyDescent="0.35">
      <c r="A4776">
        <v>9997</v>
      </c>
      <c r="B4776" t="str">
        <f>"009997"</f>
        <v>009997</v>
      </c>
      <c r="C4776" t="s">
        <v>13456</v>
      </c>
      <c r="D4776" t="s">
        <v>12052</v>
      </c>
      <c r="E4776" t="s">
        <v>12048</v>
      </c>
      <c r="F4776" t="s">
        <v>3396</v>
      </c>
      <c r="G4776" t="s">
        <v>600</v>
      </c>
      <c r="H4776" t="s">
        <v>13457</v>
      </c>
      <c r="I4776" t="s">
        <v>13458</v>
      </c>
      <c r="J4776" t="s">
        <v>1348</v>
      </c>
      <c r="K4776" t="s">
        <v>55</v>
      </c>
      <c r="L4776" t="s">
        <v>3736</v>
      </c>
      <c r="M4776" t="s">
        <v>57</v>
      </c>
      <c r="N4776" t="str">
        <f>"N/A"</f>
        <v>N/A</v>
      </c>
      <c r="O4776" t="s">
        <v>49</v>
      </c>
      <c r="P4776" t="s">
        <v>68</v>
      </c>
      <c r="Q4776">
        <v>99.2</v>
      </c>
      <c r="R4776">
        <v>98.1</v>
      </c>
      <c r="S4776" t="s">
        <v>60</v>
      </c>
    </row>
    <row r="4777" spans="1:19" x14ac:dyDescent="0.35">
      <c r="A4777">
        <v>10004</v>
      </c>
      <c r="B4777" t="str">
        <f>"010004"</f>
        <v>010004</v>
      </c>
      <c r="C4777" t="s">
        <v>13459</v>
      </c>
      <c r="D4777" t="s">
        <v>3394</v>
      </c>
      <c r="E4777" t="s">
        <v>3395</v>
      </c>
      <c r="F4777" t="s">
        <v>3396</v>
      </c>
      <c r="G4777" t="s">
        <v>233</v>
      </c>
      <c r="H4777" t="s">
        <v>13460</v>
      </c>
      <c r="I4777" t="s">
        <v>13461</v>
      </c>
      <c r="J4777" t="s">
        <v>13462</v>
      </c>
      <c r="K4777" t="s">
        <v>55</v>
      </c>
      <c r="L4777" t="s">
        <v>3273</v>
      </c>
      <c r="M4777" t="s">
        <v>57</v>
      </c>
      <c r="N4777" t="str">
        <f>"044347"</f>
        <v>044347</v>
      </c>
      <c r="O4777" t="s">
        <v>3269</v>
      </c>
      <c r="P4777" t="s">
        <v>68</v>
      </c>
      <c r="Q4777">
        <v>65.3</v>
      </c>
      <c r="R4777">
        <v>17.400000000000006</v>
      </c>
      <c r="S4777" t="s">
        <v>130</v>
      </c>
    </row>
    <row r="4778" spans="1:19" x14ac:dyDescent="0.35">
      <c r="A4778">
        <v>10036</v>
      </c>
      <c r="B4778" t="str">
        <f>"010036"</f>
        <v>010036</v>
      </c>
      <c r="C4778" t="s">
        <v>13463</v>
      </c>
      <c r="D4778" t="s">
        <v>3394</v>
      </c>
      <c r="E4778" t="s">
        <v>12048</v>
      </c>
      <c r="F4778" t="s">
        <v>3396</v>
      </c>
      <c r="G4778" t="s">
        <v>600</v>
      </c>
      <c r="H4778" t="s">
        <v>13464</v>
      </c>
      <c r="I4778" t="s">
        <v>13465</v>
      </c>
      <c r="J4778" t="s">
        <v>1348</v>
      </c>
      <c r="K4778" t="s">
        <v>55</v>
      </c>
      <c r="L4778" t="s">
        <v>4810</v>
      </c>
      <c r="M4778" t="s">
        <v>57</v>
      </c>
      <c r="N4778" t="str">
        <f>"014821"</f>
        <v>014821</v>
      </c>
      <c r="O4778" t="s">
        <v>13073</v>
      </c>
      <c r="P4778" t="s">
        <v>68</v>
      </c>
      <c r="Q4778">
        <v>100</v>
      </c>
      <c r="R4778">
        <v>100</v>
      </c>
      <c r="S4778" t="s">
        <v>60</v>
      </c>
    </row>
    <row r="4779" spans="1:19" x14ac:dyDescent="0.35">
      <c r="A4779">
        <v>10036</v>
      </c>
      <c r="B4779" t="str">
        <f>"010036"</f>
        <v>010036</v>
      </c>
      <c r="C4779" t="s">
        <v>13463</v>
      </c>
      <c r="D4779" t="s">
        <v>12052</v>
      </c>
      <c r="E4779" t="s">
        <v>12048</v>
      </c>
      <c r="F4779" t="s">
        <v>3396</v>
      </c>
      <c r="G4779" t="s">
        <v>600</v>
      </c>
      <c r="H4779" t="s">
        <v>13464</v>
      </c>
      <c r="I4779" t="s">
        <v>13465</v>
      </c>
      <c r="J4779" t="s">
        <v>1348</v>
      </c>
      <c r="K4779" t="s">
        <v>55</v>
      </c>
      <c r="L4779" t="s">
        <v>4810</v>
      </c>
      <c r="M4779" t="s">
        <v>57</v>
      </c>
      <c r="N4779" t="str">
        <f>"014821"</f>
        <v>014821</v>
      </c>
      <c r="O4779" t="s">
        <v>13073</v>
      </c>
      <c r="P4779" t="s">
        <v>68</v>
      </c>
      <c r="Q4779">
        <v>100</v>
      </c>
      <c r="R4779">
        <v>100</v>
      </c>
      <c r="S4779" t="s">
        <v>60</v>
      </c>
    </row>
    <row r="4780" spans="1:19" x14ac:dyDescent="0.35">
      <c r="A4780">
        <v>10158</v>
      </c>
      <c r="B4780" t="str">
        <f>"010158"</f>
        <v>010158</v>
      </c>
      <c r="C4780" t="s">
        <v>13466</v>
      </c>
      <c r="D4780" t="s">
        <v>3394</v>
      </c>
      <c r="E4780" t="s">
        <v>3395</v>
      </c>
      <c r="F4780" t="s">
        <v>3396</v>
      </c>
      <c r="G4780" t="s">
        <v>663</v>
      </c>
      <c r="H4780" t="s">
        <v>13467</v>
      </c>
      <c r="I4780" t="s">
        <v>13468</v>
      </c>
      <c r="J4780" t="s">
        <v>666</v>
      </c>
      <c r="K4780" t="s">
        <v>55</v>
      </c>
      <c r="L4780" t="s">
        <v>6944</v>
      </c>
      <c r="M4780" t="s">
        <v>57</v>
      </c>
      <c r="N4780" t="str">
        <f>"044297"</f>
        <v>044297</v>
      </c>
      <c r="O4780" t="s">
        <v>662</v>
      </c>
      <c r="P4780" t="s">
        <v>68</v>
      </c>
      <c r="Q4780">
        <v>99.5</v>
      </c>
      <c r="R4780">
        <v>38.4</v>
      </c>
      <c r="S4780" t="s">
        <v>77</v>
      </c>
    </row>
    <row r="4781" spans="1:19" x14ac:dyDescent="0.35">
      <c r="A4781">
        <v>10200</v>
      </c>
      <c r="B4781" t="str">
        <f>"010200"</f>
        <v>010200</v>
      </c>
      <c r="C4781" t="s">
        <v>13469</v>
      </c>
      <c r="D4781" t="s">
        <v>3398</v>
      </c>
      <c r="E4781" t="s">
        <v>3395</v>
      </c>
      <c r="F4781" t="s">
        <v>3396</v>
      </c>
      <c r="G4781" t="s">
        <v>63</v>
      </c>
      <c r="H4781" t="s">
        <v>13470</v>
      </c>
      <c r="I4781" t="s">
        <v>13471</v>
      </c>
      <c r="J4781" t="s">
        <v>285</v>
      </c>
      <c r="K4781" t="s">
        <v>55</v>
      </c>
      <c r="L4781" t="s">
        <v>609</v>
      </c>
      <c r="M4781" t="s">
        <v>57</v>
      </c>
      <c r="N4781" t="str">
        <f>"043786"</f>
        <v>043786</v>
      </c>
      <c r="O4781" t="s">
        <v>1340</v>
      </c>
      <c r="P4781" t="s">
        <v>68</v>
      </c>
      <c r="Q4781">
        <v>100</v>
      </c>
      <c r="R4781">
        <v>90</v>
      </c>
      <c r="S4781" t="s">
        <v>69</v>
      </c>
    </row>
    <row r="4782" spans="1:19" x14ac:dyDescent="0.35">
      <c r="A4782">
        <v>10200</v>
      </c>
      <c r="B4782" t="str">
        <f>"010200"</f>
        <v>010200</v>
      </c>
      <c r="C4782" t="s">
        <v>13469</v>
      </c>
      <c r="D4782" t="s">
        <v>3929</v>
      </c>
      <c r="E4782" t="s">
        <v>3395</v>
      </c>
      <c r="F4782" t="s">
        <v>3396</v>
      </c>
      <c r="G4782" t="s">
        <v>63</v>
      </c>
      <c r="H4782" t="s">
        <v>13470</v>
      </c>
      <c r="I4782" t="s">
        <v>13471</v>
      </c>
      <c r="J4782" t="s">
        <v>285</v>
      </c>
      <c r="K4782" t="s">
        <v>55</v>
      </c>
      <c r="L4782" t="s">
        <v>609</v>
      </c>
      <c r="M4782" t="s">
        <v>57</v>
      </c>
      <c r="N4782" t="str">
        <f>"043786"</f>
        <v>043786</v>
      </c>
      <c r="O4782" t="s">
        <v>1340</v>
      </c>
      <c r="P4782" t="s">
        <v>68</v>
      </c>
      <c r="Q4782">
        <v>100</v>
      </c>
      <c r="R4782">
        <v>90</v>
      </c>
      <c r="S4782" t="s">
        <v>69</v>
      </c>
    </row>
    <row r="4783" spans="1:19" x14ac:dyDescent="0.35">
      <c r="A4783">
        <v>10162</v>
      </c>
      <c r="B4783" t="str">
        <f>"010162"</f>
        <v>010162</v>
      </c>
      <c r="C4783" t="s">
        <v>13472</v>
      </c>
      <c r="D4783" t="s">
        <v>3394</v>
      </c>
      <c r="E4783" t="s">
        <v>3395</v>
      </c>
      <c r="F4783" t="s">
        <v>3396</v>
      </c>
      <c r="G4783" t="s">
        <v>52</v>
      </c>
      <c r="H4783" t="s">
        <v>13473</v>
      </c>
      <c r="I4783" t="s">
        <v>13474</v>
      </c>
      <c r="J4783" t="s">
        <v>13198</v>
      </c>
      <c r="K4783" t="s">
        <v>55</v>
      </c>
      <c r="L4783" t="s">
        <v>2671</v>
      </c>
      <c r="M4783" t="s">
        <v>57</v>
      </c>
      <c r="N4783" t="str">
        <f>"046763"</f>
        <v>046763</v>
      </c>
      <c r="O4783" t="s">
        <v>2667</v>
      </c>
      <c r="P4783" t="s">
        <v>68</v>
      </c>
      <c r="Q4783">
        <v>8.5</v>
      </c>
      <c r="R4783">
        <v>31</v>
      </c>
      <c r="S4783" t="s">
        <v>60</v>
      </c>
    </row>
    <row r="4784" spans="1:19" x14ac:dyDescent="0.35">
      <c r="A4784">
        <v>10163</v>
      </c>
      <c r="B4784" t="str">
        <f>"010163"</f>
        <v>010163</v>
      </c>
      <c r="C4784" t="s">
        <v>13475</v>
      </c>
      <c r="D4784" t="s">
        <v>3394</v>
      </c>
      <c r="E4784" t="s">
        <v>3395</v>
      </c>
      <c r="F4784" t="s">
        <v>3396</v>
      </c>
      <c r="G4784" t="s">
        <v>52</v>
      </c>
      <c r="H4784" t="s">
        <v>13476</v>
      </c>
      <c r="I4784" t="s">
        <v>13477</v>
      </c>
      <c r="J4784" t="s">
        <v>52</v>
      </c>
      <c r="K4784" t="s">
        <v>55</v>
      </c>
      <c r="L4784" t="s">
        <v>56</v>
      </c>
      <c r="M4784" t="s">
        <v>57</v>
      </c>
      <c r="N4784" t="str">
        <f>"046763"</f>
        <v>046763</v>
      </c>
      <c r="O4784" t="s">
        <v>2667</v>
      </c>
      <c r="P4784" t="s">
        <v>68</v>
      </c>
      <c r="Q4784">
        <v>3.5</v>
      </c>
      <c r="R4784">
        <v>42.8</v>
      </c>
      <c r="S4784" t="s">
        <v>60</v>
      </c>
    </row>
    <row r="4785" spans="1:19" x14ac:dyDescent="0.35">
      <c r="A4785">
        <v>10164</v>
      </c>
      <c r="B4785" t="str">
        <f>"010164"</f>
        <v>010164</v>
      </c>
      <c r="C4785" t="s">
        <v>8943</v>
      </c>
      <c r="D4785" t="s">
        <v>3394</v>
      </c>
      <c r="E4785" t="s">
        <v>3395</v>
      </c>
      <c r="F4785" t="s">
        <v>3396</v>
      </c>
      <c r="G4785" t="s">
        <v>52</v>
      </c>
      <c r="H4785" t="s">
        <v>13478</v>
      </c>
      <c r="I4785" t="s">
        <v>13479</v>
      </c>
      <c r="J4785" t="s">
        <v>2670</v>
      </c>
      <c r="K4785" t="s">
        <v>55</v>
      </c>
      <c r="L4785" t="s">
        <v>2671</v>
      </c>
      <c r="M4785" t="s">
        <v>57</v>
      </c>
      <c r="N4785" t="str">
        <f>"046763"</f>
        <v>046763</v>
      </c>
      <c r="O4785" t="s">
        <v>2667</v>
      </c>
      <c r="P4785" t="s">
        <v>68</v>
      </c>
      <c r="Q4785">
        <v>4.9000000000000004</v>
      </c>
      <c r="R4785">
        <v>48.7</v>
      </c>
      <c r="S4785" t="s">
        <v>60</v>
      </c>
    </row>
    <row r="4786" spans="1:19" x14ac:dyDescent="0.35">
      <c r="A4786">
        <v>10166</v>
      </c>
      <c r="B4786" t="str">
        <f>"010166"</f>
        <v>010166</v>
      </c>
      <c r="C4786" t="s">
        <v>4098</v>
      </c>
      <c r="D4786" t="s">
        <v>3400</v>
      </c>
      <c r="E4786" t="s">
        <v>3395</v>
      </c>
      <c r="F4786" t="s">
        <v>3396</v>
      </c>
      <c r="G4786" t="s">
        <v>52</v>
      </c>
      <c r="H4786" t="s">
        <v>13480</v>
      </c>
      <c r="I4786" t="s">
        <v>13481</v>
      </c>
      <c r="J4786" t="s">
        <v>10981</v>
      </c>
      <c r="K4786" t="s">
        <v>55</v>
      </c>
      <c r="L4786" t="s">
        <v>10982</v>
      </c>
      <c r="M4786" t="s">
        <v>57</v>
      </c>
      <c r="N4786" t="str">
        <f>"046763"</f>
        <v>046763</v>
      </c>
      <c r="O4786" t="s">
        <v>2667</v>
      </c>
      <c r="P4786" t="s">
        <v>68</v>
      </c>
      <c r="Q4786">
        <v>5.3</v>
      </c>
      <c r="R4786">
        <v>28.400000000000006</v>
      </c>
      <c r="S4786" t="s">
        <v>60</v>
      </c>
    </row>
    <row r="4787" spans="1:19" x14ac:dyDescent="0.35">
      <c r="A4787">
        <v>10182</v>
      </c>
      <c r="B4787" t="str">
        <f>"010182"</f>
        <v>010182</v>
      </c>
      <c r="C4787" t="s">
        <v>13482</v>
      </c>
      <c r="D4787" t="s">
        <v>3398</v>
      </c>
      <c r="E4787" t="s">
        <v>12048</v>
      </c>
      <c r="F4787" t="s">
        <v>3396</v>
      </c>
      <c r="G4787" t="s">
        <v>600</v>
      </c>
      <c r="H4787" t="s">
        <v>13483</v>
      </c>
      <c r="I4787" t="s">
        <v>13484</v>
      </c>
      <c r="J4787" t="s">
        <v>1348</v>
      </c>
      <c r="K4787" t="s">
        <v>55</v>
      </c>
      <c r="L4787" t="s">
        <v>3568</v>
      </c>
      <c r="M4787" t="s">
        <v>57</v>
      </c>
      <c r="N4787" t="str">
        <f>"014997"</f>
        <v>014997</v>
      </c>
      <c r="O4787" t="s">
        <v>12505</v>
      </c>
      <c r="P4787" t="s">
        <v>68</v>
      </c>
      <c r="Q4787">
        <v>100</v>
      </c>
      <c r="R4787">
        <v>100</v>
      </c>
      <c r="S4787" t="s">
        <v>60</v>
      </c>
    </row>
    <row r="4788" spans="1:19" x14ac:dyDescent="0.35">
      <c r="A4788">
        <v>10182</v>
      </c>
      <c r="B4788" t="str">
        <f>"010182"</f>
        <v>010182</v>
      </c>
      <c r="C4788" t="s">
        <v>13482</v>
      </c>
      <c r="D4788" t="s">
        <v>12052</v>
      </c>
      <c r="E4788" t="s">
        <v>12048</v>
      </c>
      <c r="F4788" t="s">
        <v>3396</v>
      </c>
      <c r="G4788" t="s">
        <v>600</v>
      </c>
      <c r="H4788" t="s">
        <v>13483</v>
      </c>
      <c r="I4788" t="s">
        <v>13484</v>
      </c>
      <c r="J4788" t="s">
        <v>1348</v>
      </c>
      <c r="K4788" t="s">
        <v>55</v>
      </c>
      <c r="L4788" t="s">
        <v>3568</v>
      </c>
      <c r="M4788" t="s">
        <v>57</v>
      </c>
      <c r="N4788" t="str">
        <f>"014997"</f>
        <v>014997</v>
      </c>
      <c r="O4788" t="s">
        <v>12505</v>
      </c>
      <c r="P4788" t="s">
        <v>68</v>
      </c>
      <c r="Q4788">
        <v>100</v>
      </c>
      <c r="R4788">
        <v>100</v>
      </c>
      <c r="S4788" t="s">
        <v>60</v>
      </c>
    </row>
    <row r="4789" spans="1:19" x14ac:dyDescent="0.35">
      <c r="A4789">
        <v>10184</v>
      </c>
      <c r="B4789" t="str">
        <f>"010184"</f>
        <v>010184</v>
      </c>
      <c r="C4789" t="s">
        <v>13485</v>
      </c>
      <c r="D4789" t="s">
        <v>3398</v>
      </c>
      <c r="E4789" t="s">
        <v>9538</v>
      </c>
      <c r="F4789" t="s">
        <v>3396</v>
      </c>
      <c r="G4789" t="s">
        <v>600</v>
      </c>
      <c r="H4789" t="s">
        <v>13486</v>
      </c>
      <c r="I4789" t="s">
        <v>13487</v>
      </c>
      <c r="J4789" t="s">
        <v>2690</v>
      </c>
      <c r="K4789" t="s">
        <v>55</v>
      </c>
      <c r="L4789" t="s">
        <v>2691</v>
      </c>
      <c r="M4789" t="s">
        <v>57</v>
      </c>
      <c r="N4789" t="str">
        <f>"010184"</f>
        <v>010184</v>
      </c>
      <c r="O4789" t="s">
        <v>13485</v>
      </c>
      <c r="P4789" t="s">
        <v>68</v>
      </c>
      <c r="Q4789" t="s">
        <v>68</v>
      </c>
      <c r="R4789" t="s">
        <v>68</v>
      </c>
      <c r="S4789" t="s">
        <v>60</v>
      </c>
    </row>
    <row r="4790" spans="1:19" x14ac:dyDescent="0.35">
      <c r="A4790">
        <v>10184</v>
      </c>
      <c r="B4790" t="str">
        <f>"010184"</f>
        <v>010184</v>
      </c>
      <c r="C4790" t="s">
        <v>13485</v>
      </c>
      <c r="D4790" t="s">
        <v>9541</v>
      </c>
      <c r="E4790" t="s">
        <v>9538</v>
      </c>
      <c r="F4790" t="s">
        <v>3396</v>
      </c>
      <c r="G4790" t="s">
        <v>600</v>
      </c>
      <c r="H4790" t="s">
        <v>13486</v>
      </c>
      <c r="I4790" t="s">
        <v>13487</v>
      </c>
      <c r="J4790" t="s">
        <v>2690</v>
      </c>
      <c r="K4790" t="s">
        <v>55</v>
      </c>
      <c r="L4790" t="s">
        <v>2691</v>
      </c>
      <c r="M4790" t="s">
        <v>57</v>
      </c>
      <c r="N4790" t="str">
        <f>"010184"</f>
        <v>010184</v>
      </c>
      <c r="O4790" t="s">
        <v>13485</v>
      </c>
      <c r="P4790" t="s">
        <v>68</v>
      </c>
      <c r="Q4790" t="s">
        <v>68</v>
      </c>
      <c r="R4790" t="s">
        <v>68</v>
      </c>
      <c r="S4790" t="s">
        <v>60</v>
      </c>
    </row>
    <row r="4791" spans="1:19" x14ac:dyDescent="0.35">
      <c r="A4791">
        <v>10187</v>
      </c>
      <c r="B4791" t="str">
        <f>"010187"</f>
        <v>010187</v>
      </c>
      <c r="C4791" t="s">
        <v>13488</v>
      </c>
      <c r="D4791" t="s">
        <v>3506</v>
      </c>
      <c r="E4791" t="s">
        <v>9538</v>
      </c>
      <c r="F4791" t="s">
        <v>3396</v>
      </c>
      <c r="G4791" t="s">
        <v>135</v>
      </c>
      <c r="H4791" t="s">
        <v>13489</v>
      </c>
      <c r="I4791" t="s">
        <v>13490</v>
      </c>
      <c r="J4791" t="s">
        <v>279</v>
      </c>
      <c r="K4791" t="s">
        <v>55</v>
      </c>
      <c r="L4791" t="s">
        <v>280</v>
      </c>
      <c r="M4791" t="s">
        <v>57</v>
      </c>
      <c r="N4791" t="str">
        <f>"052548"</f>
        <v>052548</v>
      </c>
      <c r="O4791" t="s">
        <v>2217</v>
      </c>
      <c r="P4791" t="s">
        <v>68</v>
      </c>
      <c r="Q4791" t="s">
        <v>68</v>
      </c>
      <c r="R4791" t="s">
        <v>68</v>
      </c>
      <c r="S4791" t="s">
        <v>130</v>
      </c>
    </row>
    <row r="4792" spans="1:19" x14ac:dyDescent="0.35">
      <c r="A4792">
        <v>10197</v>
      </c>
      <c r="B4792" t="str">
        <f>"010197"</f>
        <v>010197</v>
      </c>
      <c r="C4792" t="s">
        <v>13491</v>
      </c>
      <c r="D4792" t="s">
        <v>3394</v>
      </c>
      <c r="E4792" t="s">
        <v>3395</v>
      </c>
      <c r="F4792" t="s">
        <v>3396</v>
      </c>
      <c r="G4792" t="s">
        <v>110</v>
      </c>
      <c r="H4792" t="s">
        <v>13492</v>
      </c>
      <c r="I4792" t="s">
        <v>13493</v>
      </c>
      <c r="J4792" t="s">
        <v>113</v>
      </c>
      <c r="K4792" t="s">
        <v>55</v>
      </c>
      <c r="L4792" t="s">
        <v>114</v>
      </c>
      <c r="M4792" t="s">
        <v>57</v>
      </c>
      <c r="N4792" t="str">
        <f>"048033"</f>
        <v>048033</v>
      </c>
      <c r="O4792" t="s">
        <v>109</v>
      </c>
      <c r="P4792" t="s">
        <v>68</v>
      </c>
      <c r="Q4792">
        <v>25.9</v>
      </c>
      <c r="R4792">
        <v>11.700000000000003</v>
      </c>
      <c r="S4792" t="s">
        <v>60</v>
      </c>
    </row>
    <row r="4793" spans="1:19" x14ac:dyDescent="0.35">
      <c r="A4793">
        <v>10198</v>
      </c>
      <c r="B4793" t="str">
        <f>"010198"</f>
        <v>010198</v>
      </c>
      <c r="C4793" t="s">
        <v>13494</v>
      </c>
      <c r="D4793" t="s">
        <v>3394</v>
      </c>
      <c r="E4793" t="s">
        <v>3395</v>
      </c>
      <c r="F4793" t="s">
        <v>3396</v>
      </c>
      <c r="G4793" t="s">
        <v>143</v>
      </c>
      <c r="H4793" t="s">
        <v>13495</v>
      </c>
      <c r="I4793" t="s">
        <v>13496</v>
      </c>
      <c r="J4793" t="s">
        <v>2256</v>
      </c>
      <c r="K4793" t="s">
        <v>55</v>
      </c>
      <c r="L4793" t="s">
        <v>2257</v>
      </c>
      <c r="M4793" t="s">
        <v>57</v>
      </c>
      <c r="N4793" t="str">
        <f>"048173"</f>
        <v>048173</v>
      </c>
      <c r="O4793" t="s">
        <v>2253</v>
      </c>
      <c r="P4793" t="s">
        <v>68</v>
      </c>
      <c r="Q4793">
        <v>37.1</v>
      </c>
      <c r="R4793">
        <v>13.5</v>
      </c>
      <c r="S4793" t="s">
        <v>69</v>
      </c>
    </row>
    <row r="4794" spans="1:19" x14ac:dyDescent="0.35">
      <c r="A4794">
        <v>10201</v>
      </c>
      <c r="B4794" t="str">
        <f>"010201"</f>
        <v>010201</v>
      </c>
      <c r="C4794" t="s">
        <v>13497</v>
      </c>
      <c r="D4794" t="s">
        <v>3398</v>
      </c>
      <c r="E4794" t="s">
        <v>3395</v>
      </c>
      <c r="F4794" t="s">
        <v>3396</v>
      </c>
      <c r="G4794" t="s">
        <v>63</v>
      </c>
      <c r="H4794" t="s">
        <v>13498</v>
      </c>
      <c r="I4794" t="s">
        <v>13499</v>
      </c>
      <c r="J4794" t="s">
        <v>285</v>
      </c>
      <c r="K4794" t="s">
        <v>55</v>
      </c>
      <c r="L4794" t="s">
        <v>609</v>
      </c>
      <c r="M4794" t="s">
        <v>57</v>
      </c>
      <c r="N4794" t="str">
        <f>"043786"</f>
        <v>043786</v>
      </c>
      <c r="O4794" t="s">
        <v>1340</v>
      </c>
      <c r="P4794" t="s">
        <v>68</v>
      </c>
      <c r="Q4794">
        <v>100</v>
      </c>
      <c r="R4794">
        <v>100</v>
      </c>
      <c r="S4794" t="s">
        <v>69</v>
      </c>
    </row>
    <row r="4795" spans="1:19" x14ac:dyDescent="0.35">
      <c r="A4795">
        <v>10203</v>
      </c>
      <c r="B4795" t="str">
        <f>"010203"</f>
        <v>010203</v>
      </c>
      <c r="C4795" t="s">
        <v>13500</v>
      </c>
      <c r="D4795" t="s">
        <v>3394</v>
      </c>
      <c r="E4795" t="s">
        <v>9538</v>
      </c>
      <c r="F4795" t="s">
        <v>3396</v>
      </c>
      <c r="G4795" t="s">
        <v>244</v>
      </c>
      <c r="H4795" t="s">
        <v>13501</v>
      </c>
      <c r="I4795" t="s">
        <v>13502</v>
      </c>
      <c r="J4795" t="s">
        <v>5918</v>
      </c>
      <c r="K4795" t="s">
        <v>55</v>
      </c>
      <c r="L4795" t="s">
        <v>5919</v>
      </c>
      <c r="M4795" t="s">
        <v>57</v>
      </c>
      <c r="N4795" t="str">
        <f>"010203"</f>
        <v>010203</v>
      </c>
      <c r="O4795" t="s">
        <v>13503</v>
      </c>
      <c r="P4795" t="s">
        <v>68</v>
      </c>
      <c r="Q4795" t="s">
        <v>68</v>
      </c>
      <c r="R4795" t="s">
        <v>68</v>
      </c>
      <c r="S4795" t="s">
        <v>217</v>
      </c>
    </row>
    <row r="4796" spans="1:19" x14ac:dyDescent="0.35">
      <c r="A4796">
        <v>10203</v>
      </c>
      <c r="B4796" t="str">
        <f>"010203"</f>
        <v>010203</v>
      </c>
      <c r="C4796" t="s">
        <v>13500</v>
      </c>
      <c r="D4796" t="s">
        <v>9541</v>
      </c>
      <c r="E4796" t="s">
        <v>9538</v>
      </c>
      <c r="F4796" t="s">
        <v>3396</v>
      </c>
      <c r="G4796" t="s">
        <v>244</v>
      </c>
      <c r="H4796" t="s">
        <v>13501</v>
      </c>
      <c r="I4796" t="s">
        <v>13502</v>
      </c>
      <c r="J4796" t="s">
        <v>5918</v>
      </c>
      <c r="K4796" t="s">
        <v>55</v>
      </c>
      <c r="L4796" t="s">
        <v>5919</v>
      </c>
      <c r="M4796" t="s">
        <v>57</v>
      </c>
      <c r="N4796" t="str">
        <f>"010203"</f>
        <v>010203</v>
      </c>
      <c r="O4796" t="s">
        <v>13503</v>
      </c>
      <c r="P4796" t="s">
        <v>68</v>
      </c>
      <c r="Q4796" t="s">
        <v>68</v>
      </c>
      <c r="R4796" t="s">
        <v>68</v>
      </c>
      <c r="S4796" t="s">
        <v>217</v>
      </c>
    </row>
    <row r="4797" spans="1:19" x14ac:dyDescent="0.35">
      <c r="A4797">
        <v>10205</v>
      </c>
      <c r="B4797" t="str">
        <f>"010205"</f>
        <v>010205</v>
      </c>
      <c r="C4797" t="s">
        <v>13504</v>
      </c>
      <c r="D4797" t="s">
        <v>3394</v>
      </c>
      <c r="E4797" t="s">
        <v>12048</v>
      </c>
      <c r="F4797" t="s">
        <v>3396</v>
      </c>
      <c r="G4797" t="s">
        <v>200</v>
      </c>
      <c r="H4797" t="s">
        <v>13505</v>
      </c>
      <c r="I4797" t="s">
        <v>13506</v>
      </c>
      <c r="J4797" t="s">
        <v>304</v>
      </c>
      <c r="K4797" t="s">
        <v>55</v>
      </c>
      <c r="L4797" t="s">
        <v>3858</v>
      </c>
      <c r="M4797" t="s">
        <v>57</v>
      </c>
      <c r="N4797" t="str">
        <f>"N/A"</f>
        <v>N/A</v>
      </c>
      <c r="O4797" t="s">
        <v>49</v>
      </c>
      <c r="P4797" t="s">
        <v>68</v>
      </c>
      <c r="Q4797">
        <v>83.5</v>
      </c>
      <c r="R4797">
        <v>73.5</v>
      </c>
      <c r="S4797" t="s">
        <v>156</v>
      </c>
    </row>
    <row r="4798" spans="1:19" x14ac:dyDescent="0.35">
      <c r="A4798">
        <v>10205</v>
      </c>
      <c r="B4798" t="str">
        <f>"010205"</f>
        <v>010205</v>
      </c>
      <c r="C4798" t="s">
        <v>13504</v>
      </c>
      <c r="D4798" t="s">
        <v>12052</v>
      </c>
      <c r="E4798" t="s">
        <v>12048</v>
      </c>
      <c r="F4798" t="s">
        <v>3396</v>
      </c>
      <c r="G4798" t="s">
        <v>200</v>
      </c>
      <c r="H4798" t="s">
        <v>13505</v>
      </c>
      <c r="I4798" t="s">
        <v>13506</v>
      </c>
      <c r="J4798" t="s">
        <v>304</v>
      </c>
      <c r="K4798" t="s">
        <v>55</v>
      </c>
      <c r="L4798" t="s">
        <v>3858</v>
      </c>
      <c r="M4798" t="s">
        <v>57</v>
      </c>
      <c r="N4798" t="str">
        <f>"N/A"</f>
        <v>N/A</v>
      </c>
      <c r="O4798" t="s">
        <v>49</v>
      </c>
      <c r="P4798" t="s">
        <v>68</v>
      </c>
      <c r="Q4798">
        <v>83.5</v>
      </c>
      <c r="R4798">
        <v>73.5</v>
      </c>
      <c r="S4798" t="s">
        <v>156</v>
      </c>
    </row>
    <row r="4799" spans="1:19" x14ac:dyDescent="0.35">
      <c r="A4799">
        <v>10210</v>
      </c>
      <c r="B4799" t="str">
        <f>"010210"</f>
        <v>010210</v>
      </c>
      <c r="C4799" t="s">
        <v>13507</v>
      </c>
      <c r="D4799" t="s">
        <v>3394</v>
      </c>
      <c r="E4799" t="s">
        <v>9538</v>
      </c>
      <c r="F4799" t="s">
        <v>3396</v>
      </c>
      <c r="G4799" t="s">
        <v>406</v>
      </c>
      <c r="H4799" t="s">
        <v>13508</v>
      </c>
      <c r="I4799" t="s">
        <v>13509</v>
      </c>
      <c r="J4799" t="s">
        <v>465</v>
      </c>
      <c r="K4799" t="s">
        <v>55</v>
      </c>
      <c r="L4799" t="s">
        <v>466</v>
      </c>
      <c r="M4799" t="s">
        <v>57</v>
      </c>
      <c r="N4799" t="str">
        <f>"010210"</f>
        <v>010210</v>
      </c>
      <c r="O4799" t="s">
        <v>13507</v>
      </c>
      <c r="P4799" t="s">
        <v>68</v>
      </c>
      <c r="Q4799" t="s">
        <v>68</v>
      </c>
      <c r="R4799" t="s">
        <v>68</v>
      </c>
      <c r="S4799" t="s">
        <v>77</v>
      </c>
    </row>
    <row r="4800" spans="1:19" x14ac:dyDescent="0.35">
      <c r="A4800">
        <v>10216</v>
      </c>
      <c r="B4800" t="str">
        <f>"010216"</f>
        <v>010216</v>
      </c>
      <c r="C4800" t="s">
        <v>13510</v>
      </c>
      <c r="D4800" t="s">
        <v>3398</v>
      </c>
      <c r="E4800" t="s">
        <v>3395</v>
      </c>
      <c r="F4800" t="s">
        <v>3396</v>
      </c>
      <c r="G4800" t="s">
        <v>117</v>
      </c>
      <c r="H4800" t="s">
        <v>2660</v>
      </c>
      <c r="I4800" t="s">
        <v>2661</v>
      </c>
      <c r="J4800" t="s">
        <v>1409</v>
      </c>
      <c r="K4800" t="s">
        <v>55</v>
      </c>
      <c r="L4800" t="s">
        <v>2662</v>
      </c>
      <c r="M4800" t="s">
        <v>57</v>
      </c>
      <c r="N4800" t="str">
        <f>"043711"</f>
        <v>043711</v>
      </c>
      <c r="O4800" t="s">
        <v>3000</v>
      </c>
      <c r="P4800" t="s">
        <v>68</v>
      </c>
      <c r="Q4800">
        <v>100</v>
      </c>
      <c r="R4800">
        <v>49.2</v>
      </c>
      <c r="S4800" t="s">
        <v>77</v>
      </c>
    </row>
    <row r="4801" spans="1:19" x14ac:dyDescent="0.35">
      <c r="A4801">
        <v>10216</v>
      </c>
      <c r="B4801" t="str">
        <f>"010216"</f>
        <v>010216</v>
      </c>
      <c r="C4801" t="s">
        <v>13510</v>
      </c>
      <c r="D4801" t="s">
        <v>12476</v>
      </c>
      <c r="E4801" t="s">
        <v>3395</v>
      </c>
      <c r="F4801" t="s">
        <v>3396</v>
      </c>
      <c r="G4801" t="s">
        <v>117</v>
      </c>
      <c r="H4801" t="s">
        <v>2660</v>
      </c>
      <c r="I4801" t="s">
        <v>2661</v>
      </c>
      <c r="J4801" t="s">
        <v>1409</v>
      </c>
      <c r="K4801" t="s">
        <v>55</v>
      </c>
      <c r="L4801" t="s">
        <v>2662</v>
      </c>
      <c r="M4801" t="s">
        <v>57</v>
      </c>
      <c r="N4801" t="str">
        <f>"043711"</f>
        <v>043711</v>
      </c>
      <c r="O4801" t="s">
        <v>3000</v>
      </c>
      <c r="P4801" t="s">
        <v>68</v>
      </c>
      <c r="Q4801">
        <v>100</v>
      </c>
      <c r="R4801">
        <v>49.2</v>
      </c>
      <c r="S4801" t="s">
        <v>77</v>
      </c>
    </row>
    <row r="4802" spans="1:19" x14ac:dyDescent="0.35">
      <c r="A4802">
        <v>10241</v>
      </c>
      <c r="B4802" t="str">
        <f>"010241"</f>
        <v>010241</v>
      </c>
      <c r="C4802" t="s">
        <v>13511</v>
      </c>
      <c r="D4802" t="s">
        <v>3394</v>
      </c>
      <c r="E4802" t="s">
        <v>3395</v>
      </c>
      <c r="F4802" t="s">
        <v>3396</v>
      </c>
      <c r="G4802" t="s">
        <v>212</v>
      </c>
      <c r="H4802" t="s">
        <v>13512</v>
      </c>
      <c r="I4802" t="s">
        <v>13513</v>
      </c>
      <c r="J4802" t="s">
        <v>215</v>
      </c>
      <c r="K4802" t="s">
        <v>55</v>
      </c>
      <c r="L4802" t="s">
        <v>4476</v>
      </c>
      <c r="M4802" t="s">
        <v>57</v>
      </c>
      <c r="N4802" t="str">
        <f>"047365"</f>
        <v>047365</v>
      </c>
      <c r="O4802" t="s">
        <v>611</v>
      </c>
      <c r="P4802" t="s">
        <v>68</v>
      </c>
      <c r="Q4802" t="s">
        <v>68</v>
      </c>
      <c r="R4802" t="s">
        <v>68</v>
      </c>
      <c r="S4802" t="s">
        <v>217</v>
      </c>
    </row>
    <row r="4803" spans="1:19" x14ac:dyDescent="0.35">
      <c r="A4803">
        <v>10244</v>
      </c>
      <c r="B4803" t="str">
        <f>"010244"</f>
        <v>010244</v>
      </c>
      <c r="C4803" t="s">
        <v>13514</v>
      </c>
      <c r="D4803" t="s">
        <v>3400</v>
      </c>
      <c r="E4803" t="s">
        <v>3395</v>
      </c>
      <c r="F4803" t="s">
        <v>3396</v>
      </c>
      <c r="G4803" t="s">
        <v>257</v>
      </c>
      <c r="H4803" t="s">
        <v>13515</v>
      </c>
      <c r="I4803" t="s">
        <v>2608</v>
      </c>
      <c r="J4803" t="s">
        <v>13516</v>
      </c>
      <c r="K4803" t="s">
        <v>55</v>
      </c>
      <c r="L4803" t="s">
        <v>2610</v>
      </c>
      <c r="M4803" t="s">
        <v>57</v>
      </c>
      <c r="N4803" t="str">
        <f>"048934"</f>
        <v>048934</v>
      </c>
      <c r="O4803" t="s">
        <v>2606</v>
      </c>
      <c r="P4803" t="s">
        <v>68</v>
      </c>
      <c r="Q4803">
        <v>28.9</v>
      </c>
      <c r="R4803">
        <v>3.2999999999999972</v>
      </c>
      <c r="S4803" t="s">
        <v>156</v>
      </c>
    </row>
    <row r="4804" spans="1:19" x14ac:dyDescent="0.35">
      <c r="A4804">
        <v>10261</v>
      </c>
      <c r="B4804" t="str">
        <f>"010261"</f>
        <v>010261</v>
      </c>
      <c r="C4804" t="s">
        <v>13517</v>
      </c>
      <c r="D4804" t="s">
        <v>3543</v>
      </c>
      <c r="E4804" t="s">
        <v>3395</v>
      </c>
      <c r="F4804" t="s">
        <v>3396</v>
      </c>
      <c r="G4804" t="s">
        <v>481</v>
      </c>
      <c r="H4804" t="s">
        <v>13518</v>
      </c>
      <c r="I4804" t="s">
        <v>13519</v>
      </c>
      <c r="J4804" t="s">
        <v>876</v>
      </c>
      <c r="K4804" t="s">
        <v>55</v>
      </c>
      <c r="L4804" t="s">
        <v>819</v>
      </c>
      <c r="M4804" t="s">
        <v>57</v>
      </c>
      <c r="N4804" t="str">
        <f>"044628"</f>
        <v>044628</v>
      </c>
      <c r="O4804" t="s">
        <v>873</v>
      </c>
      <c r="P4804" t="s">
        <v>68</v>
      </c>
      <c r="Q4804" t="s">
        <v>68</v>
      </c>
      <c r="R4804" t="s">
        <v>68</v>
      </c>
      <c r="S4804" t="s">
        <v>69</v>
      </c>
    </row>
    <row r="4805" spans="1:19" x14ac:dyDescent="0.35">
      <c r="A4805">
        <v>10263</v>
      </c>
      <c r="B4805" t="str">
        <f>"010263"</f>
        <v>010263</v>
      </c>
      <c r="C4805" t="s">
        <v>13520</v>
      </c>
      <c r="D4805" t="s">
        <v>3394</v>
      </c>
      <c r="E4805" t="s">
        <v>3395</v>
      </c>
      <c r="F4805" t="s">
        <v>3396</v>
      </c>
      <c r="G4805" t="s">
        <v>175</v>
      </c>
      <c r="H4805" t="s">
        <v>13521</v>
      </c>
      <c r="I4805" t="s">
        <v>13522</v>
      </c>
      <c r="J4805" t="s">
        <v>3129</v>
      </c>
      <c r="K4805" t="s">
        <v>55</v>
      </c>
      <c r="L4805" t="s">
        <v>3130</v>
      </c>
      <c r="M4805" t="s">
        <v>57</v>
      </c>
      <c r="N4805" t="str">
        <f>"046672"</f>
        <v>046672</v>
      </c>
      <c r="O4805" t="s">
        <v>3126</v>
      </c>
      <c r="P4805" t="s">
        <v>68</v>
      </c>
      <c r="Q4805" t="s">
        <v>68</v>
      </c>
      <c r="R4805" t="s">
        <v>68</v>
      </c>
      <c r="S4805" t="s">
        <v>180</v>
      </c>
    </row>
    <row r="4806" spans="1:19" x14ac:dyDescent="0.35">
      <c r="A4806">
        <v>10275</v>
      </c>
      <c r="B4806" t="str">
        <f>"010275"</f>
        <v>010275</v>
      </c>
      <c r="C4806" t="s">
        <v>13523</v>
      </c>
      <c r="D4806" t="s">
        <v>3398</v>
      </c>
      <c r="E4806" t="s">
        <v>9538</v>
      </c>
      <c r="F4806" t="s">
        <v>3396</v>
      </c>
      <c r="G4806" t="s">
        <v>63</v>
      </c>
      <c r="H4806" t="s">
        <v>13524</v>
      </c>
      <c r="I4806" t="s">
        <v>13525</v>
      </c>
      <c r="J4806" t="s">
        <v>285</v>
      </c>
      <c r="K4806" t="s">
        <v>55</v>
      </c>
      <c r="L4806" t="s">
        <v>3424</v>
      </c>
      <c r="M4806" t="s">
        <v>57</v>
      </c>
      <c r="N4806" t="str">
        <f>"010275"</f>
        <v>010275</v>
      </c>
      <c r="O4806" t="s">
        <v>13523</v>
      </c>
      <c r="P4806" t="s">
        <v>68</v>
      </c>
      <c r="Q4806" t="s">
        <v>68</v>
      </c>
      <c r="R4806" t="s">
        <v>68</v>
      </c>
      <c r="S4806" t="s">
        <v>69</v>
      </c>
    </row>
    <row r="4807" spans="1:19" x14ac:dyDescent="0.35">
      <c r="A4807">
        <v>10365</v>
      </c>
      <c r="B4807" t="str">
        <f>"010365"</f>
        <v>010365</v>
      </c>
      <c r="C4807" t="s">
        <v>13526</v>
      </c>
      <c r="D4807" t="s">
        <v>3394</v>
      </c>
      <c r="E4807" t="s">
        <v>3395</v>
      </c>
      <c r="F4807" t="s">
        <v>3396</v>
      </c>
      <c r="G4807" t="s">
        <v>543</v>
      </c>
      <c r="H4807" t="s">
        <v>13527</v>
      </c>
      <c r="I4807" t="s">
        <v>13528</v>
      </c>
      <c r="J4807" t="s">
        <v>790</v>
      </c>
      <c r="K4807" t="s">
        <v>55</v>
      </c>
      <c r="L4807" t="s">
        <v>791</v>
      </c>
      <c r="M4807" t="s">
        <v>57</v>
      </c>
      <c r="N4807" t="str">
        <f>"044396"</f>
        <v>044396</v>
      </c>
      <c r="O4807" t="s">
        <v>787</v>
      </c>
      <c r="P4807" t="s">
        <v>68</v>
      </c>
      <c r="Q4807" t="s">
        <v>68</v>
      </c>
      <c r="R4807" t="s">
        <v>68</v>
      </c>
      <c r="S4807" t="s">
        <v>180</v>
      </c>
    </row>
    <row r="4808" spans="1:19" x14ac:dyDescent="0.35">
      <c r="A4808">
        <v>10582</v>
      </c>
      <c r="B4808" t="str">
        <f>"010582"</f>
        <v>010582</v>
      </c>
      <c r="C4808" t="s">
        <v>13529</v>
      </c>
      <c r="D4808" t="s">
        <v>3398</v>
      </c>
      <c r="E4808" t="s">
        <v>9538</v>
      </c>
      <c r="F4808" t="s">
        <v>3396</v>
      </c>
      <c r="G4808" t="s">
        <v>264</v>
      </c>
      <c r="H4808" t="s">
        <v>13530</v>
      </c>
      <c r="I4808" t="s">
        <v>13531</v>
      </c>
      <c r="J4808" t="s">
        <v>13532</v>
      </c>
      <c r="K4808" t="s">
        <v>55</v>
      </c>
      <c r="L4808" t="s">
        <v>13533</v>
      </c>
      <c r="M4808" t="s">
        <v>57</v>
      </c>
      <c r="N4808" t="str">
        <f>"010582"</f>
        <v>010582</v>
      </c>
      <c r="O4808" t="s">
        <v>13529</v>
      </c>
      <c r="P4808" t="s">
        <v>68</v>
      </c>
      <c r="Q4808" t="s">
        <v>68</v>
      </c>
      <c r="R4808" t="s">
        <v>68</v>
      </c>
      <c r="S4808" t="s">
        <v>77</v>
      </c>
    </row>
    <row r="4809" spans="1:19" x14ac:dyDescent="0.35">
      <c r="A4809">
        <v>10608</v>
      </c>
      <c r="B4809" t="str">
        <f>"010608"</f>
        <v>010608</v>
      </c>
      <c r="C4809" t="s">
        <v>13534</v>
      </c>
      <c r="D4809" t="s">
        <v>3398</v>
      </c>
      <c r="E4809" t="s">
        <v>9538</v>
      </c>
      <c r="F4809" t="s">
        <v>3396</v>
      </c>
      <c r="G4809" t="s">
        <v>250</v>
      </c>
      <c r="H4809" t="s">
        <v>13535</v>
      </c>
      <c r="I4809" t="s">
        <v>13536</v>
      </c>
      <c r="J4809" t="s">
        <v>2203</v>
      </c>
      <c r="K4809" t="s">
        <v>55</v>
      </c>
      <c r="L4809" t="s">
        <v>2204</v>
      </c>
      <c r="M4809" t="s">
        <v>57</v>
      </c>
      <c r="N4809" t="str">
        <f>"010608"</f>
        <v>010608</v>
      </c>
      <c r="O4809" t="s">
        <v>13534</v>
      </c>
      <c r="P4809" t="s">
        <v>68</v>
      </c>
      <c r="Q4809" t="s">
        <v>68</v>
      </c>
      <c r="R4809" t="s">
        <v>68</v>
      </c>
      <c r="S4809" t="s">
        <v>60</v>
      </c>
    </row>
    <row r="4810" spans="1:19" x14ac:dyDescent="0.35">
      <c r="A4810">
        <v>10811</v>
      </c>
      <c r="B4810" t="str">
        <f>"010811"</f>
        <v>010811</v>
      </c>
      <c r="C4810" t="s">
        <v>13537</v>
      </c>
      <c r="D4810" t="s">
        <v>3394</v>
      </c>
      <c r="E4810" t="s">
        <v>3395</v>
      </c>
      <c r="F4810" t="s">
        <v>3396</v>
      </c>
      <c r="G4810" t="s">
        <v>543</v>
      </c>
      <c r="H4810" t="s">
        <v>13538</v>
      </c>
      <c r="I4810" t="s">
        <v>13539</v>
      </c>
      <c r="J4810" t="s">
        <v>687</v>
      </c>
      <c r="K4810" t="s">
        <v>55</v>
      </c>
      <c r="L4810" t="s">
        <v>9900</v>
      </c>
      <c r="M4810" t="s">
        <v>57</v>
      </c>
      <c r="N4810" t="str">
        <f>"043844"</f>
        <v>043844</v>
      </c>
      <c r="O4810" t="s">
        <v>985</v>
      </c>
      <c r="P4810" t="s">
        <v>68</v>
      </c>
      <c r="Q4810">
        <v>96.9</v>
      </c>
      <c r="R4810">
        <v>65.599999999999994</v>
      </c>
      <c r="S4810" t="s">
        <v>180</v>
      </c>
    </row>
    <row r="4811" spans="1:19" x14ac:dyDescent="0.35">
      <c r="A4811">
        <v>10836</v>
      </c>
      <c r="B4811" t="str">
        <f>"010836"</f>
        <v>010836</v>
      </c>
      <c r="C4811" t="s">
        <v>13540</v>
      </c>
      <c r="D4811" t="s">
        <v>3400</v>
      </c>
      <c r="E4811" t="s">
        <v>3395</v>
      </c>
      <c r="F4811" t="s">
        <v>3396</v>
      </c>
      <c r="G4811" t="s">
        <v>861</v>
      </c>
      <c r="H4811" t="s">
        <v>13541</v>
      </c>
      <c r="I4811" t="s">
        <v>13542</v>
      </c>
      <c r="J4811" t="s">
        <v>864</v>
      </c>
      <c r="K4811" t="s">
        <v>55</v>
      </c>
      <c r="L4811" t="s">
        <v>865</v>
      </c>
      <c r="M4811" t="s">
        <v>57</v>
      </c>
      <c r="N4811" t="str">
        <f>"044032"</f>
        <v>044032</v>
      </c>
      <c r="O4811" t="s">
        <v>860</v>
      </c>
      <c r="P4811" t="s">
        <v>68</v>
      </c>
      <c r="Q4811">
        <v>54.6</v>
      </c>
      <c r="R4811">
        <v>10.400000000000006</v>
      </c>
      <c r="S4811" t="s">
        <v>130</v>
      </c>
    </row>
    <row r="4812" spans="1:19" x14ac:dyDescent="0.35">
      <c r="A4812">
        <v>11291</v>
      </c>
      <c r="B4812" t="str">
        <f>"011291"</f>
        <v>011291</v>
      </c>
      <c r="C4812" t="s">
        <v>13543</v>
      </c>
      <c r="D4812" t="s">
        <v>3400</v>
      </c>
      <c r="E4812" t="s">
        <v>12048</v>
      </c>
      <c r="F4812" t="s">
        <v>3396</v>
      </c>
      <c r="G4812" t="s">
        <v>63</v>
      </c>
      <c r="H4812" t="s">
        <v>13544</v>
      </c>
      <c r="I4812" t="s">
        <v>13545</v>
      </c>
      <c r="J4812" t="s">
        <v>285</v>
      </c>
      <c r="K4812" t="s">
        <v>55</v>
      </c>
      <c r="L4812" t="s">
        <v>609</v>
      </c>
      <c r="M4812" t="s">
        <v>57</v>
      </c>
      <c r="N4812" t="str">
        <f>"015013"</f>
        <v>015013</v>
      </c>
      <c r="O4812" t="s">
        <v>13546</v>
      </c>
      <c r="P4812" t="s">
        <v>68</v>
      </c>
      <c r="Q4812">
        <v>100</v>
      </c>
      <c r="R4812">
        <v>100</v>
      </c>
      <c r="S4812" t="s">
        <v>69</v>
      </c>
    </row>
    <row r="4813" spans="1:19" x14ac:dyDescent="0.35">
      <c r="A4813">
        <v>11291</v>
      </c>
      <c r="B4813" t="str">
        <f>"011291"</f>
        <v>011291</v>
      </c>
      <c r="C4813" t="s">
        <v>13543</v>
      </c>
      <c r="D4813" t="s">
        <v>12052</v>
      </c>
      <c r="E4813" t="s">
        <v>12048</v>
      </c>
      <c r="F4813" t="s">
        <v>3396</v>
      </c>
      <c r="G4813" t="s">
        <v>63</v>
      </c>
      <c r="H4813" t="s">
        <v>13544</v>
      </c>
      <c r="I4813" t="s">
        <v>13545</v>
      </c>
      <c r="J4813" t="s">
        <v>285</v>
      </c>
      <c r="K4813" t="s">
        <v>55</v>
      </c>
      <c r="L4813" t="s">
        <v>609</v>
      </c>
      <c r="M4813" t="s">
        <v>57</v>
      </c>
      <c r="N4813" t="str">
        <f>"015013"</f>
        <v>015013</v>
      </c>
      <c r="O4813" t="s">
        <v>13546</v>
      </c>
      <c r="P4813" t="s">
        <v>68</v>
      </c>
      <c r="Q4813">
        <v>100</v>
      </c>
      <c r="R4813">
        <v>100</v>
      </c>
      <c r="S4813" t="s">
        <v>69</v>
      </c>
    </row>
    <row r="4814" spans="1:19" x14ac:dyDescent="0.35">
      <c r="A4814">
        <v>11291</v>
      </c>
      <c r="B4814" t="str">
        <f>"011291"</f>
        <v>011291</v>
      </c>
      <c r="C4814" t="s">
        <v>13543</v>
      </c>
      <c r="D4814" t="s">
        <v>12126</v>
      </c>
      <c r="E4814" t="s">
        <v>12048</v>
      </c>
      <c r="F4814" t="s">
        <v>3396</v>
      </c>
      <c r="G4814" t="s">
        <v>63</v>
      </c>
      <c r="H4814" t="s">
        <v>13544</v>
      </c>
      <c r="I4814" t="s">
        <v>13545</v>
      </c>
      <c r="J4814" t="s">
        <v>285</v>
      </c>
      <c r="K4814" t="s">
        <v>55</v>
      </c>
      <c r="L4814" t="s">
        <v>609</v>
      </c>
      <c r="M4814" t="s">
        <v>57</v>
      </c>
      <c r="N4814" t="str">
        <f>"015013"</f>
        <v>015013</v>
      </c>
      <c r="O4814" t="s">
        <v>13546</v>
      </c>
      <c r="P4814" t="s">
        <v>68</v>
      </c>
      <c r="Q4814">
        <v>100</v>
      </c>
      <c r="R4814">
        <v>100</v>
      </c>
      <c r="S4814" t="s">
        <v>69</v>
      </c>
    </row>
    <row r="4815" spans="1:19" x14ac:dyDescent="0.35">
      <c r="A4815">
        <v>11293</v>
      </c>
      <c r="B4815" t="str">
        <f>"011293"</f>
        <v>011293</v>
      </c>
      <c r="C4815" t="s">
        <v>13547</v>
      </c>
      <c r="D4815" t="s">
        <v>3543</v>
      </c>
      <c r="E4815" t="s">
        <v>3395</v>
      </c>
      <c r="F4815" t="s">
        <v>3396</v>
      </c>
      <c r="G4815" t="s">
        <v>600</v>
      </c>
      <c r="H4815" t="s">
        <v>2731</v>
      </c>
      <c r="I4815" t="s">
        <v>2732</v>
      </c>
      <c r="J4815" t="s">
        <v>1348</v>
      </c>
      <c r="K4815" t="s">
        <v>55</v>
      </c>
      <c r="L4815" t="s">
        <v>2733</v>
      </c>
      <c r="M4815" t="s">
        <v>57</v>
      </c>
      <c r="N4815" t="str">
        <f>"046953"</f>
        <v>046953</v>
      </c>
      <c r="O4815" t="s">
        <v>2730</v>
      </c>
      <c r="P4815" t="s">
        <v>68</v>
      </c>
      <c r="Q4815" t="s">
        <v>68</v>
      </c>
      <c r="R4815" t="s">
        <v>68</v>
      </c>
      <c r="S4815" t="s">
        <v>60</v>
      </c>
    </row>
    <row r="4816" spans="1:19" x14ac:dyDescent="0.35">
      <c r="A4816">
        <v>11319</v>
      </c>
      <c r="B4816" t="str">
        <f>"011319"</f>
        <v>011319</v>
      </c>
      <c r="C4816" t="s">
        <v>13548</v>
      </c>
      <c r="D4816" t="s">
        <v>3394</v>
      </c>
      <c r="E4816" t="s">
        <v>3395</v>
      </c>
      <c r="F4816" t="s">
        <v>3396</v>
      </c>
      <c r="G4816" t="s">
        <v>406</v>
      </c>
      <c r="H4816" t="s">
        <v>13549</v>
      </c>
      <c r="I4816" t="s">
        <v>13550</v>
      </c>
      <c r="J4816" t="s">
        <v>406</v>
      </c>
      <c r="K4816" t="s">
        <v>55</v>
      </c>
      <c r="L4816" t="s">
        <v>409</v>
      </c>
      <c r="M4816" t="s">
        <v>57</v>
      </c>
      <c r="N4816" t="str">
        <f>"044388"</f>
        <v>044388</v>
      </c>
      <c r="O4816" t="s">
        <v>3325</v>
      </c>
      <c r="P4816" t="s">
        <v>68</v>
      </c>
      <c r="Q4816">
        <v>21.8</v>
      </c>
      <c r="R4816">
        <v>17.599999999999994</v>
      </c>
      <c r="S4816" t="s">
        <v>77</v>
      </c>
    </row>
    <row r="4817" spans="1:19" x14ac:dyDescent="0.35">
      <c r="A4817">
        <v>11321</v>
      </c>
      <c r="B4817" t="str">
        <f>"011321"</f>
        <v>011321</v>
      </c>
      <c r="C4817" t="s">
        <v>13551</v>
      </c>
      <c r="D4817" t="s">
        <v>3394</v>
      </c>
      <c r="E4817" t="s">
        <v>3395</v>
      </c>
      <c r="F4817" t="s">
        <v>3396</v>
      </c>
      <c r="G4817" t="s">
        <v>406</v>
      </c>
      <c r="H4817" t="s">
        <v>13552</v>
      </c>
      <c r="I4817" t="s">
        <v>13553</v>
      </c>
      <c r="J4817" t="s">
        <v>406</v>
      </c>
      <c r="K4817" t="s">
        <v>55</v>
      </c>
      <c r="L4817" t="s">
        <v>409</v>
      </c>
      <c r="M4817" t="s">
        <v>57</v>
      </c>
      <c r="N4817" t="str">
        <f>"044388"</f>
        <v>044388</v>
      </c>
      <c r="O4817" t="s">
        <v>3325</v>
      </c>
      <c r="P4817" t="s">
        <v>68</v>
      </c>
      <c r="Q4817">
        <v>5.5</v>
      </c>
      <c r="R4817">
        <v>12.700000000000003</v>
      </c>
      <c r="S4817" t="s">
        <v>77</v>
      </c>
    </row>
    <row r="4818" spans="1:19" x14ac:dyDescent="0.35">
      <c r="A4818">
        <v>11324</v>
      </c>
      <c r="B4818" t="str">
        <f>"011324"</f>
        <v>011324</v>
      </c>
      <c r="C4818" t="s">
        <v>13554</v>
      </c>
      <c r="D4818" t="s">
        <v>3398</v>
      </c>
      <c r="E4818" t="s">
        <v>12048</v>
      </c>
      <c r="F4818" t="s">
        <v>3396</v>
      </c>
      <c r="G4818" t="s">
        <v>878</v>
      </c>
      <c r="H4818" t="s">
        <v>13555</v>
      </c>
      <c r="I4818" t="s">
        <v>13556</v>
      </c>
      <c r="J4818" t="s">
        <v>2521</v>
      </c>
      <c r="K4818" t="s">
        <v>55</v>
      </c>
      <c r="L4818" t="s">
        <v>2522</v>
      </c>
      <c r="M4818" t="s">
        <v>57</v>
      </c>
      <c r="N4818" t="str">
        <f>"123257"</f>
        <v>123257</v>
      </c>
      <c r="O4818" t="s">
        <v>316</v>
      </c>
      <c r="P4818" t="s">
        <v>68</v>
      </c>
      <c r="Q4818">
        <v>78.8</v>
      </c>
      <c r="R4818">
        <v>12.099999999999994</v>
      </c>
      <c r="S4818" t="s">
        <v>156</v>
      </c>
    </row>
    <row r="4819" spans="1:19" x14ac:dyDescent="0.35">
      <c r="A4819">
        <v>11324</v>
      </c>
      <c r="B4819" t="str">
        <f>"011324"</f>
        <v>011324</v>
      </c>
      <c r="C4819" t="s">
        <v>13554</v>
      </c>
      <c r="D4819" t="s">
        <v>12471</v>
      </c>
      <c r="E4819" t="s">
        <v>12048</v>
      </c>
      <c r="F4819" t="s">
        <v>3396</v>
      </c>
      <c r="G4819" t="s">
        <v>878</v>
      </c>
      <c r="H4819" t="s">
        <v>13555</v>
      </c>
      <c r="I4819" t="s">
        <v>13556</v>
      </c>
      <c r="J4819" t="s">
        <v>2521</v>
      </c>
      <c r="K4819" t="s">
        <v>55</v>
      </c>
      <c r="L4819" t="s">
        <v>2522</v>
      </c>
      <c r="M4819" t="s">
        <v>57</v>
      </c>
      <c r="N4819" t="str">
        <f>"123257"</f>
        <v>123257</v>
      </c>
      <c r="O4819" t="s">
        <v>316</v>
      </c>
      <c r="P4819" t="s">
        <v>68</v>
      </c>
      <c r="Q4819">
        <v>78.8</v>
      </c>
      <c r="R4819">
        <v>12.099999999999994</v>
      </c>
      <c r="S4819" t="s">
        <v>156</v>
      </c>
    </row>
    <row r="4820" spans="1:19" x14ac:dyDescent="0.35">
      <c r="A4820">
        <v>11324</v>
      </c>
      <c r="B4820" t="str">
        <f>"011324"</f>
        <v>011324</v>
      </c>
      <c r="C4820" t="s">
        <v>13554</v>
      </c>
      <c r="D4820" t="s">
        <v>12063</v>
      </c>
      <c r="E4820" t="s">
        <v>12048</v>
      </c>
      <c r="F4820" t="s">
        <v>3396</v>
      </c>
      <c r="G4820" t="s">
        <v>878</v>
      </c>
      <c r="H4820" t="s">
        <v>13555</v>
      </c>
      <c r="I4820" t="s">
        <v>13556</v>
      </c>
      <c r="J4820" t="s">
        <v>2521</v>
      </c>
      <c r="K4820" t="s">
        <v>55</v>
      </c>
      <c r="L4820" t="s">
        <v>2522</v>
      </c>
      <c r="M4820" t="s">
        <v>57</v>
      </c>
      <c r="N4820" t="str">
        <f>"123257"</f>
        <v>123257</v>
      </c>
      <c r="O4820" t="s">
        <v>316</v>
      </c>
      <c r="P4820" t="s">
        <v>68</v>
      </c>
      <c r="Q4820">
        <v>78.8</v>
      </c>
      <c r="R4820">
        <v>12.099999999999994</v>
      </c>
      <c r="S4820" t="s">
        <v>156</v>
      </c>
    </row>
    <row r="4821" spans="1:19" x14ac:dyDescent="0.35">
      <c r="A4821">
        <v>11368</v>
      </c>
      <c r="B4821" t="str">
        <f>"011368"</f>
        <v>011368</v>
      </c>
      <c r="C4821" t="s">
        <v>13557</v>
      </c>
      <c r="D4821" t="s">
        <v>3394</v>
      </c>
      <c r="E4821" t="s">
        <v>3395</v>
      </c>
      <c r="F4821" t="s">
        <v>3396</v>
      </c>
      <c r="G4821" t="s">
        <v>92</v>
      </c>
      <c r="H4821" t="s">
        <v>13558</v>
      </c>
      <c r="I4821" t="s">
        <v>13559</v>
      </c>
      <c r="J4821" t="s">
        <v>2295</v>
      </c>
      <c r="K4821" t="s">
        <v>55</v>
      </c>
      <c r="L4821" t="s">
        <v>2296</v>
      </c>
      <c r="M4821" t="s">
        <v>57</v>
      </c>
      <c r="N4821" t="str">
        <f>"046896"</f>
        <v>046896</v>
      </c>
      <c r="O4821" t="s">
        <v>2292</v>
      </c>
      <c r="P4821" t="s">
        <v>68</v>
      </c>
      <c r="Q4821">
        <v>23.4</v>
      </c>
      <c r="R4821">
        <v>48.1</v>
      </c>
      <c r="S4821" t="s">
        <v>60</v>
      </c>
    </row>
    <row r="4822" spans="1:19" x14ac:dyDescent="0.35">
      <c r="A4822">
        <v>11369</v>
      </c>
      <c r="B4822" t="str">
        <f>"011369"</f>
        <v>011369</v>
      </c>
      <c r="C4822" t="s">
        <v>13560</v>
      </c>
      <c r="D4822" t="s">
        <v>3400</v>
      </c>
      <c r="E4822" t="s">
        <v>3395</v>
      </c>
      <c r="F4822" t="s">
        <v>3396</v>
      </c>
      <c r="G4822" t="s">
        <v>92</v>
      </c>
      <c r="H4822" t="s">
        <v>13561</v>
      </c>
      <c r="I4822" t="s">
        <v>13562</v>
      </c>
      <c r="J4822" t="s">
        <v>2295</v>
      </c>
      <c r="K4822" t="s">
        <v>55</v>
      </c>
      <c r="L4822" t="s">
        <v>2296</v>
      </c>
      <c r="M4822" t="s">
        <v>57</v>
      </c>
      <c r="N4822" t="str">
        <f>"046896"</f>
        <v>046896</v>
      </c>
      <c r="O4822" t="s">
        <v>2292</v>
      </c>
      <c r="P4822" t="s">
        <v>68</v>
      </c>
      <c r="Q4822">
        <v>19.3</v>
      </c>
      <c r="R4822">
        <v>38.299999999999997</v>
      </c>
      <c r="S4822" t="s">
        <v>60</v>
      </c>
    </row>
    <row r="4823" spans="1:19" x14ac:dyDescent="0.35">
      <c r="A4823">
        <v>11370</v>
      </c>
      <c r="B4823" t="str">
        <f>"011370"</f>
        <v>011370</v>
      </c>
      <c r="C4823" t="s">
        <v>13563</v>
      </c>
      <c r="D4823" t="s">
        <v>3394</v>
      </c>
      <c r="E4823" t="s">
        <v>3395</v>
      </c>
      <c r="F4823" t="s">
        <v>3396</v>
      </c>
      <c r="G4823" t="s">
        <v>92</v>
      </c>
      <c r="H4823" t="s">
        <v>13564</v>
      </c>
      <c r="I4823" t="s">
        <v>13565</v>
      </c>
      <c r="J4823" t="s">
        <v>2295</v>
      </c>
      <c r="K4823" t="s">
        <v>55</v>
      </c>
      <c r="L4823" t="s">
        <v>2296</v>
      </c>
      <c r="M4823" t="s">
        <v>57</v>
      </c>
      <c r="N4823" t="str">
        <f>"046896"</f>
        <v>046896</v>
      </c>
      <c r="O4823" t="s">
        <v>2292</v>
      </c>
      <c r="P4823" t="s">
        <v>68</v>
      </c>
      <c r="Q4823">
        <v>16.3</v>
      </c>
      <c r="R4823">
        <v>36.1</v>
      </c>
      <c r="S4823" t="s">
        <v>60</v>
      </c>
    </row>
    <row r="4824" spans="1:19" x14ac:dyDescent="0.35">
      <c r="A4824">
        <v>11374</v>
      </c>
      <c r="B4824" t="str">
        <f>"011374"</f>
        <v>011374</v>
      </c>
      <c r="C4824" t="s">
        <v>13566</v>
      </c>
      <c r="D4824" t="s">
        <v>3398</v>
      </c>
      <c r="E4824" t="s">
        <v>9538</v>
      </c>
      <c r="F4824" t="s">
        <v>3396</v>
      </c>
      <c r="G4824" t="s">
        <v>318</v>
      </c>
      <c r="H4824" t="s">
        <v>13567</v>
      </c>
      <c r="I4824" t="s">
        <v>13568</v>
      </c>
      <c r="J4824" t="s">
        <v>3331</v>
      </c>
      <c r="K4824" t="s">
        <v>55</v>
      </c>
      <c r="L4824" t="s">
        <v>3332</v>
      </c>
      <c r="M4824" t="s">
        <v>57</v>
      </c>
      <c r="N4824" t="str">
        <f>"011374"</f>
        <v>011374</v>
      </c>
      <c r="O4824" t="s">
        <v>13566</v>
      </c>
      <c r="P4824" t="s">
        <v>68</v>
      </c>
      <c r="Q4824" t="s">
        <v>68</v>
      </c>
      <c r="R4824" t="s">
        <v>68</v>
      </c>
      <c r="S4824" t="s">
        <v>130</v>
      </c>
    </row>
    <row r="4825" spans="1:19" x14ac:dyDescent="0.35">
      <c r="A4825">
        <v>11374</v>
      </c>
      <c r="B4825" t="str">
        <f>"011374"</f>
        <v>011374</v>
      </c>
      <c r="C4825" t="s">
        <v>13566</v>
      </c>
      <c r="D4825" t="s">
        <v>9541</v>
      </c>
      <c r="E4825" t="s">
        <v>9538</v>
      </c>
      <c r="F4825" t="s">
        <v>3396</v>
      </c>
      <c r="G4825" t="s">
        <v>318</v>
      </c>
      <c r="H4825" t="s">
        <v>13567</v>
      </c>
      <c r="I4825" t="s">
        <v>13568</v>
      </c>
      <c r="J4825" t="s">
        <v>3331</v>
      </c>
      <c r="K4825" t="s">
        <v>55</v>
      </c>
      <c r="L4825" t="s">
        <v>3332</v>
      </c>
      <c r="M4825" t="s">
        <v>57</v>
      </c>
      <c r="N4825" t="str">
        <f>"011374"</f>
        <v>011374</v>
      </c>
      <c r="O4825" t="s">
        <v>13566</v>
      </c>
      <c r="P4825" t="s">
        <v>68</v>
      </c>
      <c r="Q4825" t="s">
        <v>68</v>
      </c>
      <c r="R4825" t="s">
        <v>68</v>
      </c>
      <c r="S4825" t="s">
        <v>130</v>
      </c>
    </row>
    <row r="4826" spans="1:19" x14ac:dyDescent="0.35">
      <c r="A4826">
        <v>11381</v>
      </c>
      <c r="B4826" t="str">
        <f>"011381"</f>
        <v>011381</v>
      </c>
      <c r="C4826" t="s">
        <v>13569</v>
      </c>
      <c r="D4826" t="s">
        <v>3394</v>
      </c>
      <c r="E4826" t="s">
        <v>12048</v>
      </c>
      <c r="F4826" t="s">
        <v>3396</v>
      </c>
      <c r="G4826" t="s">
        <v>264</v>
      </c>
      <c r="H4826" t="s">
        <v>13570</v>
      </c>
      <c r="I4826" t="s">
        <v>13571</v>
      </c>
      <c r="J4826" t="s">
        <v>267</v>
      </c>
      <c r="K4826" t="s">
        <v>55</v>
      </c>
      <c r="L4826" t="s">
        <v>268</v>
      </c>
      <c r="M4826" t="s">
        <v>57</v>
      </c>
      <c r="N4826" t="str">
        <f>"N/A"</f>
        <v>N/A</v>
      </c>
      <c r="O4826" t="s">
        <v>49</v>
      </c>
      <c r="P4826" t="s">
        <v>68</v>
      </c>
      <c r="Q4826">
        <v>0</v>
      </c>
      <c r="R4826">
        <v>30.5</v>
      </c>
      <c r="S4826" t="s">
        <v>77</v>
      </c>
    </row>
    <row r="4827" spans="1:19" x14ac:dyDescent="0.35">
      <c r="A4827">
        <v>11381</v>
      </c>
      <c r="B4827" t="str">
        <f>"011381"</f>
        <v>011381</v>
      </c>
      <c r="C4827" t="s">
        <v>13569</v>
      </c>
      <c r="D4827" t="s">
        <v>12052</v>
      </c>
      <c r="E4827" t="s">
        <v>12048</v>
      </c>
      <c r="F4827" t="s">
        <v>3396</v>
      </c>
      <c r="G4827" t="s">
        <v>264</v>
      </c>
      <c r="H4827" t="s">
        <v>13570</v>
      </c>
      <c r="I4827" t="s">
        <v>13571</v>
      </c>
      <c r="J4827" t="s">
        <v>267</v>
      </c>
      <c r="K4827" t="s">
        <v>55</v>
      </c>
      <c r="L4827" t="s">
        <v>268</v>
      </c>
      <c r="M4827" t="s">
        <v>57</v>
      </c>
      <c r="N4827" t="str">
        <f>"N/A"</f>
        <v>N/A</v>
      </c>
      <c r="O4827" t="s">
        <v>49</v>
      </c>
      <c r="P4827" t="s">
        <v>68</v>
      </c>
      <c r="Q4827">
        <v>0</v>
      </c>
      <c r="R4827">
        <v>30.5</v>
      </c>
      <c r="S4827" t="s">
        <v>77</v>
      </c>
    </row>
    <row r="4828" spans="1:19" x14ac:dyDescent="0.35">
      <c r="A4828">
        <v>11390</v>
      </c>
      <c r="B4828" t="str">
        <f>"011390"</f>
        <v>011390</v>
      </c>
      <c r="C4828" t="s">
        <v>13572</v>
      </c>
      <c r="D4828" t="s">
        <v>3394</v>
      </c>
      <c r="E4828" t="s">
        <v>12048</v>
      </c>
      <c r="F4828" t="s">
        <v>3396</v>
      </c>
      <c r="G4828" t="s">
        <v>63</v>
      </c>
      <c r="H4828" t="s">
        <v>13573</v>
      </c>
      <c r="I4828" t="s">
        <v>13574</v>
      </c>
      <c r="J4828" t="s">
        <v>285</v>
      </c>
      <c r="K4828" t="s">
        <v>55</v>
      </c>
      <c r="L4828" t="s">
        <v>6421</v>
      </c>
      <c r="M4828" t="s">
        <v>57</v>
      </c>
      <c r="N4828" t="str">
        <f>"014995"</f>
        <v>014995</v>
      </c>
      <c r="O4828" t="s">
        <v>12501</v>
      </c>
      <c r="P4828" t="s">
        <v>68</v>
      </c>
      <c r="Q4828">
        <v>100</v>
      </c>
      <c r="R4828">
        <v>100</v>
      </c>
      <c r="S4828" t="s">
        <v>69</v>
      </c>
    </row>
    <row r="4829" spans="1:19" x14ac:dyDescent="0.35">
      <c r="A4829">
        <v>11390</v>
      </c>
      <c r="B4829" t="str">
        <f>"011390"</f>
        <v>011390</v>
      </c>
      <c r="C4829" t="s">
        <v>13572</v>
      </c>
      <c r="D4829" t="s">
        <v>12052</v>
      </c>
      <c r="E4829" t="s">
        <v>12048</v>
      </c>
      <c r="F4829" t="s">
        <v>3396</v>
      </c>
      <c r="G4829" t="s">
        <v>63</v>
      </c>
      <c r="H4829" t="s">
        <v>13573</v>
      </c>
      <c r="I4829" t="s">
        <v>13574</v>
      </c>
      <c r="J4829" t="s">
        <v>285</v>
      </c>
      <c r="K4829" t="s">
        <v>55</v>
      </c>
      <c r="L4829" t="s">
        <v>6421</v>
      </c>
      <c r="M4829" t="s">
        <v>57</v>
      </c>
      <c r="N4829" t="str">
        <f>"014995"</f>
        <v>014995</v>
      </c>
      <c r="O4829" t="s">
        <v>12501</v>
      </c>
      <c r="P4829" t="s">
        <v>68</v>
      </c>
      <c r="Q4829">
        <v>100</v>
      </c>
      <c r="R4829">
        <v>100</v>
      </c>
      <c r="S4829" t="s">
        <v>69</v>
      </c>
    </row>
    <row r="4830" spans="1:19" x14ac:dyDescent="0.35">
      <c r="A4830">
        <v>11430</v>
      </c>
      <c r="B4830" t="str">
        <f>"011430"</f>
        <v>011430</v>
      </c>
      <c r="C4830" t="s">
        <v>13575</v>
      </c>
      <c r="D4830" t="s">
        <v>3394</v>
      </c>
      <c r="E4830" t="s">
        <v>3395</v>
      </c>
      <c r="F4830" t="s">
        <v>3396</v>
      </c>
      <c r="G4830" t="s">
        <v>2304</v>
      </c>
      <c r="H4830" t="s">
        <v>13576</v>
      </c>
      <c r="I4830" t="s">
        <v>13577</v>
      </c>
      <c r="J4830" t="s">
        <v>2304</v>
      </c>
      <c r="K4830" t="s">
        <v>55</v>
      </c>
      <c r="L4830" t="s">
        <v>2369</v>
      </c>
      <c r="M4830" t="s">
        <v>57</v>
      </c>
      <c r="N4830" t="str">
        <f>"043869"</f>
        <v>043869</v>
      </c>
      <c r="O4830" t="s">
        <v>2734</v>
      </c>
      <c r="P4830" t="s">
        <v>68</v>
      </c>
      <c r="Q4830">
        <v>56.1</v>
      </c>
      <c r="R4830">
        <v>38.4</v>
      </c>
      <c r="S4830" t="s">
        <v>156</v>
      </c>
    </row>
    <row r="4831" spans="1:19" x14ac:dyDescent="0.35">
      <c r="A4831">
        <v>11439</v>
      </c>
      <c r="B4831" t="str">
        <f>"011439"</f>
        <v>011439</v>
      </c>
      <c r="C4831" t="s">
        <v>13578</v>
      </c>
      <c r="D4831" t="s">
        <v>3394</v>
      </c>
      <c r="E4831" t="s">
        <v>12048</v>
      </c>
      <c r="F4831" t="s">
        <v>3396</v>
      </c>
      <c r="G4831" t="s">
        <v>600</v>
      </c>
      <c r="H4831" t="s">
        <v>13579</v>
      </c>
      <c r="I4831" t="s">
        <v>13580</v>
      </c>
      <c r="J4831" t="s">
        <v>1348</v>
      </c>
      <c r="K4831" t="s">
        <v>55</v>
      </c>
      <c r="L4831" t="s">
        <v>6119</v>
      </c>
      <c r="M4831" t="s">
        <v>57</v>
      </c>
      <c r="N4831" t="str">
        <f>"017492"</f>
        <v>017492</v>
      </c>
      <c r="O4831" t="s">
        <v>13581</v>
      </c>
      <c r="P4831" t="s">
        <v>68</v>
      </c>
      <c r="Q4831">
        <v>100</v>
      </c>
      <c r="R4831">
        <v>100</v>
      </c>
      <c r="S4831" t="s">
        <v>60</v>
      </c>
    </row>
    <row r="4832" spans="1:19" x14ac:dyDescent="0.35">
      <c r="A4832">
        <v>11439</v>
      </c>
      <c r="B4832" t="str">
        <f>"011439"</f>
        <v>011439</v>
      </c>
      <c r="C4832" t="s">
        <v>13578</v>
      </c>
      <c r="D4832" t="s">
        <v>12052</v>
      </c>
      <c r="E4832" t="s">
        <v>12048</v>
      </c>
      <c r="F4832" t="s">
        <v>3396</v>
      </c>
      <c r="G4832" t="s">
        <v>600</v>
      </c>
      <c r="H4832" t="s">
        <v>13579</v>
      </c>
      <c r="I4832" t="s">
        <v>13580</v>
      </c>
      <c r="J4832" t="s">
        <v>1348</v>
      </c>
      <c r="K4832" t="s">
        <v>55</v>
      </c>
      <c r="L4832" t="s">
        <v>6119</v>
      </c>
      <c r="M4832" t="s">
        <v>57</v>
      </c>
      <c r="N4832" t="str">
        <f>"017492"</f>
        <v>017492</v>
      </c>
      <c r="O4832" t="s">
        <v>13581</v>
      </c>
      <c r="P4832" t="s">
        <v>68</v>
      </c>
      <c r="Q4832">
        <v>100</v>
      </c>
      <c r="R4832">
        <v>100</v>
      </c>
      <c r="S4832" t="s">
        <v>60</v>
      </c>
    </row>
    <row r="4833" spans="1:19" x14ac:dyDescent="0.35">
      <c r="A4833">
        <v>11462</v>
      </c>
      <c r="B4833" t="str">
        <f>"011462"</f>
        <v>011462</v>
      </c>
      <c r="C4833" t="s">
        <v>13582</v>
      </c>
      <c r="D4833" t="s">
        <v>3400</v>
      </c>
      <c r="E4833" t="s">
        <v>3395</v>
      </c>
      <c r="F4833" t="s">
        <v>3396</v>
      </c>
      <c r="G4833" t="s">
        <v>79</v>
      </c>
      <c r="H4833" t="s">
        <v>5113</v>
      </c>
      <c r="I4833" t="s">
        <v>5114</v>
      </c>
      <c r="J4833" t="s">
        <v>1720</v>
      </c>
      <c r="K4833" t="s">
        <v>55</v>
      </c>
      <c r="L4833" t="s">
        <v>1721</v>
      </c>
      <c r="M4833" t="s">
        <v>57</v>
      </c>
      <c r="N4833" t="str">
        <f>"047738"</f>
        <v>047738</v>
      </c>
      <c r="O4833" t="s">
        <v>1717</v>
      </c>
      <c r="P4833" t="s">
        <v>68</v>
      </c>
      <c r="Q4833">
        <v>47.3</v>
      </c>
      <c r="R4833">
        <v>7.5</v>
      </c>
      <c r="S4833" t="s">
        <v>69</v>
      </c>
    </row>
    <row r="4834" spans="1:19" x14ac:dyDescent="0.35">
      <c r="A4834">
        <v>11463</v>
      </c>
      <c r="B4834" t="str">
        <f>"011463"</f>
        <v>011463</v>
      </c>
      <c r="C4834" t="s">
        <v>13583</v>
      </c>
      <c r="D4834" t="s">
        <v>3400</v>
      </c>
      <c r="E4834" t="s">
        <v>3395</v>
      </c>
      <c r="F4834" t="s">
        <v>3396</v>
      </c>
      <c r="G4834" t="s">
        <v>1567</v>
      </c>
      <c r="H4834" t="s">
        <v>13584</v>
      </c>
      <c r="I4834" t="s">
        <v>13585</v>
      </c>
      <c r="J4834" t="s">
        <v>8213</v>
      </c>
      <c r="K4834" t="s">
        <v>55</v>
      </c>
      <c r="L4834" t="s">
        <v>8214</v>
      </c>
      <c r="M4834" t="s">
        <v>57</v>
      </c>
      <c r="N4834" t="str">
        <f>"049098"</f>
        <v>049098</v>
      </c>
      <c r="O4834" t="s">
        <v>3053</v>
      </c>
      <c r="P4834" t="s">
        <v>68</v>
      </c>
      <c r="Q4834">
        <v>18.899999999999999</v>
      </c>
      <c r="R4834">
        <v>12.700000000000003</v>
      </c>
      <c r="S4834" t="s">
        <v>60</v>
      </c>
    </row>
    <row r="4835" spans="1:19" x14ac:dyDescent="0.35">
      <c r="A4835">
        <v>11468</v>
      </c>
      <c r="B4835" t="str">
        <f>"011468"</f>
        <v>011468</v>
      </c>
      <c r="C4835" t="s">
        <v>13586</v>
      </c>
      <c r="D4835" t="s">
        <v>3400</v>
      </c>
      <c r="E4835" t="s">
        <v>12048</v>
      </c>
      <c r="F4835" t="s">
        <v>3396</v>
      </c>
      <c r="G4835" t="s">
        <v>600</v>
      </c>
      <c r="H4835" t="s">
        <v>13587</v>
      </c>
      <c r="I4835" t="s">
        <v>13588</v>
      </c>
      <c r="J4835" t="s">
        <v>1348</v>
      </c>
      <c r="K4835" t="s">
        <v>55</v>
      </c>
      <c r="L4835" t="s">
        <v>3462</v>
      </c>
      <c r="M4835" t="s">
        <v>57</v>
      </c>
      <c r="N4835" t="str">
        <f>"015427"</f>
        <v>015427</v>
      </c>
      <c r="O4835" t="s">
        <v>12157</v>
      </c>
      <c r="P4835" t="s">
        <v>68</v>
      </c>
      <c r="Q4835">
        <v>72.5</v>
      </c>
      <c r="R4835">
        <v>97.2</v>
      </c>
      <c r="S4835" t="s">
        <v>60</v>
      </c>
    </row>
    <row r="4836" spans="1:19" x14ac:dyDescent="0.35">
      <c r="A4836">
        <v>11468</v>
      </c>
      <c r="B4836" t="str">
        <f>"011468"</f>
        <v>011468</v>
      </c>
      <c r="C4836" t="s">
        <v>13586</v>
      </c>
      <c r="D4836" t="s">
        <v>12052</v>
      </c>
      <c r="E4836" t="s">
        <v>12048</v>
      </c>
      <c r="F4836" t="s">
        <v>3396</v>
      </c>
      <c r="G4836" t="s">
        <v>600</v>
      </c>
      <c r="H4836" t="s">
        <v>13587</v>
      </c>
      <c r="I4836" t="s">
        <v>13588</v>
      </c>
      <c r="J4836" t="s">
        <v>1348</v>
      </c>
      <c r="K4836" t="s">
        <v>55</v>
      </c>
      <c r="L4836" t="s">
        <v>3462</v>
      </c>
      <c r="M4836" t="s">
        <v>57</v>
      </c>
      <c r="N4836" t="str">
        <f>"015427"</f>
        <v>015427</v>
      </c>
      <c r="O4836" t="s">
        <v>12157</v>
      </c>
      <c r="P4836" t="s">
        <v>68</v>
      </c>
      <c r="Q4836">
        <v>72.5</v>
      </c>
      <c r="R4836">
        <v>97.2</v>
      </c>
      <c r="S4836" t="s">
        <v>60</v>
      </c>
    </row>
    <row r="4837" spans="1:19" x14ac:dyDescent="0.35">
      <c r="A4837">
        <v>11468</v>
      </c>
      <c r="B4837" t="str">
        <f>"011468"</f>
        <v>011468</v>
      </c>
      <c r="C4837" t="s">
        <v>13586</v>
      </c>
      <c r="D4837" t="s">
        <v>4572</v>
      </c>
      <c r="E4837" t="s">
        <v>12048</v>
      </c>
      <c r="F4837" t="s">
        <v>3396</v>
      </c>
      <c r="G4837" t="s">
        <v>600</v>
      </c>
      <c r="H4837" t="s">
        <v>13587</v>
      </c>
      <c r="I4837" t="s">
        <v>13588</v>
      </c>
      <c r="J4837" t="s">
        <v>1348</v>
      </c>
      <c r="K4837" t="s">
        <v>55</v>
      </c>
      <c r="L4837" t="s">
        <v>3462</v>
      </c>
      <c r="M4837" t="s">
        <v>57</v>
      </c>
      <c r="N4837" t="str">
        <f>"015427"</f>
        <v>015427</v>
      </c>
      <c r="O4837" t="s">
        <v>12157</v>
      </c>
      <c r="P4837" t="s">
        <v>68</v>
      </c>
      <c r="Q4837">
        <v>72.5</v>
      </c>
      <c r="R4837">
        <v>97.2</v>
      </c>
      <c r="S4837" t="s">
        <v>60</v>
      </c>
    </row>
    <row r="4838" spans="1:19" x14ac:dyDescent="0.35">
      <c r="A4838">
        <v>11482</v>
      </c>
      <c r="B4838" t="str">
        <f>"011482"</f>
        <v>011482</v>
      </c>
      <c r="C4838" t="s">
        <v>13589</v>
      </c>
      <c r="D4838" t="s">
        <v>3394</v>
      </c>
      <c r="E4838" t="s">
        <v>3395</v>
      </c>
      <c r="F4838" t="s">
        <v>3396</v>
      </c>
      <c r="G4838" t="s">
        <v>244</v>
      </c>
      <c r="H4838" t="s">
        <v>13590</v>
      </c>
      <c r="I4838" t="s">
        <v>13591</v>
      </c>
      <c r="J4838" t="s">
        <v>212</v>
      </c>
      <c r="K4838" t="s">
        <v>55</v>
      </c>
      <c r="L4838" t="s">
        <v>374</v>
      </c>
      <c r="M4838" t="s">
        <v>57</v>
      </c>
      <c r="N4838" t="str">
        <f>"044107"</f>
        <v>044107</v>
      </c>
      <c r="O4838" t="s">
        <v>971</v>
      </c>
      <c r="P4838" t="s">
        <v>68</v>
      </c>
      <c r="Q4838">
        <v>100</v>
      </c>
      <c r="R4838">
        <v>59</v>
      </c>
      <c r="S4838" t="s">
        <v>217</v>
      </c>
    </row>
    <row r="4839" spans="1:19" x14ac:dyDescent="0.35">
      <c r="A4839">
        <v>11483</v>
      </c>
      <c r="B4839" t="str">
        <f>"011483"</f>
        <v>011483</v>
      </c>
      <c r="C4839" t="s">
        <v>13592</v>
      </c>
      <c r="D4839" t="s">
        <v>3394</v>
      </c>
      <c r="E4839" t="s">
        <v>3395</v>
      </c>
      <c r="F4839" t="s">
        <v>3396</v>
      </c>
      <c r="G4839" t="s">
        <v>244</v>
      </c>
      <c r="H4839" t="s">
        <v>13593</v>
      </c>
      <c r="I4839" t="s">
        <v>13594</v>
      </c>
      <c r="J4839" t="s">
        <v>212</v>
      </c>
      <c r="K4839" t="s">
        <v>55</v>
      </c>
      <c r="L4839" t="s">
        <v>9896</v>
      </c>
      <c r="M4839" t="s">
        <v>57</v>
      </c>
      <c r="N4839" t="str">
        <f>"044107"</f>
        <v>044107</v>
      </c>
      <c r="O4839" t="s">
        <v>971</v>
      </c>
      <c r="P4839" t="s">
        <v>68</v>
      </c>
      <c r="Q4839">
        <v>100</v>
      </c>
      <c r="R4839">
        <v>31</v>
      </c>
      <c r="S4839" t="s">
        <v>217</v>
      </c>
    </row>
    <row r="4840" spans="1:19" x14ac:dyDescent="0.35">
      <c r="A4840">
        <v>11484</v>
      </c>
      <c r="B4840" t="str">
        <f>"011484"</f>
        <v>011484</v>
      </c>
      <c r="C4840" t="s">
        <v>13595</v>
      </c>
      <c r="D4840" t="s">
        <v>3394</v>
      </c>
      <c r="E4840" t="s">
        <v>3395</v>
      </c>
      <c r="F4840" t="s">
        <v>3396</v>
      </c>
      <c r="G4840" t="s">
        <v>244</v>
      </c>
      <c r="H4840" t="s">
        <v>13596</v>
      </c>
      <c r="I4840" t="s">
        <v>13597</v>
      </c>
      <c r="J4840" t="s">
        <v>212</v>
      </c>
      <c r="K4840" t="s">
        <v>55</v>
      </c>
      <c r="L4840" t="s">
        <v>2312</v>
      </c>
      <c r="M4840" t="s">
        <v>57</v>
      </c>
      <c r="N4840" t="str">
        <f>"044107"</f>
        <v>044107</v>
      </c>
      <c r="O4840" t="s">
        <v>971</v>
      </c>
      <c r="P4840" t="s">
        <v>68</v>
      </c>
      <c r="Q4840">
        <v>100</v>
      </c>
      <c r="R4840">
        <v>23.700000000000003</v>
      </c>
      <c r="S4840" t="s">
        <v>217</v>
      </c>
    </row>
    <row r="4841" spans="1:19" x14ac:dyDescent="0.35">
      <c r="A4841">
        <v>11485</v>
      </c>
      <c r="B4841" t="str">
        <f>"011485"</f>
        <v>011485</v>
      </c>
      <c r="C4841" t="s">
        <v>13598</v>
      </c>
      <c r="D4841" t="s">
        <v>3394</v>
      </c>
      <c r="E4841" t="s">
        <v>3395</v>
      </c>
      <c r="F4841" t="s">
        <v>3396</v>
      </c>
      <c r="G4841" t="s">
        <v>244</v>
      </c>
      <c r="H4841" t="s">
        <v>13599</v>
      </c>
      <c r="I4841" t="s">
        <v>13600</v>
      </c>
      <c r="J4841" t="s">
        <v>212</v>
      </c>
      <c r="K4841" t="s">
        <v>55</v>
      </c>
      <c r="L4841" t="s">
        <v>2312</v>
      </c>
      <c r="M4841" t="s">
        <v>57</v>
      </c>
      <c r="N4841" t="str">
        <f>"044107"</f>
        <v>044107</v>
      </c>
      <c r="O4841" t="s">
        <v>971</v>
      </c>
      <c r="P4841" t="s">
        <v>68</v>
      </c>
      <c r="Q4841">
        <v>100</v>
      </c>
      <c r="R4841">
        <v>21.900000000000006</v>
      </c>
      <c r="S4841" t="s">
        <v>217</v>
      </c>
    </row>
    <row r="4842" spans="1:19" x14ac:dyDescent="0.35">
      <c r="A4842">
        <v>11492</v>
      </c>
      <c r="B4842" t="str">
        <f>"011492"</f>
        <v>011492</v>
      </c>
      <c r="C4842" t="s">
        <v>13601</v>
      </c>
      <c r="D4842" t="s">
        <v>3398</v>
      </c>
      <c r="E4842" t="s">
        <v>9538</v>
      </c>
      <c r="F4842" t="s">
        <v>3396</v>
      </c>
      <c r="G4842" t="s">
        <v>719</v>
      </c>
      <c r="H4842" t="s">
        <v>13602</v>
      </c>
      <c r="I4842" t="s">
        <v>13603</v>
      </c>
      <c r="J4842" t="s">
        <v>1652</v>
      </c>
      <c r="K4842" t="s">
        <v>55</v>
      </c>
      <c r="L4842" t="s">
        <v>1653</v>
      </c>
      <c r="M4842" t="s">
        <v>57</v>
      </c>
      <c r="N4842" t="str">
        <f>"011492"</f>
        <v>011492</v>
      </c>
      <c r="O4842" t="s">
        <v>13601</v>
      </c>
      <c r="P4842" t="s">
        <v>68</v>
      </c>
      <c r="Q4842" t="s">
        <v>68</v>
      </c>
      <c r="R4842" t="s">
        <v>68</v>
      </c>
      <c r="S4842" t="s">
        <v>130</v>
      </c>
    </row>
    <row r="4843" spans="1:19" x14ac:dyDescent="0.35">
      <c r="A4843">
        <v>11493</v>
      </c>
      <c r="B4843" t="str">
        <f>"011493"</f>
        <v>011493</v>
      </c>
      <c r="C4843" t="s">
        <v>13604</v>
      </c>
      <c r="D4843" t="s">
        <v>3400</v>
      </c>
      <c r="E4843" t="s">
        <v>3395</v>
      </c>
      <c r="F4843" t="s">
        <v>3396</v>
      </c>
      <c r="G4843" t="s">
        <v>383</v>
      </c>
      <c r="H4843" t="s">
        <v>13605</v>
      </c>
      <c r="I4843" t="s">
        <v>13606</v>
      </c>
      <c r="J4843" t="s">
        <v>1215</v>
      </c>
      <c r="K4843" t="s">
        <v>55</v>
      </c>
      <c r="L4843" t="s">
        <v>9578</v>
      </c>
      <c r="M4843" t="s">
        <v>57</v>
      </c>
      <c r="N4843" t="str">
        <f>"045161"</f>
        <v>045161</v>
      </c>
      <c r="O4843" t="s">
        <v>1212</v>
      </c>
      <c r="P4843" t="s">
        <v>68</v>
      </c>
      <c r="Q4843">
        <v>100</v>
      </c>
      <c r="R4843">
        <v>85.8</v>
      </c>
      <c r="S4843" t="s">
        <v>77</v>
      </c>
    </row>
    <row r="4844" spans="1:19" x14ac:dyDescent="0.35">
      <c r="A4844">
        <v>11506</v>
      </c>
      <c r="B4844" t="str">
        <f>"011506"</f>
        <v>011506</v>
      </c>
      <c r="C4844" t="s">
        <v>13607</v>
      </c>
      <c r="D4844" t="s">
        <v>3398</v>
      </c>
      <c r="E4844" t="s">
        <v>13608</v>
      </c>
      <c r="F4844" t="s">
        <v>3396</v>
      </c>
      <c r="G4844" t="s">
        <v>543</v>
      </c>
      <c r="H4844" t="s">
        <v>13609</v>
      </c>
      <c r="I4844" t="s">
        <v>13610</v>
      </c>
      <c r="J4844" t="s">
        <v>1961</v>
      </c>
      <c r="K4844" t="s">
        <v>55</v>
      </c>
      <c r="L4844" t="s">
        <v>3787</v>
      </c>
      <c r="M4844" t="s">
        <v>57</v>
      </c>
      <c r="N4844" t="str">
        <f>"011506"</f>
        <v>011506</v>
      </c>
      <c r="O4844" t="s">
        <v>13607</v>
      </c>
      <c r="P4844" t="s">
        <v>68</v>
      </c>
      <c r="Q4844">
        <v>13.4</v>
      </c>
      <c r="R4844">
        <v>36</v>
      </c>
      <c r="S4844" t="s">
        <v>180</v>
      </c>
    </row>
    <row r="4845" spans="1:19" x14ac:dyDescent="0.35">
      <c r="A4845">
        <v>11506</v>
      </c>
      <c r="B4845" t="str">
        <f>"011506"</f>
        <v>011506</v>
      </c>
      <c r="C4845" t="s">
        <v>13607</v>
      </c>
      <c r="D4845" t="s">
        <v>3929</v>
      </c>
      <c r="E4845" t="s">
        <v>13608</v>
      </c>
      <c r="F4845" t="s">
        <v>3396</v>
      </c>
      <c r="G4845" t="s">
        <v>543</v>
      </c>
      <c r="H4845" t="s">
        <v>13609</v>
      </c>
      <c r="I4845" t="s">
        <v>13610</v>
      </c>
      <c r="J4845" t="s">
        <v>1961</v>
      </c>
      <c r="K4845" t="s">
        <v>55</v>
      </c>
      <c r="L4845" t="s">
        <v>3787</v>
      </c>
      <c r="M4845" t="s">
        <v>57</v>
      </c>
      <c r="N4845" t="str">
        <f>"011506"</f>
        <v>011506</v>
      </c>
      <c r="O4845" t="s">
        <v>13607</v>
      </c>
      <c r="P4845" t="s">
        <v>68</v>
      </c>
      <c r="Q4845">
        <v>13.4</v>
      </c>
      <c r="R4845">
        <v>36</v>
      </c>
      <c r="S4845" t="s">
        <v>180</v>
      </c>
    </row>
    <row r="4846" spans="1:19" x14ac:dyDescent="0.35">
      <c r="A4846">
        <v>11511</v>
      </c>
      <c r="B4846" t="str">
        <f>"011511"</f>
        <v>011511</v>
      </c>
      <c r="C4846" t="s">
        <v>13611</v>
      </c>
      <c r="D4846" t="s">
        <v>3394</v>
      </c>
      <c r="E4846" t="s">
        <v>12048</v>
      </c>
      <c r="F4846" t="s">
        <v>3396</v>
      </c>
      <c r="G4846" t="s">
        <v>1187</v>
      </c>
      <c r="H4846" t="s">
        <v>13612</v>
      </c>
      <c r="I4846" t="s">
        <v>13613</v>
      </c>
      <c r="J4846" t="s">
        <v>13614</v>
      </c>
      <c r="K4846" t="s">
        <v>55</v>
      </c>
      <c r="L4846" t="s">
        <v>13615</v>
      </c>
      <c r="M4846" t="s">
        <v>57</v>
      </c>
      <c r="N4846" t="str">
        <f>"047779"</f>
        <v>047779</v>
      </c>
      <c r="O4846" t="s">
        <v>653</v>
      </c>
      <c r="P4846" t="s">
        <v>68</v>
      </c>
      <c r="Q4846">
        <v>80</v>
      </c>
      <c r="R4846">
        <v>2.0999999999999943</v>
      </c>
      <c r="S4846" t="s">
        <v>130</v>
      </c>
    </row>
    <row r="4847" spans="1:19" x14ac:dyDescent="0.35">
      <c r="A4847">
        <v>11511</v>
      </c>
      <c r="B4847" t="str">
        <f>"011511"</f>
        <v>011511</v>
      </c>
      <c r="C4847" t="s">
        <v>13611</v>
      </c>
      <c r="D4847" t="s">
        <v>12471</v>
      </c>
      <c r="E4847" t="s">
        <v>12048</v>
      </c>
      <c r="F4847" t="s">
        <v>3396</v>
      </c>
      <c r="G4847" t="s">
        <v>1187</v>
      </c>
      <c r="H4847" t="s">
        <v>13612</v>
      </c>
      <c r="I4847" t="s">
        <v>13613</v>
      </c>
      <c r="J4847" t="s">
        <v>13614</v>
      </c>
      <c r="K4847" t="s">
        <v>55</v>
      </c>
      <c r="L4847" t="s">
        <v>13615</v>
      </c>
      <c r="M4847" t="s">
        <v>57</v>
      </c>
      <c r="N4847" t="str">
        <f>"047779"</f>
        <v>047779</v>
      </c>
      <c r="O4847" t="s">
        <v>653</v>
      </c>
      <c r="P4847" t="s">
        <v>68</v>
      </c>
      <c r="Q4847">
        <v>80</v>
      </c>
      <c r="R4847">
        <v>2.0999999999999943</v>
      </c>
      <c r="S4847" t="s">
        <v>130</v>
      </c>
    </row>
    <row r="4848" spans="1:19" x14ac:dyDescent="0.35">
      <c r="A4848">
        <v>11518</v>
      </c>
      <c r="B4848" t="str">
        <f>"011518"</f>
        <v>011518</v>
      </c>
      <c r="C4848" t="s">
        <v>13616</v>
      </c>
      <c r="D4848" t="s">
        <v>3400</v>
      </c>
      <c r="E4848" t="s">
        <v>3395</v>
      </c>
      <c r="F4848" t="s">
        <v>3396</v>
      </c>
      <c r="G4848" t="s">
        <v>132</v>
      </c>
      <c r="H4848" t="s">
        <v>13617</v>
      </c>
      <c r="I4848" t="s">
        <v>13618</v>
      </c>
      <c r="J4848" t="s">
        <v>132</v>
      </c>
      <c r="K4848" t="s">
        <v>55</v>
      </c>
      <c r="L4848" t="s">
        <v>184</v>
      </c>
      <c r="M4848" t="s">
        <v>57</v>
      </c>
      <c r="N4848" t="str">
        <f>"043513"</f>
        <v>043513</v>
      </c>
      <c r="O4848" t="s">
        <v>1141</v>
      </c>
      <c r="P4848" t="s">
        <v>68</v>
      </c>
      <c r="Q4848">
        <v>100</v>
      </c>
      <c r="R4848">
        <v>46.7</v>
      </c>
      <c r="S4848" t="s">
        <v>69</v>
      </c>
    </row>
    <row r="4849" spans="1:19" x14ac:dyDescent="0.35">
      <c r="A4849">
        <v>11532</v>
      </c>
      <c r="B4849" t="str">
        <f>"011532"</f>
        <v>011532</v>
      </c>
      <c r="C4849" t="s">
        <v>13619</v>
      </c>
      <c r="D4849" t="s">
        <v>3400</v>
      </c>
      <c r="E4849" t="s">
        <v>3395</v>
      </c>
      <c r="F4849" t="s">
        <v>3396</v>
      </c>
      <c r="G4849" t="s">
        <v>264</v>
      </c>
      <c r="H4849" t="s">
        <v>13620</v>
      </c>
      <c r="I4849" t="s">
        <v>13621</v>
      </c>
      <c r="J4849" t="s">
        <v>267</v>
      </c>
      <c r="K4849" t="s">
        <v>55</v>
      </c>
      <c r="L4849" t="s">
        <v>1528</v>
      </c>
      <c r="M4849" t="s">
        <v>57</v>
      </c>
      <c r="N4849" t="str">
        <f>"043489"</f>
        <v>043489</v>
      </c>
      <c r="O4849" t="s">
        <v>3176</v>
      </c>
      <c r="P4849" t="s">
        <v>68</v>
      </c>
      <c r="Q4849">
        <v>100</v>
      </c>
      <c r="R4849">
        <v>62.6</v>
      </c>
      <c r="S4849" t="s">
        <v>77</v>
      </c>
    </row>
    <row r="4850" spans="1:19" x14ac:dyDescent="0.35">
      <c r="A4850">
        <v>11532</v>
      </c>
      <c r="B4850" t="str">
        <f>"011532"</f>
        <v>011532</v>
      </c>
      <c r="C4850" t="s">
        <v>13619</v>
      </c>
      <c r="D4850" t="s">
        <v>3929</v>
      </c>
      <c r="E4850" t="s">
        <v>3395</v>
      </c>
      <c r="F4850" t="s">
        <v>3396</v>
      </c>
      <c r="G4850" t="s">
        <v>264</v>
      </c>
      <c r="H4850" t="s">
        <v>13620</v>
      </c>
      <c r="I4850" t="s">
        <v>13621</v>
      </c>
      <c r="J4850" t="s">
        <v>267</v>
      </c>
      <c r="K4850" t="s">
        <v>55</v>
      </c>
      <c r="L4850" t="s">
        <v>1528</v>
      </c>
      <c r="M4850" t="s">
        <v>57</v>
      </c>
      <c r="N4850" t="str">
        <f>"043489"</f>
        <v>043489</v>
      </c>
      <c r="O4850" t="s">
        <v>3176</v>
      </c>
      <c r="P4850" t="s">
        <v>68</v>
      </c>
      <c r="Q4850">
        <v>100</v>
      </c>
      <c r="R4850">
        <v>62.6</v>
      </c>
      <c r="S4850" t="s">
        <v>77</v>
      </c>
    </row>
    <row r="4851" spans="1:19" x14ac:dyDescent="0.35">
      <c r="A4851">
        <v>11533</v>
      </c>
      <c r="B4851" t="str">
        <f>"011533"</f>
        <v>011533</v>
      </c>
      <c r="C4851" t="s">
        <v>13622</v>
      </c>
      <c r="D4851" t="s">
        <v>3398</v>
      </c>
      <c r="E4851" t="s">
        <v>12048</v>
      </c>
      <c r="F4851" t="s">
        <v>3396</v>
      </c>
      <c r="G4851" t="s">
        <v>143</v>
      </c>
      <c r="H4851" t="s">
        <v>13623</v>
      </c>
      <c r="I4851" t="s">
        <v>13624</v>
      </c>
      <c r="J4851" t="s">
        <v>143</v>
      </c>
      <c r="K4851" t="s">
        <v>55</v>
      </c>
      <c r="L4851" t="s">
        <v>1033</v>
      </c>
      <c r="M4851" t="s">
        <v>57</v>
      </c>
      <c r="N4851" t="str">
        <f>"014979"</f>
        <v>014979</v>
      </c>
      <c r="O4851" t="s">
        <v>12185</v>
      </c>
      <c r="P4851" t="s">
        <v>68</v>
      </c>
      <c r="Q4851">
        <v>100</v>
      </c>
      <c r="R4851">
        <v>77</v>
      </c>
      <c r="S4851" t="s">
        <v>69</v>
      </c>
    </row>
    <row r="4852" spans="1:19" x14ac:dyDescent="0.35">
      <c r="A4852">
        <v>11533</v>
      </c>
      <c r="B4852" t="str">
        <f>"011533"</f>
        <v>011533</v>
      </c>
      <c r="C4852" t="s">
        <v>13622</v>
      </c>
      <c r="D4852" t="s">
        <v>12052</v>
      </c>
      <c r="E4852" t="s">
        <v>12048</v>
      </c>
      <c r="F4852" t="s">
        <v>3396</v>
      </c>
      <c r="G4852" t="s">
        <v>143</v>
      </c>
      <c r="H4852" t="s">
        <v>13623</v>
      </c>
      <c r="I4852" t="s">
        <v>13624</v>
      </c>
      <c r="J4852" t="s">
        <v>143</v>
      </c>
      <c r="K4852" t="s">
        <v>55</v>
      </c>
      <c r="L4852" t="s">
        <v>1033</v>
      </c>
      <c r="M4852" t="s">
        <v>57</v>
      </c>
      <c r="N4852" t="str">
        <f>"014979"</f>
        <v>014979</v>
      </c>
      <c r="O4852" t="s">
        <v>12185</v>
      </c>
      <c r="P4852" t="s">
        <v>68</v>
      </c>
      <c r="Q4852">
        <v>100</v>
      </c>
      <c r="R4852">
        <v>77</v>
      </c>
      <c r="S4852" t="s">
        <v>69</v>
      </c>
    </row>
    <row r="4853" spans="1:19" x14ac:dyDescent="0.35">
      <c r="A4853">
        <v>11534</v>
      </c>
      <c r="B4853" t="str">
        <f>"011534"</f>
        <v>011534</v>
      </c>
      <c r="C4853" t="s">
        <v>13625</v>
      </c>
      <c r="D4853" t="s">
        <v>3398</v>
      </c>
      <c r="E4853" t="s">
        <v>12048</v>
      </c>
      <c r="F4853" t="s">
        <v>3396</v>
      </c>
      <c r="G4853" t="s">
        <v>543</v>
      </c>
      <c r="H4853" t="s">
        <v>13626</v>
      </c>
      <c r="I4853" t="s">
        <v>13627</v>
      </c>
      <c r="J4853" t="s">
        <v>687</v>
      </c>
      <c r="K4853" t="s">
        <v>55</v>
      </c>
      <c r="L4853" t="s">
        <v>10659</v>
      </c>
      <c r="M4853" t="s">
        <v>57</v>
      </c>
      <c r="N4853" t="str">
        <f>"014979"</f>
        <v>014979</v>
      </c>
      <c r="O4853" t="s">
        <v>12185</v>
      </c>
      <c r="P4853" t="s">
        <v>68</v>
      </c>
      <c r="Q4853">
        <v>99.7</v>
      </c>
      <c r="R4853">
        <v>94.2</v>
      </c>
      <c r="S4853" t="s">
        <v>180</v>
      </c>
    </row>
    <row r="4854" spans="1:19" x14ac:dyDescent="0.35">
      <c r="A4854">
        <v>11534</v>
      </c>
      <c r="B4854" t="str">
        <f>"011534"</f>
        <v>011534</v>
      </c>
      <c r="C4854" t="s">
        <v>13625</v>
      </c>
      <c r="D4854" t="s">
        <v>12052</v>
      </c>
      <c r="E4854" t="s">
        <v>12048</v>
      </c>
      <c r="F4854" t="s">
        <v>3396</v>
      </c>
      <c r="G4854" t="s">
        <v>543</v>
      </c>
      <c r="H4854" t="s">
        <v>13626</v>
      </c>
      <c r="I4854" t="s">
        <v>13627</v>
      </c>
      <c r="J4854" t="s">
        <v>687</v>
      </c>
      <c r="K4854" t="s">
        <v>55</v>
      </c>
      <c r="L4854" t="s">
        <v>10659</v>
      </c>
      <c r="M4854" t="s">
        <v>57</v>
      </c>
      <c r="N4854" t="str">
        <f>"014979"</f>
        <v>014979</v>
      </c>
      <c r="O4854" t="s">
        <v>12185</v>
      </c>
      <c r="P4854" t="s">
        <v>68</v>
      </c>
      <c r="Q4854">
        <v>99.7</v>
      </c>
      <c r="R4854">
        <v>94.2</v>
      </c>
      <c r="S4854" t="s">
        <v>180</v>
      </c>
    </row>
    <row r="4855" spans="1:19" x14ac:dyDescent="0.35">
      <c r="A4855">
        <v>11576</v>
      </c>
      <c r="B4855" t="str">
        <f>"011576"</f>
        <v>011576</v>
      </c>
      <c r="C4855" t="s">
        <v>13628</v>
      </c>
      <c r="D4855" t="s">
        <v>3398</v>
      </c>
      <c r="E4855" t="s">
        <v>9538</v>
      </c>
      <c r="F4855" t="s">
        <v>3396</v>
      </c>
      <c r="G4855" t="s">
        <v>318</v>
      </c>
      <c r="H4855" t="s">
        <v>13629</v>
      </c>
      <c r="I4855" t="s">
        <v>13630</v>
      </c>
      <c r="J4855" t="s">
        <v>321</v>
      </c>
      <c r="K4855" t="s">
        <v>55</v>
      </c>
      <c r="L4855" t="s">
        <v>322</v>
      </c>
      <c r="M4855" t="s">
        <v>57</v>
      </c>
      <c r="N4855" t="str">
        <f>"011576"</f>
        <v>011576</v>
      </c>
      <c r="O4855" t="s">
        <v>13628</v>
      </c>
      <c r="P4855" t="s">
        <v>68</v>
      </c>
      <c r="Q4855" t="s">
        <v>68</v>
      </c>
      <c r="R4855" t="s">
        <v>68</v>
      </c>
      <c r="S4855" t="s">
        <v>130</v>
      </c>
    </row>
    <row r="4856" spans="1:19" x14ac:dyDescent="0.35">
      <c r="A4856">
        <v>11579</v>
      </c>
      <c r="B4856" t="str">
        <f>"011579"</f>
        <v>011579</v>
      </c>
      <c r="C4856" t="s">
        <v>13631</v>
      </c>
      <c r="D4856" t="s">
        <v>3394</v>
      </c>
      <c r="E4856" t="s">
        <v>3395</v>
      </c>
      <c r="F4856" t="s">
        <v>3396</v>
      </c>
      <c r="G4856" t="s">
        <v>2298</v>
      </c>
      <c r="H4856" t="s">
        <v>13632</v>
      </c>
      <c r="I4856" t="s">
        <v>13633</v>
      </c>
      <c r="J4856" t="s">
        <v>124</v>
      </c>
      <c r="K4856" t="s">
        <v>55</v>
      </c>
      <c r="L4856" t="s">
        <v>2302</v>
      </c>
      <c r="M4856" t="s">
        <v>57</v>
      </c>
      <c r="N4856" t="str">
        <f>"045013"</f>
        <v>045013</v>
      </c>
      <c r="O4856" t="s">
        <v>2700</v>
      </c>
      <c r="P4856" t="s">
        <v>68</v>
      </c>
      <c r="Q4856">
        <v>65.400000000000006</v>
      </c>
      <c r="R4856">
        <v>9.9000000000000057</v>
      </c>
      <c r="S4856" t="s">
        <v>60</v>
      </c>
    </row>
    <row r="4857" spans="1:19" x14ac:dyDescent="0.35">
      <c r="A4857">
        <v>11580</v>
      </c>
      <c r="B4857" t="str">
        <f>"011580"</f>
        <v>011580</v>
      </c>
      <c r="C4857" t="s">
        <v>13634</v>
      </c>
      <c r="D4857" t="s">
        <v>3394</v>
      </c>
      <c r="E4857" t="s">
        <v>3395</v>
      </c>
      <c r="F4857" t="s">
        <v>3396</v>
      </c>
      <c r="G4857" t="s">
        <v>2298</v>
      </c>
      <c r="H4857" t="s">
        <v>13635</v>
      </c>
      <c r="I4857" t="s">
        <v>13636</v>
      </c>
      <c r="J4857" t="s">
        <v>124</v>
      </c>
      <c r="K4857" t="s">
        <v>55</v>
      </c>
      <c r="L4857" t="s">
        <v>2302</v>
      </c>
      <c r="M4857" t="s">
        <v>57</v>
      </c>
      <c r="N4857" t="str">
        <f>"045013"</f>
        <v>045013</v>
      </c>
      <c r="O4857" t="s">
        <v>2700</v>
      </c>
      <c r="P4857" t="s">
        <v>68</v>
      </c>
      <c r="Q4857">
        <v>60.9</v>
      </c>
      <c r="R4857">
        <v>13.799999999999997</v>
      </c>
      <c r="S4857" t="s">
        <v>60</v>
      </c>
    </row>
    <row r="4858" spans="1:19" x14ac:dyDescent="0.35">
      <c r="A4858">
        <v>11609</v>
      </c>
      <c r="B4858" t="str">
        <f>"011609"</f>
        <v>011609</v>
      </c>
      <c r="C4858" t="s">
        <v>13637</v>
      </c>
      <c r="D4858" t="s">
        <v>3398</v>
      </c>
      <c r="E4858" t="s">
        <v>3395</v>
      </c>
      <c r="F4858" t="s">
        <v>3396</v>
      </c>
      <c r="G4858" t="s">
        <v>212</v>
      </c>
      <c r="H4858" t="s">
        <v>13638</v>
      </c>
      <c r="I4858" t="s">
        <v>13639</v>
      </c>
      <c r="J4858" t="s">
        <v>215</v>
      </c>
      <c r="K4858" t="s">
        <v>55</v>
      </c>
      <c r="L4858" t="s">
        <v>443</v>
      </c>
      <c r="M4858" t="s">
        <v>57</v>
      </c>
      <c r="N4858" t="str">
        <f>"043752"</f>
        <v>043752</v>
      </c>
      <c r="O4858" t="s">
        <v>440</v>
      </c>
      <c r="P4858" t="s">
        <v>68</v>
      </c>
      <c r="Q4858">
        <v>99.5</v>
      </c>
      <c r="R4858">
        <v>95.8</v>
      </c>
      <c r="S4858" t="s">
        <v>217</v>
      </c>
    </row>
    <row r="4859" spans="1:19" x14ac:dyDescent="0.35">
      <c r="A4859">
        <v>11609</v>
      </c>
      <c r="B4859" t="str">
        <f>"011609"</f>
        <v>011609</v>
      </c>
      <c r="C4859" t="s">
        <v>13637</v>
      </c>
      <c r="D4859" t="s">
        <v>3929</v>
      </c>
      <c r="E4859" t="s">
        <v>3395</v>
      </c>
      <c r="F4859" t="s">
        <v>3396</v>
      </c>
      <c r="G4859" t="s">
        <v>212</v>
      </c>
      <c r="H4859" t="s">
        <v>13638</v>
      </c>
      <c r="I4859" t="s">
        <v>13639</v>
      </c>
      <c r="J4859" t="s">
        <v>215</v>
      </c>
      <c r="K4859" t="s">
        <v>55</v>
      </c>
      <c r="L4859" t="s">
        <v>443</v>
      </c>
      <c r="M4859" t="s">
        <v>57</v>
      </c>
      <c r="N4859" t="str">
        <f>"043752"</f>
        <v>043752</v>
      </c>
      <c r="O4859" t="s">
        <v>440</v>
      </c>
      <c r="P4859" t="s">
        <v>68</v>
      </c>
      <c r="Q4859">
        <v>99.5</v>
      </c>
      <c r="R4859">
        <v>95.8</v>
      </c>
      <c r="S4859" t="s">
        <v>217</v>
      </c>
    </row>
    <row r="4860" spans="1:19" x14ac:dyDescent="0.35">
      <c r="A4860">
        <v>11707</v>
      </c>
      <c r="B4860" t="str">
        <f>"011707"</f>
        <v>011707</v>
      </c>
      <c r="C4860" t="s">
        <v>13640</v>
      </c>
      <c r="D4860" t="s">
        <v>3543</v>
      </c>
      <c r="E4860" t="s">
        <v>3395</v>
      </c>
      <c r="F4860" t="s">
        <v>3396</v>
      </c>
      <c r="G4860" t="s">
        <v>406</v>
      </c>
      <c r="H4860" t="s">
        <v>13641</v>
      </c>
      <c r="I4860" t="s">
        <v>13642</v>
      </c>
      <c r="J4860" t="s">
        <v>406</v>
      </c>
      <c r="K4860" t="s">
        <v>55</v>
      </c>
      <c r="L4860" t="s">
        <v>409</v>
      </c>
      <c r="M4860" t="s">
        <v>57</v>
      </c>
      <c r="N4860" t="str">
        <f>"044388"</f>
        <v>044388</v>
      </c>
      <c r="O4860" t="s">
        <v>3325</v>
      </c>
      <c r="P4860" t="s">
        <v>68</v>
      </c>
      <c r="Q4860">
        <v>0</v>
      </c>
      <c r="R4860">
        <v>100</v>
      </c>
      <c r="S4860" t="s">
        <v>77</v>
      </c>
    </row>
    <row r="4861" spans="1:19" x14ac:dyDescent="0.35">
      <c r="A4861">
        <v>11708</v>
      </c>
      <c r="B4861" t="str">
        <f>"011708"</f>
        <v>011708</v>
      </c>
      <c r="C4861" t="s">
        <v>13643</v>
      </c>
      <c r="D4861" t="s">
        <v>3400</v>
      </c>
      <c r="E4861" t="s">
        <v>3395</v>
      </c>
      <c r="F4861" t="s">
        <v>3396</v>
      </c>
      <c r="G4861" t="s">
        <v>861</v>
      </c>
      <c r="H4861" t="s">
        <v>5685</v>
      </c>
      <c r="I4861" t="s">
        <v>5686</v>
      </c>
      <c r="J4861" t="s">
        <v>5682</v>
      </c>
      <c r="K4861" t="s">
        <v>55</v>
      </c>
      <c r="L4861" t="s">
        <v>5683</v>
      </c>
      <c r="M4861" t="s">
        <v>57</v>
      </c>
      <c r="N4861" t="str">
        <f>"065680"</f>
        <v>065680</v>
      </c>
      <c r="O4861" t="s">
        <v>1755</v>
      </c>
      <c r="P4861" t="s">
        <v>68</v>
      </c>
      <c r="Q4861">
        <v>100</v>
      </c>
      <c r="R4861">
        <v>0.90000000000000568</v>
      </c>
      <c r="S4861" t="s">
        <v>130</v>
      </c>
    </row>
    <row r="4862" spans="1:19" x14ac:dyDescent="0.35">
      <c r="A4862">
        <v>11710</v>
      </c>
      <c r="B4862" t="str">
        <f>"011710"</f>
        <v>011710</v>
      </c>
      <c r="C4862" t="s">
        <v>13644</v>
      </c>
      <c r="D4862" t="s">
        <v>3394</v>
      </c>
      <c r="E4862" t="s">
        <v>3395</v>
      </c>
      <c r="F4862" t="s">
        <v>3396</v>
      </c>
      <c r="G4862" t="s">
        <v>63</v>
      </c>
      <c r="H4862" t="s">
        <v>13645</v>
      </c>
      <c r="I4862" t="s">
        <v>13646</v>
      </c>
      <c r="J4862" t="s">
        <v>13647</v>
      </c>
      <c r="K4862" t="s">
        <v>55</v>
      </c>
      <c r="L4862" t="s">
        <v>2317</v>
      </c>
      <c r="M4862" t="s">
        <v>57</v>
      </c>
      <c r="N4862" t="str">
        <f>"046573"</f>
        <v>046573</v>
      </c>
      <c r="O4862" t="s">
        <v>2313</v>
      </c>
      <c r="P4862" t="s">
        <v>68</v>
      </c>
      <c r="Q4862">
        <v>20.100000000000001</v>
      </c>
      <c r="R4862">
        <v>16.700000000000003</v>
      </c>
      <c r="S4862" t="s">
        <v>69</v>
      </c>
    </row>
    <row r="4863" spans="1:19" x14ac:dyDescent="0.35">
      <c r="A4863">
        <v>11711</v>
      </c>
      <c r="B4863" t="str">
        <f>"011711"</f>
        <v>011711</v>
      </c>
      <c r="C4863" t="s">
        <v>13648</v>
      </c>
      <c r="D4863" t="s">
        <v>3394</v>
      </c>
      <c r="E4863" t="s">
        <v>3395</v>
      </c>
      <c r="F4863" t="s">
        <v>3396</v>
      </c>
      <c r="G4863" t="s">
        <v>777</v>
      </c>
      <c r="H4863" t="s">
        <v>2813</v>
      </c>
      <c r="I4863" t="s">
        <v>2814</v>
      </c>
      <c r="J4863" t="s">
        <v>780</v>
      </c>
      <c r="K4863" t="s">
        <v>55</v>
      </c>
      <c r="L4863" t="s">
        <v>2815</v>
      </c>
      <c r="M4863" t="s">
        <v>57</v>
      </c>
      <c r="N4863" t="str">
        <f>"044818"</f>
        <v>044818</v>
      </c>
      <c r="O4863" t="s">
        <v>2812</v>
      </c>
      <c r="P4863" t="s">
        <v>68</v>
      </c>
      <c r="Q4863" t="s">
        <v>68</v>
      </c>
      <c r="R4863" t="s">
        <v>68</v>
      </c>
      <c r="S4863" t="s">
        <v>180</v>
      </c>
    </row>
    <row r="4864" spans="1:19" x14ac:dyDescent="0.35">
      <c r="A4864">
        <v>11711</v>
      </c>
      <c r="B4864" t="str">
        <f>"011711"</f>
        <v>011711</v>
      </c>
      <c r="C4864" t="s">
        <v>13648</v>
      </c>
      <c r="D4864" t="s">
        <v>2188</v>
      </c>
      <c r="E4864" t="s">
        <v>3395</v>
      </c>
      <c r="F4864" t="s">
        <v>3396</v>
      </c>
      <c r="G4864" t="s">
        <v>777</v>
      </c>
      <c r="H4864" t="s">
        <v>2813</v>
      </c>
      <c r="I4864" t="s">
        <v>2814</v>
      </c>
      <c r="J4864" t="s">
        <v>780</v>
      </c>
      <c r="K4864" t="s">
        <v>55</v>
      </c>
      <c r="L4864" t="s">
        <v>2815</v>
      </c>
      <c r="M4864" t="s">
        <v>57</v>
      </c>
      <c r="N4864" t="str">
        <f>"044818"</f>
        <v>044818</v>
      </c>
      <c r="O4864" t="s">
        <v>2812</v>
      </c>
      <c r="P4864" t="s">
        <v>68</v>
      </c>
      <c r="Q4864" t="s">
        <v>68</v>
      </c>
      <c r="R4864" t="s">
        <v>68</v>
      </c>
      <c r="S4864" t="s">
        <v>180</v>
      </c>
    </row>
    <row r="4865" spans="1:19" x14ac:dyDescent="0.35">
      <c r="A4865">
        <v>11711</v>
      </c>
      <c r="B4865" t="str">
        <f>"011711"</f>
        <v>011711</v>
      </c>
      <c r="C4865" t="s">
        <v>13648</v>
      </c>
      <c r="D4865" t="s">
        <v>13649</v>
      </c>
      <c r="E4865" t="s">
        <v>3395</v>
      </c>
      <c r="F4865" t="s">
        <v>3396</v>
      </c>
      <c r="G4865" t="s">
        <v>777</v>
      </c>
      <c r="H4865" t="s">
        <v>2813</v>
      </c>
      <c r="I4865" t="s">
        <v>2814</v>
      </c>
      <c r="J4865" t="s">
        <v>780</v>
      </c>
      <c r="K4865" t="s">
        <v>55</v>
      </c>
      <c r="L4865" t="s">
        <v>2815</v>
      </c>
      <c r="M4865" t="s">
        <v>57</v>
      </c>
      <c r="N4865" t="str">
        <f>"044818"</f>
        <v>044818</v>
      </c>
      <c r="O4865" t="s">
        <v>2812</v>
      </c>
      <c r="P4865" t="s">
        <v>68</v>
      </c>
      <c r="Q4865" t="s">
        <v>68</v>
      </c>
      <c r="R4865" t="s">
        <v>68</v>
      </c>
      <c r="S4865" t="s">
        <v>180</v>
      </c>
    </row>
    <row r="4866" spans="1:19" x14ac:dyDescent="0.35">
      <c r="A4866">
        <v>11732</v>
      </c>
      <c r="B4866" t="str">
        <f>"011732"</f>
        <v>011732</v>
      </c>
      <c r="C4866" t="s">
        <v>13650</v>
      </c>
      <c r="D4866" t="s">
        <v>3394</v>
      </c>
      <c r="E4866" t="s">
        <v>3395</v>
      </c>
      <c r="F4866" t="s">
        <v>3396</v>
      </c>
      <c r="G4866" t="s">
        <v>331</v>
      </c>
      <c r="H4866" t="s">
        <v>13651</v>
      </c>
      <c r="I4866" t="s">
        <v>13652</v>
      </c>
      <c r="J4866" t="s">
        <v>634</v>
      </c>
      <c r="K4866" t="s">
        <v>55</v>
      </c>
      <c r="L4866" t="s">
        <v>635</v>
      </c>
      <c r="M4866" t="s">
        <v>57</v>
      </c>
      <c r="N4866" t="str">
        <f>"043687"</f>
        <v>043687</v>
      </c>
      <c r="O4866" t="s">
        <v>2948</v>
      </c>
      <c r="P4866" t="s">
        <v>68</v>
      </c>
      <c r="Q4866">
        <v>64.2</v>
      </c>
      <c r="R4866">
        <v>9.7999999999999972</v>
      </c>
      <c r="S4866" t="s">
        <v>156</v>
      </c>
    </row>
    <row r="4867" spans="1:19" x14ac:dyDescent="0.35">
      <c r="A4867">
        <v>11748</v>
      </c>
      <c r="B4867" t="str">
        <f>"011748"</f>
        <v>011748</v>
      </c>
      <c r="C4867" t="s">
        <v>13653</v>
      </c>
      <c r="D4867" t="s">
        <v>3394</v>
      </c>
      <c r="E4867" t="s">
        <v>3395</v>
      </c>
      <c r="F4867" t="s">
        <v>3396</v>
      </c>
      <c r="G4867" t="s">
        <v>554</v>
      </c>
      <c r="H4867" t="s">
        <v>13654</v>
      </c>
      <c r="I4867" t="s">
        <v>13655</v>
      </c>
      <c r="J4867" t="s">
        <v>1184</v>
      </c>
      <c r="K4867" t="s">
        <v>55</v>
      </c>
      <c r="L4867" t="s">
        <v>1185</v>
      </c>
      <c r="M4867" t="s">
        <v>57</v>
      </c>
      <c r="N4867" t="str">
        <f>"044982"</f>
        <v>044982</v>
      </c>
      <c r="O4867" t="s">
        <v>1181</v>
      </c>
      <c r="P4867" t="s">
        <v>68</v>
      </c>
      <c r="Q4867">
        <v>30.9</v>
      </c>
      <c r="R4867">
        <v>6.9000000000000057</v>
      </c>
      <c r="S4867" t="s">
        <v>156</v>
      </c>
    </row>
    <row r="4868" spans="1:19" x14ac:dyDescent="0.35">
      <c r="A4868">
        <v>11749</v>
      </c>
      <c r="B4868" t="str">
        <f>"011749"</f>
        <v>011749</v>
      </c>
      <c r="C4868" t="s">
        <v>13656</v>
      </c>
      <c r="D4868" t="s">
        <v>3506</v>
      </c>
      <c r="E4868" t="s">
        <v>3395</v>
      </c>
      <c r="F4868" t="s">
        <v>3396</v>
      </c>
      <c r="G4868" t="s">
        <v>554</v>
      </c>
      <c r="H4868" t="s">
        <v>8978</v>
      </c>
      <c r="I4868" t="s">
        <v>8979</v>
      </c>
      <c r="J4868" t="s">
        <v>1184</v>
      </c>
      <c r="K4868" t="s">
        <v>55</v>
      </c>
      <c r="L4868" t="s">
        <v>1185</v>
      </c>
      <c r="M4868" t="s">
        <v>57</v>
      </c>
      <c r="N4868" t="str">
        <f>"044982"</f>
        <v>044982</v>
      </c>
      <c r="O4868" t="s">
        <v>1181</v>
      </c>
      <c r="P4868" t="s">
        <v>68</v>
      </c>
      <c r="Q4868">
        <v>33.299999999999997</v>
      </c>
      <c r="R4868">
        <v>3.7999999999999972</v>
      </c>
      <c r="S4868" t="s">
        <v>156</v>
      </c>
    </row>
    <row r="4869" spans="1:19" x14ac:dyDescent="0.35">
      <c r="A4869">
        <v>11768</v>
      </c>
      <c r="B4869" t="str">
        <f>"011768"</f>
        <v>011768</v>
      </c>
      <c r="C4869" t="s">
        <v>13657</v>
      </c>
      <c r="D4869" t="s">
        <v>3400</v>
      </c>
      <c r="E4869" t="s">
        <v>3395</v>
      </c>
      <c r="F4869" t="s">
        <v>3396</v>
      </c>
      <c r="G4869" t="s">
        <v>331</v>
      </c>
      <c r="H4869" t="s">
        <v>2269</v>
      </c>
      <c r="I4869" t="s">
        <v>2270</v>
      </c>
      <c r="J4869" t="s">
        <v>2271</v>
      </c>
      <c r="K4869" t="s">
        <v>55</v>
      </c>
      <c r="L4869" t="s">
        <v>2272</v>
      </c>
      <c r="M4869" t="s">
        <v>57</v>
      </c>
      <c r="N4869" t="str">
        <f>"046508"</f>
        <v>046508</v>
      </c>
      <c r="O4869" t="s">
        <v>2268</v>
      </c>
      <c r="P4869" t="s">
        <v>68</v>
      </c>
      <c r="Q4869">
        <v>39.4</v>
      </c>
      <c r="R4869">
        <v>6.5999999999999943</v>
      </c>
      <c r="S4869" t="s">
        <v>156</v>
      </c>
    </row>
    <row r="4870" spans="1:19" x14ac:dyDescent="0.35">
      <c r="A4870">
        <v>11868</v>
      </c>
      <c r="B4870" t="str">
        <f>"011868"</f>
        <v>011868</v>
      </c>
      <c r="C4870" t="s">
        <v>13658</v>
      </c>
      <c r="D4870" t="s">
        <v>3400</v>
      </c>
      <c r="E4870" t="s">
        <v>3395</v>
      </c>
      <c r="F4870" t="s">
        <v>3396</v>
      </c>
      <c r="G4870" t="s">
        <v>212</v>
      </c>
      <c r="H4870" t="s">
        <v>13659</v>
      </c>
      <c r="I4870" t="s">
        <v>13660</v>
      </c>
      <c r="J4870" t="s">
        <v>215</v>
      </c>
      <c r="K4870" t="s">
        <v>55</v>
      </c>
      <c r="L4870" t="s">
        <v>614</v>
      </c>
      <c r="M4870" t="s">
        <v>57</v>
      </c>
      <c r="N4870" t="str">
        <f>"044511"</f>
        <v>044511</v>
      </c>
      <c r="O4870" t="s">
        <v>1163</v>
      </c>
      <c r="P4870" t="s">
        <v>68</v>
      </c>
      <c r="Q4870">
        <v>100</v>
      </c>
      <c r="R4870">
        <v>95.6</v>
      </c>
      <c r="S4870" t="s">
        <v>217</v>
      </c>
    </row>
    <row r="4871" spans="1:19" x14ac:dyDescent="0.35">
      <c r="A4871">
        <v>11923</v>
      </c>
      <c r="B4871" t="str">
        <f>"011923"</f>
        <v>011923</v>
      </c>
      <c r="C4871" t="s">
        <v>13661</v>
      </c>
      <c r="D4871" t="s">
        <v>3398</v>
      </c>
      <c r="E4871" t="s">
        <v>12048</v>
      </c>
      <c r="F4871" t="s">
        <v>3396</v>
      </c>
      <c r="G4871" t="s">
        <v>63</v>
      </c>
      <c r="H4871" t="s">
        <v>13662</v>
      </c>
      <c r="I4871" t="s">
        <v>13663</v>
      </c>
      <c r="J4871" t="s">
        <v>285</v>
      </c>
      <c r="K4871" t="s">
        <v>55</v>
      </c>
      <c r="L4871" t="s">
        <v>7551</v>
      </c>
      <c r="M4871" t="s">
        <v>57</v>
      </c>
      <c r="N4871" t="str">
        <f>"017093"</f>
        <v>017093</v>
      </c>
      <c r="O4871" t="s">
        <v>13664</v>
      </c>
      <c r="P4871" t="s">
        <v>68</v>
      </c>
      <c r="Q4871">
        <v>99.8</v>
      </c>
      <c r="R4871">
        <v>95.3</v>
      </c>
      <c r="S4871" t="s">
        <v>69</v>
      </c>
    </row>
    <row r="4872" spans="1:19" x14ac:dyDescent="0.35">
      <c r="A4872">
        <v>11923</v>
      </c>
      <c r="B4872" t="str">
        <f>"011923"</f>
        <v>011923</v>
      </c>
      <c r="C4872" t="s">
        <v>13661</v>
      </c>
      <c r="D4872" t="s">
        <v>12052</v>
      </c>
      <c r="E4872" t="s">
        <v>12048</v>
      </c>
      <c r="F4872" t="s">
        <v>3396</v>
      </c>
      <c r="G4872" t="s">
        <v>63</v>
      </c>
      <c r="H4872" t="s">
        <v>13662</v>
      </c>
      <c r="I4872" t="s">
        <v>13663</v>
      </c>
      <c r="J4872" t="s">
        <v>285</v>
      </c>
      <c r="K4872" t="s">
        <v>55</v>
      </c>
      <c r="L4872" t="s">
        <v>7551</v>
      </c>
      <c r="M4872" t="s">
        <v>57</v>
      </c>
      <c r="N4872" t="str">
        <f>"017093"</f>
        <v>017093</v>
      </c>
      <c r="O4872" t="s">
        <v>13664</v>
      </c>
      <c r="P4872" t="s">
        <v>68</v>
      </c>
      <c r="Q4872">
        <v>99.8</v>
      </c>
      <c r="R4872">
        <v>95.3</v>
      </c>
      <c r="S4872" t="s">
        <v>69</v>
      </c>
    </row>
    <row r="4873" spans="1:19" x14ac:dyDescent="0.35">
      <c r="A4873">
        <v>11923</v>
      </c>
      <c r="B4873" t="str">
        <f>"011923"</f>
        <v>011923</v>
      </c>
      <c r="C4873" t="s">
        <v>13661</v>
      </c>
      <c r="D4873" t="s">
        <v>12126</v>
      </c>
      <c r="E4873" t="s">
        <v>12048</v>
      </c>
      <c r="F4873" t="s">
        <v>3396</v>
      </c>
      <c r="G4873" t="s">
        <v>63</v>
      </c>
      <c r="H4873" t="s">
        <v>13662</v>
      </c>
      <c r="I4873" t="s">
        <v>13663</v>
      </c>
      <c r="J4873" t="s">
        <v>285</v>
      </c>
      <c r="K4873" t="s">
        <v>55</v>
      </c>
      <c r="L4873" t="s">
        <v>7551</v>
      </c>
      <c r="M4873" t="s">
        <v>57</v>
      </c>
      <c r="N4873" t="str">
        <f>"017093"</f>
        <v>017093</v>
      </c>
      <c r="O4873" t="s">
        <v>13664</v>
      </c>
      <c r="P4873" t="s">
        <v>68</v>
      </c>
      <c r="Q4873">
        <v>99.8</v>
      </c>
      <c r="R4873">
        <v>95.3</v>
      </c>
      <c r="S4873" t="s">
        <v>69</v>
      </c>
    </row>
    <row r="4874" spans="1:19" x14ac:dyDescent="0.35">
      <c r="A4874">
        <v>11923</v>
      </c>
      <c r="B4874" t="str">
        <f>"011923"</f>
        <v>011923</v>
      </c>
      <c r="C4874" t="s">
        <v>13661</v>
      </c>
      <c r="D4874" t="s">
        <v>4572</v>
      </c>
      <c r="E4874" t="s">
        <v>12048</v>
      </c>
      <c r="F4874" t="s">
        <v>3396</v>
      </c>
      <c r="G4874" t="s">
        <v>63</v>
      </c>
      <c r="H4874" t="s">
        <v>13662</v>
      </c>
      <c r="I4874" t="s">
        <v>13663</v>
      </c>
      <c r="J4874" t="s">
        <v>285</v>
      </c>
      <c r="K4874" t="s">
        <v>55</v>
      </c>
      <c r="L4874" t="s">
        <v>7551</v>
      </c>
      <c r="M4874" t="s">
        <v>57</v>
      </c>
      <c r="N4874" t="str">
        <f>"017093"</f>
        <v>017093</v>
      </c>
      <c r="O4874" t="s">
        <v>13664</v>
      </c>
      <c r="P4874" t="s">
        <v>68</v>
      </c>
      <c r="Q4874">
        <v>99.8</v>
      </c>
      <c r="R4874">
        <v>95.3</v>
      </c>
      <c r="S4874" t="s">
        <v>69</v>
      </c>
    </row>
    <row r="4875" spans="1:19" x14ac:dyDescent="0.35">
      <c r="A4875">
        <v>11933</v>
      </c>
      <c r="B4875" t="str">
        <f>"011933"</f>
        <v>011933</v>
      </c>
      <c r="C4875" t="s">
        <v>13665</v>
      </c>
      <c r="D4875" t="s">
        <v>3394</v>
      </c>
      <c r="E4875" t="s">
        <v>9538</v>
      </c>
      <c r="F4875" t="s">
        <v>3396</v>
      </c>
      <c r="G4875" t="s">
        <v>52</v>
      </c>
      <c r="H4875" t="s">
        <v>13666</v>
      </c>
      <c r="I4875" t="s">
        <v>13667</v>
      </c>
      <c r="J4875" t="s">
        <v>52</v>
      </c>
      <c r="K4875" t="s">
        <v>55</v>
      </c>
      <c r="L4875" t="s">
        <v>56</v>
      </c>
      <c r="M4875" t="s">
        <v>57</v>
      </c>
      <c r="N4875" t="str">
        <f>"011933"</f>
        <v>011933</v>
      </c>
      <c r="O4875" t="s">
        <v>13665</v>
      </c>
      <c r="P4875" t="s">
        <v>68</v>
      </c>
      <c r="Q4875" t="s">
        <v>68</v>
      </c>
      <c r="R4875" t="s">
        <v>68</v>
      </c>
      <c r="S4875" t="s">
        <v>60</v>
      </c>
    </row>
    <row r="4876" spans="1:19" x14ac:dyDescent="0.35">
      <c r="A4876">
        <v>11943</v>
      </c>
      <c r="B4876" t="str">
        <f>"011943"</f>
        <v>011943</v>
      </c>
      <c r="C4876" t="s">
        <v>13668</v>
      </c>
      <c r="D4876" t="s">
        <v>3394</v>
      </c>
      <c r="E4876" t="s">
        <v>3395</v>
      </c>
      <c r="F4876" t="s">
        <v>3396</v>
      </c>
      <c r="G4876" t="s">
        <v>1567</v>
      </c>
      <c r="H4876" t="s">
        <v>13669</v>
      </c>
      <c r="I4876" t="s">
        <v>13670</v>
      </c>
      <c r="J4876" t="s">
        <v>13671</v>
      </c>
      <c r="K4876" t="s">
        <v>55</v>
      </c>
      <c r="L4876" t="s">
        <v>3057</v>
      </c>
      <c r="M4876" t="s">
        <v>57</v>
      </c>
      <c r="N4876" t="str">
        <f>"049098"</f>
        <v>049098</v>
      </c>
      <c r="O4876" t="s">
        <v>3053</v>
      </c>
      <c r="P4876" t="s">
        <v>68</v>
      </c>
      <c r="Q4876">
        <v>29.3</v>
      </c>
      <c r="R4876">
        <v>15</v>
      </c>
      <c r="S4876" t="s">
        <v>60</v>
      </c>
    </row>
    <row r="4877" spans="1:19" x14ac:dyDescent="0.35">
      <c r="A4877">
        <v>11947</v>
      </c>
      <c r="B4877" t="str">
        <f>"011947"</f>
        <v>011947</v>
      </c>
      <c r="C4877" t="s">
        <v>13672</v>
      </c>
      <c r="D4877" t="s">
        <v>3394</v>
      </c>
      <c r="E4877" t="s">
        <v>12048</v>
      </c>
      <c r="F4877" t="s">
        <v>3396</v>
      </c>
      <c r="G4877" t="s">
        <v>264</v>
      </c>
      <c r="H4877" t="s">
        <v>13673</v>
      </c>
      <c r="I4877" t="s">
        <v>13674</v>
      </c>
      <c r="J4877" t="s">
        <v>267</v>
      </c>
      <c r="K4877" t="s">
        <v>55</v>
      </c>
      <c r="L4877" t="s">
        <v>4045</v>
      </c>
      <c r="M4877" t="s">
        <v>57</v>
      </c>
      <c r="N4877" t="str">
        <f>"014995"</f>
        <v>014995</v>
      </c>
      <c r="O4877" t="s">
        <v>12501</v>
      </c>
      <c r="P4877" t="s">
        <v>68</v>
      </c>
      <c r="Q4877">
        <v>97.6</v>
      </c>
      <c r="R4877">
        <v>100</v>
      </c>
      <c r="S4877" t="s">
        <v>77</v>
      </c>
    </row>
    <row r="4878" spans="1:19" x14ac:dyDescent="0.35">
      <c r="A4878">
        <v>11947</v>
      </c>
      <c r="B4878" t="str">
        <f>"011947"</f>
        <v>011947</v>
      </c>
      <c r="C4878" t="s">
        <v>13672</v>
      </c>
      <c r="D4878" t="s">
        <v>12052</v>
      </c>
      <c r="E4878" t="s">
        <v>12048</v>
      </c>
      <c r="F4878" t="s">
        <v>3396</v>
      </c>
      <c r="G4878" t="s">
        <v>264</v>
      </c>
      <c r="H4878" t="s">
        <v>13673</v>
      </c>
      <c r="I4878" t="s">
        <v>13674</v>
      </c>
      <c r="J4878" t="s">
        <v>267</v>
      </c>
      <c r="K4878" t="s">
        <v>55</v>
      </c>
      <c r="L4878" t="s">
        <v>4045</v>
      </c>
      <c r="M4878" t="s">
        <v>57</v>
      </c>
      <c r="N4878" t="str">
        <f>"014995"</f>
        <v>014995</v>
      </c>
      <c r="O4878" t="s">
        <v>12501</v>
      </c>
      <c r="P4878" t="s">
        <v>68</v>
      </c>
      <c r="Q4878">
        <v>97.6</v>
      </c>
      <c r="R4878">
        <v>100</v>
      </c>
      <c r="S4878" t="s">
        <v>77</v>
      </c>
    </row>
    <row r="4879" spans="1:19" x14ac:dyDescent="0.35">
      <c r="A4879">
        <v>11967</v>
      </c>
      <c r="B4879" t="str">
        <f>"011967"</f>
        <v>011967</v>
      </c>
      <c r="C4879" t="s">
        <v>13675</v>
      </c>
      <c r="D4879" t="s">
        <v>3400</v>
      </c>
      <c r="E4879" t="s">
        <v>12048</v>
      </c>
      <c r="F4879" t="s">
        <v>3396</v>
      </c>
      <c r="G4879" t="s">
        <v>663</v>
      </c>
      <c r="H4879" t="s">
        <v>13676</v>
      </c>
      <c r="I4879" t="s">
        <v>13677</v>
      </c>
      <c r="J4879" t="s">
        <v>666</v>
      </c>
      <c r="K4879" t="s">
        <v>55</v>
      </c>
      <c r="L4879" t="s">
        <v>1605</v>
      </c>
      <c r="M4879" t="s">
        <v>57</v>
      </c>
      <c r="N4879" t="str">
        <f>"N/A"</f>
        <v>N/A</v>
      </c>
      <c r="O4879" t="s">
        <v>49</v>
      </c>
      <c r="P4879" t="s">
        <v>68</v>
      </c>
      <c r="Q4879">
        <v>98.9</v>
      </c>
      <c r="R4879">
        <v>52.3</v>
      </c>
      <c r="S4879" t="s">
        <v>77</v>
      </c>
    </row>
    <row r="4880" spans="1:19" x14ac:dyDescent="0.35">
      <c r="A4880">
        <v>11967</v>
      </c>
      <c r="B4880" t="str">
        <f>"011967"</f>
        <v>011967</v>
      </c>
      <c r="C4880" t="s">
        <v>13675</v>
      </c>
      <c r="D4880" t="s">
        <v>12052</v>
      </c>
      <c r="E4880" t="s">
        <v>12048</v>
      </c>
      <c r="F4880" t="s">
        <v>3396</v>
      </c>
      <c r="G4880" t="s">
        <v>663</v>
      </c>
      <c r="H4880" t="s">
        <v>13676</v>
      </c>
      <c r="I4880" t="s">
        <v>13677</v>
      </c>
      <c r="J4880" t="s">
        <v>666</v>
      </c>
      <c r="K4880" t="s">
        <v>55</v>
      </c>
      <c r="L4880" t="s">
        <v>1605</v>
      </c>
      <c r="M4880" t="s">
        <v>57</v>
      </c>
      <c r="N4880" t="str">
        <f>"N/A"</f>
        <v>N/A</v>
      </c>
      <c r="O4880" t="s">
        <v>49</v>
      </c>
      <c r="P4880" t="s">
        <v>68</v>
      </c>
      <c r="Q4880">
        <v>98.9</v>
      </c>
      <c r="R4880">
        <v>52.3</v>
      </c>
      <c r="S4880" t="s">
        <v>77</v>
      </c>
    </row>
    <row r="4881" spans="1:19" x14ac:dyDescent="0.35">
      <c r="A4881">
        <v>11972</v>
      </c>
      <c r="B4881" t="str">
        <f>"011972"</f>
        <v>011972</v>
      </c>
      <c r="C4881" t="s">
        <v>13678</v>
      </c>
      <c r="D4881" t="s">
        <v>3506</v>
      </c>
      <c r="E4881" t="s">
        <v>12048</v>
      </c>
      <c r="F4881" t="s">
        <v>3396</v>
      </c>
      <c r="G4881" t="s">
        <v>600</v>
      </c>
      <c r="H4881" t="s">
        <v>13679</v>
      </c>
      <c r="I4881" t="s">
        <v>13680</v>
      </c>
      <c r="J4881" t="s">
        <v>1348</v>
      </c>
      <c r="K4881" t="s">
        <v>55</v>
      </c>
      <c r="L4881" t="s">
        <v>9099</v>
      </c>
      <c r="M4881" t="s">
        <v>57</v>
      </c>
      <c r="N4881" t="str">
        <f>"133421"</f>
        <v>133421</v>
      </c>
      <c r="O4881" t="s">
        <v>13150</v>
      </c>
      <c r="P4881" t="s">
        <v>68</v>
      </c>
      <c r="Q4881">
        <v>80.5</v>
      </c>
      <c r="R4881">
        <v>77</v>
      </c>
      <c r="S4881" t="s">
        <v>60</v>
      </c>
    </row>
    <row r="4882" spans="1:19" x14ac:dyDescent="0.35">
      <c r="A4882">
        <v>11972</v>
      </c>
      <c r="B4882" t="str">
        <f>"011972"</f>
        <v>011972</v>
      </c>
      <c r="C4882" t="s">
        <v>13678</v>
      </c>
      <c r="D4882" t="s">
        <v>12052</v>
      </c>
      <c r="E4882" t="s">
        <v>12048</v>
      </c>
      <c r="F4882" t="s">
        <v>3396</v>
      </c>
      <c r="G4882" t="s">
        <v>600</v>
      </c>
      <c r="H4882" t="s">
        <v>13679</v>
      </c>
      <c r="I4882" t="s">
        <v>13680</v>
      </c>
      <c r="J4882" t="s">
        <v>1348</v>
      </c>
      <c r="K4882" t="s">
        <v>55</v>
      </c>
      <c r="L4882" t="s">
        <v>9099</v>
      </c>
      <c r="M4882" t="s">
        <v>57</v>
      </c>
      <c r="N4882" t="str">
        <f>"133421"</f>
        <v>133421</v>
      </c>
      <c r="O4882" t="s">
        <v>13150</v>
      </c>
      <c r="P4882" t="s">
        <v>68</v>
      </c>
      <c r="Q4882">
        <v>80.5</v>
      </c>
      <c r="R4882">
        <v>77</v>
      </c>
      <c r="S4882" t="s">
        <v>60</v>
      </c>
    </row>
    <row r="4883" spans="1:19" x14ac:dyDescent="0.35">
      <c r="A4883">
        <v>11976</v>
      </c>
      <c r="B4883" t="str">
        <f>"011976"</f>
        <v>011976</v>
      </c>
      <c r="C4883" t="s">
        <v>13681</v>
      </c>
      <c r="D4883" t="s">
        <v>3506</v>
      </c>
      <c r="E4883" t="s">
        <v>12048</v>
      </c>
      <c r="F4883" t="s">
        <v>3396</v>
      </c>
      <c r="G4883" t="s">
        <v>543</v>
      </c>
      <c r="H4883" t="s">
        <v>13682</v>
      </c>
      <c r="I4883" t="s">
        <v>13683</v>
      </c>
      <c r="J4883" t="s">
        <v>687</v>
      </c>
      <c r="K4883" t="s">
        <v>55</v>
      </c>
      <c r="L4883" t="s">
        <v>6159</v>
      </c>
      <c r="M4883" t="s">
        <v>57</v>
      </c>
      <c r="N4883" t="str">
        <f>"014979"</f>
        <v>014979</v>
      </c>
      <c r="O4883" t="s">
        <v>12185</v>
      </c>
      <c r="P4883" t="s">
        <v>68</v>
      </c>
      <c r="Q4883">
        <v>100</v>
      </c>
      <c r="R4883">
        <v>56.2</v>
      </c>
      <c r="S4883" t="s">
        <v>180</v>
      </c>
    </row>
    <row r="4884" spans="1:19" x14ac:dyDescent="0.35">
      <c r="A4884">
        <v>11976</v>
      </c>
      <c r="B4884" t="str">
        <f>"011976"</f>
        <v>011976</v>
      </c>
      <c r="C4884" t="s">
        <v>13681</v>
      </c>
      <c r="D4884" t="s">
        <v>12052</v>
      </c>
      <c r="E4884" t="s">
        <v>12048</v>
      </c>
      <c r="F4884" t="s">
        <v>3396</v>
      </c>
      <c r="G4884" t="s">
        <v>543</v>
      </c>
      <c r="H4884" t="s">
        <v>13682</v>
      </c>
      <c r="I4884" t="s">
        <v>13683</v>
      </c>
      <c r="J4884" t="s">
        <v>687</v>
      </c>
      <c r="K4884" t="s">
        <v>55</v>
      </c>
      <c r="L4884" t="s">
        <v>6159</v>
      </c>
      <c r="M4884" t="s">
        <v>57</v>
      </c>
      <c r="N4884" t="str">
        <f>"014979"</f>
        <v>014979</v>
      </c>
      <c r="O4884" t="s">
        <v>12185</v>
      </c>
      <c r="P4884" t="s">
        <v>68</v>
      </c>
      <c r="Q4884">
        <v>100</v>
      </c>
      <c r="R4884">
        <v>56.2</v>
      </c>
      <c r="S4884" t="s">
        <v>180</v>
      </c>
    </row>
    <row r="4885" spans="1:19" x14ac:dyDescent="0.35">
      <c r="A4885">
        <v>11986</v>
      </c>
      <c r="B4885" t="str">
        <f>"011986"</f>
        <v>011986</v>
      </c>
      <c r="C4885" t="s">
        <v>13684</v>
      </c>
      <c r="D4885" t="s">
        <v>3394</v>
      </c>
      <c r="E4885" t="s">
        <v>12048</v>
      </c>
      <c r="F4885" t="s">
        <v>3396</v>
      </c>
      <c r="G4885" t="s">
        <v>383</v>
      </c>
      <c r="H4885" t="s">
        <v>13685</v>
      </c>
      <c r="I4885" t="s">
        <v>13686</v>
      </c>
      <c r="J4885" t="s">
        <v>1215</v>
      </c>
      <c r="K4885" t="s">
        <v>55</v>
      </c>
      <c r="L4885" t="s">
        <v>9578</v>
      </c>
      <c r="M4885" t="s">
        <v>57</v>
      </c>
      <c r="N4885" t="str">
        <f>"014979"</f>
        <v>014979</v>
      </c>
      <c r="O4885" t="s">
        <v>12185</v>
      </c>
      <c r="P4885" t="s">
        <v>68</v>
      </c>
      <c r="Q4885">
        <v>100</v>
      </c>
      <c r="R4885">
        <v>93.7</v>
      </c>
      <c r="S4885" t="s">
        <v>77</v>
      </c>
    </row>
    <row r="4886" spans="1:19" x14ac:dyDescent="0.35">
      <c r="A4886">
        <v>11986</v>
      </c>
      <c r="B4886" t="str">
        <f>"011986"</f>
        <v>011986</v>
      </c>
      <c r="C4886" t="s">
        <v>13684</v>
      </c>
      <c r="D4886" t="s">
        <v>12052</v>
      </c>
      <c r="E4886" t="s">
        <v>12048</v>
      </c>
      <c r="F4886" t="s">
        <v>3396</v>
      </c>
      <c r="G4886" t="s">
        <v>383</v>
      </c>
      <c r="H4886" t="s">
        <v>13685</v>
      </c>
      <c r="I4886" t="s">
        <v>13686</v>
      </c>
      <c r="J4886" t="s">
        <v>1215</v>
      </c>
      <c r="K4886" t="s">
        <v>55</v>
      </c>
      <c r="L4886" t="s">
        <v>9578</v>
      </c>
      <c r="M4886" t="s">
        <v>57</v>
      </c>
      <c r="N4886" t="str">
        <f>"014979"</f>
        <v>014979</v>
      </c>
      <c r="O4886" t="s">
        <v>12185</v>
      </c>
      <c r="P4886" t="s">
        <v>68</v>
      </c>
      <c r="Q4886">
        <v>100</v>
      </c>
      <c r="R4886">
        <v>93.7</v>
      </c>
      <c r="S4886" t="s">
        <v>77</v>
      </c>
    </row>
    <row r="4887" spans="1:19" x14ac:dyDescent="0.35">
      <c r="A4887">
        <v>11993</v>
      </c>
      <c r="B4887" t="str">
        <f>"011993"</f>
        <v>011993</v>
      </c>
      <c r="C4887" t="s">
        <v>13687</v>
      </c>
      <c r="D4887" t="s">
        <v>3394</v>
      </c>
      <c r="E4887" t="s">
        <v>3395</v>
      </c>
      <c r="F4887" t="s">
        <v>3396</v>
      </c>
      <c r="G4887" t="s">
        <v>543</v>
      </c>
      <c r="H4887" t="s">
        <v>13688</v>
      </c>
      <c r="I4887" t="s">
        <v>13689</v>
      </c>
      <c r="J4887" t="s">
        <v>790</v>
      </c>
      <c r="K4887" t="s">
        <v>55</v>
      </c>
      <c r="L4887" t="s">
        <v>791</v>
      </c>
      <c r="M4887" t="s">
        <v>57</v>
      </c>
      <c r="N4887" t="str">
        <f>"044396"</f>
        <v>044396</v>
      </c>
      <c r="O4887" t="s">
        <v>787</v>
      </c>
      <c r="P4887" t="s">
        <v>68</v>
      </c>
      <c r="Q4887">
        <v>44.5</v>
      </c>
      <c r="R4887">
        <v>25.599999999999994</v>
      </c>
      <c r="S4887" t="s">
        <v>180</v>
      </c>
    </row>
    <row r="4888" spans="1:19" x14ac:dyDescent="0.35">
      <c r="A4888">
        <v>11994</v>
      </c>
      <c r="B4888" t="str">
        <f>"011994"</f>
        <v>011994</v>
      </c>
      <c r="C4888" t="s">
        <v>13690</v>
      </c>
      <c r="D4888" t="s">
        <v>3400</v>
      </c>
      <c r="E4888" t="s">
        <v>3395</v>
      </c>
      <c r="F4888" t="s">
        <v>3396</v>
      </c>
      <c r="G4888" t="s">
        <v>331</v>
      </c>
      <c r="H4888" t="s">
        <v>632</v>
      </c>
      <c r="I4888" t="s">
        <v>633</v>
      </c>
      <c r="J4888" t="s">
        <v>634</v>
      </c>
      <c r="K4888" t="s">
        <v>55</v>
      </c>
      <c r="L4888" t="s">
        <v>635</v>
      </c>
      <c r="M4888" t="s">
        <v>57</v>
      </c>
      <c r="N4888" t="str">
        <f>"046524"</f>
        <v>046524</v>
      </c>
      <c r="O4888" t="s">
        <v>631</v>
      </c>
      <c r="P4888" t="s">
        <v>68</v>
      </c>
      <c r="Q4888">
        <v>41.9</v>
      </c>
      <c r="R4888">
        <v>1.2999999999999972</v>
      </c>
      <c r="S4888" t="s">
        <v>156</v>
      </c>
    </row>
    <row r="4889" spans="1:19" x14ac:dyDescent="0.35">
      <c r="A4889">
        <v>11995</v>
      </c>
      <c r="B4889" t="str">
        <f>"011995"</f>
        <v>011995</v>
      </c>
      <c r="C4889" t="s">
        <v>13691</v>
      </c>
      <c r="D4889" t="s">
        <v>3398</v>
      </c>
      <c r="E4889" t="s">
        <v>3395</v>
      </c>
      <c r="F4889" t="s">
        <v>3396</v>
      </c>
      <c r="G4889" t="s">
        <v>600</v>
      </c>
      <c r="H4889" t="s">
        <v>13692</v>
      </c>
      <c r="I4889" t="s">
        <v>13693</v>
      </c>
      <c r="J4889" t="s">
        <v>1348</v>
      </c>
      <c r="K4889" t="s">
        <v>55</v>
      </c>
      <c r="L4889" t="s">
        <v>3736</v>
      </c>
      <c r="M4889" t="s">
        <v>57</v>
      </c>
      <c r="N4889" t="str">
        <f>"043802"</f>
        <v>043802</v>
      </c>
      <c r="O4889" t="s">
        <v>3171</v>
      </c>
      <c r="P4889" t="s">
        <v>68</v>
      </c>
      <c r="Q4889">
        <v>100</v>
      </c>
      <c r="R4889">
        <v>97</v>
      </c>
      <c r="S4889" t="s">
        <v>60</v>
      </c>
    </row>
    <row r="4890" spans="1:19" x14ac:dyDescent="0.35">
      <c r="A4890">
        <v>11996</v>
      </c>
      <c r="B4890" t="str">
        <f>"011996"</f>
        <v>011996</v>
      </c>
      <c r="C4890" t="s">
        <v>13694</v>
      </c>
      <c r="D4890" t="s">
        <v>3400</v>
      </c>
      <c r="E4890" t="s">
        <v>3395</v>
      </c>
      <c r="F4890" t="s">
        <v>3396</v>
      </c>
      <c r="G4890" t="s">
        <v>600</v>
      </c>
      <c r="H4890" t="s">
        <v>13695</v>
      </c>
      <c r="I4890" t="s">
        <v>13696</v>
      </c>
      <c r="J4890" t="s">
        <v>1348</v>
      </c>
      <c r="K4890" t="s">
        <v>55</v>
      </c>
      <c r="L4890" t="s">
        <v>4906</v>
      </c>
      <c r="M4890" t="s">
        <v>57</v>
      </c>
      <c r="N4890" t="str">
        <f>"043802"</f>
        <v>043802</v>
      </c>
      <c r="O4890" t="s">
        <v>3171</v>
      </c>
      <c r="P4890" t="s">
        <v>68</v>
      </c>
      <c r="Q4890">
        <v>100</v>
      </c>
      <c r="R4890">
        <v>91.3</v>
      </c>
      <c r="S4890" t="s">
        <v>60</v>
      </c>
    </row>
    <row r="4891" spans="1:19" x14ac:dyDescent="0.35">
      <c r="A4891">
        <v>11997</v>
      </c>
      <c r="B4891" t="str">
        <f>"011997"</f>
        <v>011997</v>
      </c>
      <c r="C4891" t="s">
        <v>13697</v>
      </c>
      <c r="D4891" t="s">
        <v>3400</v>
      </c>
      <c r="E4891" t="s">
        <v>3395</v>
      </c>
      <c r="F4891" t="s">
        <v>3396</v>
      </c>
      <c r="G4891" t="s">
        <v>600</v>
      </c>
      <c r="H4891" t="s">
        <v>13698</v>
      </c>
      <c r="I4891" t="s">
        <v>13699</v>
      </c>
      <c r="J4891" t="s">
        <v>1348</v>
      </c>
      <c r="K4891" t="s">
        <v>55</v>
      </c>
      <c r="L4891" t="s">
        <v>1890</v>
      </c>
      <c r="M4891" t="s">
        <v>57</v>
      </c>
      <c r="N4891" t="str">
        <f>"043802"</f>
        <v>043802</v>
      </c>
      <c r="O4891" t="s">
        <v>3171</v>
      </c>
      <c r="P4891" t="s">
        <v>68</v>
      </c>
      <c r="Q4891">
        <v>100</v>
      </c>
      <c r="R4891">
        <v>90.5</v>
      </c>
      <c r="S4891" t="s">
        <v>60</v>
      </c>
    </row>
    <row r="4892" spans="1:19" x14ac:dyDescent="0.35">
      <c r="A4892">
        <v>12009</v>
      </c>
      <c r="B4892" t="str">
        <f>"012009"</f>
        <v>012009</v>
      </c>
      <c r="C4892" t="s">
        <v>13700</v>
      </c>
      <c r="D4892" t="s">
        <v>3394</v>
      </c>
      <c r="E4892" t="s">
        <v>12048</v>
      </c>
      <c r="F4892" t="s">
        <v>3396</v>
      </c>
      <c r="G4892" t="s">
        <v>600</v>
      </c>
      <c r="H4892" t="s">
        <v>13701</v>
      </c>
      <c r="I4892" t="s">
        <v>13702</v>
      </c>
      <c r="J4892" t="s">
        <v>1348</v>
      </c>
      <c r="K4892" t="s">
        <v>55</v>
      </c>
      <c r="L4892" t="s">
        <v>3568</v>
      </c>
      <c r="M4892" t="s">
        <v>57</v>
      </c>
      <c r="N4892" t="str">
        <f>"015667"</f>
        <v>015667</v>
      </c>
      <c r="O4892" t="s">
        <v>13062</v>
      </c>
      <c r="P4892" t="s">
        <v>68</v>
      </c>
      <c r="Q4892">
        <v>100</v>
      </c>
      <c r="R4892">
        <v>95.7</v>
      </c>
      <c r="S4892" t="s">
        <v>60</v>
      </c>
    </row>
    <row r="4893" spans="1:19" x14ac:dyDescent="0.35">
      <c r="A4893">
        <v>12009</v>
      </c>
      <c r="B4893" t="str">
        <f>"012009"</f>
        <v>012009</v>
      </c>
      <c r="C4893" t="s">
        <v>13700</v>
      </c>
      <c r="D4893" t="s">
        <v>12052</v>
      </c>
      <c r="E4893" t="s">
        <v>12048</v>
      </c>
      <c r="F4893" t="s">
        <v>3396</v>
      </c>
      <c r="G4893" t="s">
        <v>600</v>
      </c>
      <c r="H4893" t="s">
        <v>13701</v>
      </c>
      <c r="I4893" t="s">
        <v>13702</v>
      </c>
      <c r="J4893" t="s">
        <v>1348</v>
      </c>
      <c r="K4893" t="s">
        <v>55</v>
      </c>
      <c r="L4893" t="s">
        <v>3568</v>
      </c>
      <c r="M4893" t="s">
        <v>57</v>
      </c>
      <c r="N4893" t="str">
        <f>"015667"</f>
        <v>015667</v>
      </c>
      <c r="O4893" t="s">
        <v>13062</v>
      </c>
      <c r="P4893" t="s">
        <v>68</v>
      </c>
      <c r="Q4893">
        <v>100</v>
      </c>
      <c r="R4893">
        <v>95.7</v>
      </c>
      <c r="S4893" t="s">
        <v>60</v>
      </c>
    </row>
    <row r="4894" spans="1:19" x14ac:dyDescent="0.35">
      <c r="A4894">
        <v>12010</v>
      </c>
      <c r="B4894" t="str">
        <f>"012010"</f>
        <v>012010</v>
      </c>
      <c r="C4894" t="s">
        <v>13703</v>
      </c>
      <c r="D4894" t="s">
        <v>3398</v>
      </c>
      <c r="E4894" t="s">
        <v>12048</v>
      </c>
      <c r="F4894" t="s">
        <v>3396</v>
      </c>
      <c r="G4894" t="s">
        <v>63</v>
      </c>
      <c r="H4894" t="s">
        <v>13704</v>
      </c>
      <c r="I4894" t="s">
        <v>13705</v>
      </c>
      <c r="J4894" t="s">
        <v>285</v>
      </c>
      <c r="K4894" t="s">
        <v>55</v>
      </c>
      <c r="L4894" t="s">
        <v>4335</v>
      </c>
      <c r="M4894" t="s">
        <v>57</v>
      </c>
      <c r="N4894" t="str">
        <f>"017093"</f>
        <v>017093</v>
      </c>
      <c r="O4894" t="s">
        <v>13664</v>
      </c>
      <c r="P4894" t="s">
        <v>68</v>
      </c>
      <c r="Q4894">
        <v>100</v>
      </c>
      <c r="R4894">
        <v>100</v>
      </c>
      <c r="S4894" t="s">
        <v>69</v>
      </c>
    </row>
    <row r="4895" spans="1:19" x14ac:dyDescent="0.35">
      <c r="A4895">
        <v>12010</v>
      </c>
      <c r="B4895" t="str">
        <f>"012010"</f>
        <v>012010</v>
      </c>
      <c r="C4895" t="s">
        <v>13703</v>
      </c>
      <c r="D4895" t="s">
        <v>12052</v>
      </c>
      <c r="E4895" t="s">
        <v>12048</v>
      </c>
      <c r="F4895" t="s">
        <v>3396</v>
      </c>
      <c r="G4895" t="s">
        <v>63</v>
      </c>
      <c r="H4895" t="s">
        <v>13704</v>
      </c>
      <c r="I4895" t="s">
        <v>13705</v>
      </c>
      <c r="J4895" t="s">
        <v>285</v>
      </c>
      <c r="K4895" t="s">
        <v>55</v>
      </c>
      <c r="L4895" t="s">
        <v>4335</v>
      </c>
      <c r="M4895" t="s">
        <v>57</v>
      </c>
      <c r="N4895" t="str">
        <f>"017093"</f>
        <v>017093</v>
      </c>
      <c r="O4895" t="s">
        <v>13664</v>
      </c>
      <c r="P4895" t="s">
        <v>68</v>
      </c>
      <c r="Q4895">
        <v>100</v>
      </c>
      <c r="R4895">
        <v>100</v>
      </c>
      <c r="S4895" t="s">
        <v>69</v>
      </c>
    </row>
    <row r="4896" spans="1:19" x14ac:dyDescent="0.35">
      <c r="A4896">
        <v>12010</v>
      </c>
      <c r="B4896" t="str">
        <f>"012010"</f>
        <v>012010</v>
      </c>
      <c r="C4896" t="s">
        <v>13703</v>
      </c>
      <c r="D4896" t="s">
        <v>12126</v>
      </c>
      <c r="E4896" t="s">
        <v>12048</v>
      </c>
      <c r="F4896" t="s">
        <v>3396</v>
      </c>
      <c r="G4896" t="s">
        <v>63</v>
      </c>
      <c r="H4896" t="s">
        <v>13704</v>
      </c>
      <c r="I4896" t="s">
        <v>13705</v>
      </c>
      <c r="J4896" t="s">
        <v>285</v>
      </c>
      <c r="K4896" t="s">
        <v>55</v>
      </c>
      <c r="L4896" t="s">
        <v>4335</v>
      </c>
      <c r="M4896" t="s">
        <v>57</v>
      </c>
      <c r="N4896" t="str">
        <f>"017093"</f>
        <v>017093</v>
      </c>
      <c r="O4896" t="s">
        <v>13664</v>
      </c>
      <c r="P4896" t="s">
        <v>68</v>
      </c>
      <c r="Q4896">
        <v>100</v>
      </c>
      <c r="R4896">
        <v>100</v>
      </c>
      <c r="S4896" t="s">
        <v>69</v>
      </c>
    </row>
    <row r="4897" spans="1:19" x14ac:dyDescent="0.35">
      <c r="A4897">
        <v>12010</v>
      </c>
      <c r="B4897" t="str">
        <f>"012010"</f>
        <v>012010</v>
      </c>
      <c r="C4897" t="s">
        <v>13703</v>
      </c>
      <c r="D4897" t="s">
        <v>4572</v>
      </c>
      <c r="E4897" t="s">
        <v>12048</v>
      </c>
      <c r="F4897" t="s">
        <v>3396</v>
      </c>
      <c r="G4897" t="s">
        <v>63</v>
      </c>
      <c r="H4897" t="s">
        <v>13704</v>
      </c>
      <c r="I4897" t="s">
        <v>13705</v>
      </c>
      <c r="J4897" t="s">
        <v>285</v>
      </c>
      <c r="K4897" t="s">
        <v>55</v>
      </c>
      <c r="L4897" t="s">
        <v>4335</v>
      </c>
      <c r="M4897" t="s">
        <v>57</v>
      </c>
      <c r="N4897" t="str">
        <f>"017093"</f>
        <v>017093</v>
      </c>
      <c r="O4897" t="s">
        <v>13664</v>
      </c>
      <c r="P4897" t="s">
        <v>68</v>
      </c>
      <c r="Q4897">
        <v>100</v>
      </c>
      <c r="R4897">
        <v>100</v>
      </c>
      <c r="S4897" t="s">
        <v>69</v>
      </c>
    </row>
    <row r="4898" spans="1:19" x14ac:dyDescent="0.35">
      <c r="A4898">
        <v>12011</v>
      </c>
      <c r="B4898" t="str">
        <f>"012011"</f>
        <v>012011</v>
      </c>
      <c r="C4898" t="s">
        <v>13706</v>
      </c>
      <c r="D4898" t="s">
        <v>3394</v>
      </c>
      <c r="E4898" t="s">
        <v>12048</v>
      </c>
      <c r="F4898" t="s">
        <v>3396</v>
      </c>
      <c r="G4898" t="s">
        <v>600</v>
      </c>
      <c r="H4898" t="s">
        <v>13707</v>
      </c>
      <c r="I4898" t="s">
        <v>13708</v>
      </c>
      <c r="J4898" t="s">
        <v>1348</v>
      </c>
      <c r="K4898" t="s">
        <v>55</v>
      </c>
      <c r="L4898" t="s">
        <v>9099</v>
      </c>
      <c r="M4898" t="s">
        <v>57</v>
      </c>
      <c r="N4898" t="str">
        <f>"014997"</f>
        <v>014997</v>
      </c>
      <c r="O4898" t="s">
        <v>12505</v>
      </c>
      <c r="P4898" t="s">
        <v>68</v>
      </c>
      <c r="Q4898">
        <v>100</v>
      </c>
      <c r="R4898">
        <v>100</v>
      </c>
      <c r="S4898" t="s">
        <v>60</v>
      </c>
    </row>
    <row r="4899" spans="1:19" x14ac:dyDescent="0.35">
      <c r="A4899">
        <v>12011</v>
      </c>
      <c r="B4899" t="str">
        <f>"012011"</f>
        <v>012011</v>
      </c>
      <c r="C4899" t="s">
        <v>13706</v>
      </c>
      <c r="D4899" t="s">
        <v>12052</v>
      </c>
      <c r="E4899" t="s">
        <v>12048</v>
      </c>
      <c r="F4899" t="s">
        <v>3396</v>
      </c>
      <c r="G4899" t="s">
        <v>600</v>
      </c>
      <c r="H4899" t="s">
        <v>13707</v>
      </c>
      <c r="I4899" t="s">
        <v>13708</v>
      </c>
      <c r="J4899" t="s">
        <v>1348</v>
      </c>
      <c r="K4899" t="s">
        <v>55</v>
      </c>
      <c r="L4899" t="s">
        <v>9099</v>
      </c>
      <c r="M4899" t="s">
        <v>57</v>
      </c>
      <c r="N4899" t="str">
        <f>"014997"</f>
        <v>014997</v>
      </c>
      <c r="O4899" t="s">
        <v>12505</v>
      </c>
      <c r="P4899" t="s">
        <v>68</v>
      </c>
      <c r="Q4899">
        <v>100</v>
      </c>
      <c r="R4899">
        <v>100</v>
      </c>
      <c r="S4899" t="s">
        <v>60</v>
      </c>
    </row>
    <row r="4900" spans="1:19" x14ac:dyDescent="0.35">
      <c r="A4900">
        <v>12015</v>
      </c>
      <c r="B4900" t="str">
        <f>"012015"</f>
        <v>012015</v>
      </c>
      <c r="C4900" t="s">
        <v>13709</v>
      </c>
      <c r="D4900" t="s">
        <v>3394</v>
      </c>
      <c r="E4900" t="s">
        <v>3395</v>
      </c>
      <c r="F4900" t="s">
        <v>3396</v>
      </c>
      <c r="G4900" t="s">
        <v>132</v>
      </c>
      <c r="H4900" t="s">
        <v>13710</v>
      </c>
      <c r="I4900" t="s">
        <v>13711</v>
      </c>
      <c r="J4900" t="s">
        <v>3180</v>
      </c>
      <c r="K4900" t="s">
        <v>55</v>
      </c>
      <c r="L4900" t="s">
        <v>3181</v>
      </c>
      <c r="M4900" t="s">
        <v>57</v>
      </c>
      <c r="N4900" t="str">
        <f>"044057"</f>
        <v>044057</v>
      </c>
      <c r="O4900" t="s">
        <v>3177</v>
      </c>
      <c r="P4900" t="s">
        <v>68</v>
      </c>
      <c r="Q4900">
        <v>67.8</v>
      </c>
      <c r="R4900">
        <v>10.599999999999994</v>
      </c>
      <c r="S4900" t="s">
        <v>69</v>
      </c>
    </row>
    <row r="4901" spans="1:19" x14ac:dyDescent="0.35">
      <c r="A4901">
        <v>12025</v>
      </c>
      <c r="B4901" t="str">
        <f>"012025"</f>
        <v>012025</v>
      </c>
      <c r="C4901" t="s">
        <v>13712</v>
      </c>
      <c r="D4901" t="s">
        <v>3400</v>
      </c>
      <c r="E4901" t="s">
        <v>12048</v>
      </c>
      <c r="F4901" t="s">
        <v>3396</v>
      </c>
      <c r="G4901" t="s">
        <v>63</v>
      </c>
      <c r="H4901" t="s">
        <v>12533</v>
      </c>
      <c r="I4901" t="s">
        <v>12534</v>
      </c>
      <c r="J4901" t="s">
        <v>285</v>
      </c>
      <c r="K4901" t="s">
        <v>55</v>
      </c>
      <c r="L4901" t="s">
        <v>3458</v>
      </c>
      <c r="M4901" t="s">
        <v>57</v>
      </c>
      <c r="N4901" t="str">
        <f>"020912"</f>
        <v>020912</v>
      </c>
      <c r="O4901" t="s">
        <v>12089</v>
      </c>
      <c r="P4901" t="s">
        <v>68</v>
      </c>
      <c r="Q4901">
        <v>100</v>
      </c>
      <c r="R4901">
        <v>66.7</v>
      </c>
      <c r="S4901" t="s">
        <v>69</v>
      </c>
    </row>
    <row r="4902" spans="1:19" x14ac:dyDescent="0.35">
      <c r="A4902">
        <v>12025</v>
      </c>
      <c r="B4902" t="str">
        <f>"012025"</f>
        <v>012025</v>
      </c>
      <c r="C4902" t="s">
        <v>13712</v>
      </c>
      <c r="D4902" t="s">
        <v>12052</v>
      </c>
      <c r="E4902" t="s">
        <v>12048</v>
      </c>
      <c r="F4902" t="s">
        <v>3396</v>
      </c>
      <c r="G4902" t="s">
        <v>63</v>
      </c>
      <c r="H4902" t="s">
        <v>12533</v>
      </c>
      <c r="I4902" t="s">
        <v>12534</v>
      </c>
      <c r="J4902" t="s">
        <v>285</v>
      </c>
      <c r="K4902" t="s">
        <v>55</v>
      </c>
      <c r="L4902" t="s">
        <v>3458</v>
      </c>
      <c r="M4902" t="s">
        <v>57</v>
      </c>
      <c r="N4902" t="str">
        <f>"020912"</f>
        <v>020912</v>
      </c>
      <c r="O4902" t="s">
        <v>12089</v>
      </c>
      <c r="P4902" t="s">
        <v>68</v>
      </c>
      <c r="Q4902">
        <v>100</v>
      </c>
      <c r="R4902">
        <v>66.7</v>
      </c>
      <c r="S4902" t="s">
        <v>69</v>
      </c>
    </row>
    <row r="4903" spans="1:19" x14ac:dyDescent="0.35">
      <c r="A4903">
        <v>12030</v>
      </c>
      <c r="B4903" t="str">
        <f>"012030"</f>
        <v>012030</v>
      </c>
      <c r="C4903" t="s">
        <v>13713</v>
      </c>
      <c r="D4903" t="s">
        <v>3394</v>
      </c>
      <c r="E4903" t="s">
        <v>12048</v>
      </c>
      <c r="F4903" t="s">
        <v>3396</v>
      </c>
      <c r="G4903" t="s">
        <v>63</v>
      </c>
      <c r="H4903" t="s">
        <v>13714</v>
      </c>
      <c r="I4903" t="s">
        <v>13715</v>
      </c>
      <c r="J4903" t="s">
        <v>285</v>
      </c>
      <c r="K4903" t="s">
        <v>55</v>
      </c>
      <c r="L4903" t="s">
        <v>7551</v>
      </c>
      <c r="M4903" t="s">
        <v>57</v>
      </c>
      <c r="N4903" t="str">
        <f>"N/A"</f>
        <v>N/A</v>
      </c>
      <c r="O4903" t="s">
        <v>49</v>
      </c>
      <c r="P4903" t="s">
        <v>68</v>
      </c>
      <c r="Q4903">
        <v>37.1</v>
      </c>
      <c r="R4903">
        <v>64.3</v>
      </c>
      <c r="S4903" t="s">
        <v>69</v>
      </c>
    </row>
    <row r="4904" spans="1:19" x14ac:dyDescent="0.35">
      <c r="A4904">
        <v>12030</v>
      </c>
      <c r="B4904" t="str">
        <f>"012030"</f>
        <v>012030</v>
      </c>
      <c r="C4904" t="s">
        <v>13713</v>
      </c>
      <c r="D4904" t="s">
        <v>12052</v>
      </c>
      <c r="E4904" t="s">
        <v>12048</v>
      </c>
      <c r="F4904" t="s">
        <v>3396</v>
      </c>
      <c r="G4904" t="s">
        <v>63</v>
      </c>
      <c r="H4904" t="s">
        <v>13714</v>
      </c>
      <c r="I4904" t="s">
        <v>13715</v>
      </c>
      <c r="J4904" t="s">
        <v>285</v>
      </c>
      <c r="K4904" t="s">
        <v>55</v>
      </c>
      <c r="L4904" t="s">
        <v>7551</v>
      </c>
      <c r="M4904" t="s">
        <v>57</v>
      </c>
      <c r="N4904" t="str">
        <f>"N/A"</f>
        <v>N/A</v>
      </c>
      <c r="O4904" t="s">
        <v>49</v>
      </c>
      <c r="P4904" t="s">
        <v>68</v>
      </c>
      <c r="Q4904">
        <v>37.1</v>
      </c>
      <c r="R4904">
        <v>64.3</v>
      </c>
      <c r="S4904" t="s">
        <v>69</v>
      </c>
    </row>
    <row r="4905" spans="1:19" x14ac:dyDescent="0.35">
      <c r="A4905">
        <v>12030</v>
      </c>
      <c r="B4905" t="str">
        <f>"012030"</f>
        <v>012030</v>
      </c>
      <c r="C4905" t="s">
        <v>13713</v>
      </c>
      <c r="D4905" t="s">
        <v>12126</v>
      </c>
      <c r="E4905" t="s">
        <v>12048</v>
      </c>
      <c r="F4905" t="s">
        <v>3396</v>
      </c>
      <c r="G4905" t="s">
        <v>63</v>
      </c>
      <c r="H4905" t="s">
        <v>13714</v>
      </c>
      <c r="I4905" t="s">
        <v>13715</v>
      </c>
      <c r="J4905" t="s">
        <v>285</v>
      </c>
      <c r="K4905" t="s">
        <v>55</v>
      </c>
      <c r="L4905" t="s">
        <v>7551</v>
      </c>
      <c r="M4905" t="s">
        <v>57</v>
      </c>
      <c r="N4905" t="str">
        <f>"N/A"</f>
        <v>N/A</v>
      </c>
      <c r="O4905" t="s">
        <v>49</v>
      </c>
      <c r="P4905" t="s">
        <v>68</v>
      </c>
      <c r="Q4905">
        <v>37.1</v>
      </c>
      <c r="R4905">
        <v>64.3</v>
      </c>
      <c r="S4905" t="s">
        <v>69</v>
      </c>
    </row>
    <row r="4906" spans="1:19" x14ac:dyDescent="0.35">
      <c r="A4906">
        <v>12033</v>
      </c>
      <c r="B4906" t="str">
        <f>"012033"</f>
        <v>012033</v>
      </c>
      <c r="C4906" t="s">
        <v>13716</v>
      </c>
      <c r="D4906" t="s">
        <v>3400</v>
      </c>
      <c r="E4906" t="s">
        <v>12048</v>
      </c>
      <c r="F4906" t="s">
        <v>3396</v>
      </c>
      <c r="G4906" t="s">
        <v>674</v>
      </c>
      <c r="H4906" t="s">
        <v>12723</v>
      </c>
      <c r="I4906" t="s">
        <v>12724</v>
      </c>
      <c r="J4906" t="s">
        <v>927</v>
      </c>
      <c r="K4906" t="s">
        <v>55</v>
      </c>
      <c r="L4906" t="s">
        <v>928</v>
      </c>
      <c r="M4906" t="s">
        <v>57</v>
      </c>
      <c r="N4906" t="str">
        <f>"N/A"</f>
        <v>N/A</v>
      </c>
      <c r="O4906" t="s">
        <v>49</v>
      </c>
      <c r="P4906" t="s">
        <v>68</v>
      </c>
      <c r="Q4906">
        <v>100</v>
      </c>
      <c r="R4906">
        <v>25.900000000000006</v>
      </c>
      <c r="S4906" t="s">
        <v>130</v>
      </c>
    </row>
    <row r="4907" spans="1:19" x14ac:dyDescent="0.35">
      <c r="A4907">
        <v>12033</v>
      </c>
      <c r="B4907" t="str">
        <f>"012033"</f>
        <v>012033</v>
      </c>
      <c r="C4907" t="s">
        <v>13716</v>
      </c>
      <c r="D4907" t="s">
        <v>12471</v>
      </c>
      <c r="E4907" t="s">
        <v>12048</v>
      </c>
      <c r="F4907" t="s">
        <v>3396</v>
      </c>
      <c r="G4907" t="s">
        <v>674</v>
      </c>
      <c r="H4907" t="s">
        <v>12723</v>
      </c>
      <c r="I4907" t="s">
        <v>12724</v>
      </c>
      <c r="J4907" t="s">
        <v>927</v>
      </c>
      <c r="K4907" t="s">
        <v>55</v>
      </c>
      <c r="L4907" t="s">
        <v>928</v>
      </c>
      <c r="M4907" t="s">
        <v>57</v>
      </c>
      <c r="N4907" t="str">
        <f>"N/A"</f>
        <v>N/A</v>
      </c>
      <c r="O4907" t="s">
        <v>49</v>
      </c>
      <c r="P4907" t="s">
        <v>68</v>
      </c>
      <c r="Q4907">
        <v>100</v>
      </c>
      <c r="R4907">
        <v>25.900000000000006</v>
      </c>
      <c r="S4907" t="s">
        <v>130</v>
      </c>
    </row>
    <row r="4908" spans="1:19" x14ac:dyDescent="0.35">
      <c r="A4908">
        <v>12036</v>
      </c>
      <c r="B4908" t="str">
        <f>"012036"</f>
        <v>012036</v>
      </c>
      <c r="C4908" t="s">
        <v>13717</v>
      </c>
      <c r="D4908" t="s">
        <v>3398</v>
      </c>
      <c r="E4908" t="s">
        <v>12048</v>
      </c>
      <c r="F4908" t="s">
        <v>3396</v>
      </c>
      <c r="G4908" t="s">
        <v>63</v>
      </c>
      <c r="H4908" t="s">
        <v>13718</v>
      </c>
      <c r="I4908" t="s">
        <v>13719</v>
      </c>
      <c r="J4908" t="s">
        <v>285</v>
      </c>
      <c r="K4908" t="s">
        <v>55</v>
      </c>
      <c r="L4908" t="s">
        <v>13720</v>
      </c>
      <c r="M4908" t="s">
        <v>57</v>
      </c>
      <c r="N4908" t="str">
        <f>"017297"</f>
        <v>017297</v>
      </c>
      <c r="O4908" t="s">
        <v>12062</v>
      </c>
      <c r="P4908" t="s">
        <v>68</v>
      </c>
      <c r="Q4908">
        <v>100</v>
      </c>
      <c r="R4908">
        <v>89.7</v>
      </c>
      <c r="S4908" t="s">
        <v>69</v>
      </c>
    </row>
    <row r="4909" spans="1:19" x14ac:dyDescent="0.35">
      <c r="A4909">
        <v>12036</v>
      </c>
      <c r="B4909" t="str">
        <f>"012036"</f>
        <v>012036</v>
      </c>
      <c r="C4909" t="s">
        <v>13717</v>
      </c>
      <c r="D4909" t="s">
        <v>12052</v>
      </c>
      <c r="E4909" t="s">
        <v>12048</v>
      </c>
      <c r="F4909" t="s">
        <v>3396</v>
      </c>
      <c r="G4909" t="s">
        <v>63</v>
      </c>
      <c r="H4909" t="s">
        <v>13718</v>
      </c>
      <c r="I4909" t="s">
        <v>13719</v>
      </c>
      <c r="J4909" t="s">
        <v>285</v>
      </c>
      <c r="K4909" t="s">
        <v>55</v>
      </c>
      <c r="L4909" t="s">
        <v>13720</v>
      </c>
      <c r="M4909" t="s">
        <v>57</v>
      </c>
      <c r="N4909" t="str">
        <f>"017297"</f>
        <v>017297</v>
      </c>
      <c r="O4909" t="s">
        <v>12062</v>
      </c>
      <c r="P4909" t="s">
        <v>68</v>
      </c>
      <c r="Q4909">
        <v>100</v>
      </c>
      <c r="R4909">
        <v>89.7</v>
      </c>
      <c r="S4909" t="s">
        <v>69</v>
      </c>
    </row>
    <row r="4910" spans="1:19" x14ac:dyDescent="0.35">
      <c r="A4910">
        <v>12036</v>
      </c>
      <c r="B4910" t="str">
        <f>"012036"</f>
        <v>012036</v>
      </c>
      <c r="C4910" t="s">
        <v>13717</v>
      </c>
      <c r="D4910" t="s">
        <v>12063</v>
      </c>
      <c r="E4910" t="s">
        <v>12048</v>
      </c>
      <c r="F4910" t="s">
        <v>3396</v>
      </c>
      <c r="G4910" t="s">
        <v>63</v>
      </c>
      <c r="H4910" t="s">
        <v>13718</v>
      </c>
      <c r="I4910" t="s">
        <v>13719</v>
      </c>
      <c r="J4910" t="s">
        <v>285</v>
      </c>
      <c r="K4910" t="s">
        <v>55</v>
      </c>
      <c r="L4910" t="s">
        <v>13720</v>
      </c>
      <c r="M4910" t="s">
        <v>57</v>
      </c>
      <c r="N4910" t="str">
        <f>"017297"</f>
        <v>017297</v>
      </c>
      <c r="O4910" t="s">
        <v>12062</v>
      </c>
      <c r="P4910" t="s">
        <v>68</v>
      </c>
      <c r="Q4910">
        <v>100</v>
      </c>
      <c r="R4910">
        <v>89.7</v>
      </c>
      <c r="S4910" t="s">
        <v>69</v>
      </c>
    </row>
    <row r="4911" spans="1:19" x14ac:dyDescent="0.35">
      <c r="A4911">
        <v>12037</v>
      </c>
      <c r="B4911" t="str">
        <f>"012037"</f>
        <v>012037</v>
      </c>
      <c r="C4911" t="s">
        <v>13721</v>
      </c>
      <c r="D4911" t="s">
        <v>3398</v>
      </c>
      <c r="E4911" t="s">
        <v>12048</v>
      </c>
      <c r="F4911" t="s">
        <v>3396</v>
      </c>
      <c r="G4911" t="s">
        <v>600</v>
      </c>
      <c r="H4911" t="s">
        <v>13722</v>
      </c>
      <c r="I4911" t="s">
        <v>13723</v>
      </c>
      <c r="J4911" t="s">
        <v>1348</v>
      </c>
      <c r="K4911" t="s">
        <v>55</v>
      </c>
      <c r="L4911" t="s">
        <v>6119</v>
      </c>
      <c r="M4911" t="s">
        <v>57</v>
      </c>
      <c r="N4911" t="str">
        <f>"019360"</f>
        <v>019360</v>
      </c>
      <c r="O4911" t="s">
        <v>13724</v>
      </c>
      <c r="P4911" t="s">
        <v>68</v>
      </c>
      <c r="Q4911">
        <v>100</v>
      </c>
      <c r="R4911">
        <v>100</v>
      </c>
      <c r="S4911" t="s">
        <v>60</v>
      </c>
    </row>
    <row r="4912" spans="1:19" x14ac:dyDescent="0.35">
      <c r="A4912">
        <v>12037</v>
      </c>
      <c r="B4912" t="str">
        <f>"012037"</f>
        <v>012037</v>
      </c>
      <c r="C4912" t="s">
        <v>13721</v>
      </c>
      <c r="D4912" t="s">
        <v>12052</v>
      </c>
      <c r="E4912" t="s">
        <v>12048</v>
      </c>
      <c r="F4912" t="s">
        <v>3396</v>
      </c>
      <c r="G4912" t="s">
        <v>600</v>
      </c>
      <c r="H4912" t="s">
        <v>13722</v>
      </c>
      <c r="I4912" t="s">
        <v>13723</v>
      </c>
      <c r="J4912" t="s">
        <v>1348</v>
      </c>
      <c r="K4912" t="s">
        <v>55</v>
      </c>
      <c r="L4912" t="s">
        <v>6119</v>
      </c>
      <c r="M4912" t="s">
        <v>57</v>
      </c>
      <c r="N4912" t="str">
        <f>"019360"</f>
        <v>019360</v>
      </c>
      <c r="O4912" t="s">
        <v>13724</v>
      </c>
      <c r="P4912" t="s">
        <v>68</v>
      </c>
      <c r="Q4912">
        <v>100</v>
      </c>
      <c r="R4912">
        <v>100</v>
      </c>
      <c r="S4912" t="s">
        <v>60</v>
      </c>
    </row>
    <row r="4913" spans="1:19" x14ac:dyDescent="0.35">
      <c r="A4913">
        <v>12037</v>
      </c>
      <c r="B4913" t="str">
        <f>"012037"</f>
        <v>012037</v>
      </c>
      <c r="C4913" t="s">
        <v>13721</v>
      </c>
      <c r="D4913" t="s">
        <v>12063</v>
      </c>
      <c r="E4913" t="s">
        <v>12048</v>
      </c>
      <c r="F4913" t="s">
        <v>3396</v>
      </c>
      <c r="G4913" t="s">
        <v>600</v>
      </c>
      <c r="H4913" t="s">
        <v>13722</v>
      </c>
      <c r="I4913" t="s">
        <v>13723</v>
      </c>
      <c r="J4913" t="s">
        <v>1348</v>
      </c>
      <c r="K4913" t="s">
        <v>55</v>
      </c>
      <c r="L4913" t="s">
        <v>6119</v>
      </c>
      <c r="M4913" t="s">
        <v>57</v>
      </c>
      <c r="N4913" t="str">
        <f>"019360"</f>
        <v>019360</v>
      </c>
      <c r="O4913" t="s">
        <v>13724</v>
      </c>
      <c r="P4913" t="s">
        <v>68</v>
      </c>
      <c r="Q4913">
        <v>100</v>
      </c>
      <c r="R4913">
        <v>100</v>
      </c>
      <c r="S4913" t="s">
        <v>60</v>
      </c>
    </row>
    <row r="4914" spans="1:19" x14ac:dyDescent="0.35">
      <c r="A4914">
        <v>12038</v>
      </c>
      <c r="B4914" t="str">
        <f>"012038"</f>
        <v>012038</v>
      </c>
      <c r="C4914" t="s">
        <v>13725</v>
      </c>
      <c r="D4914" t="s">
        <v>3398</v>
      </c>
      <c r="E4914" t="s">
        <v>12048</v>
      </c>
      <c r="F4914" t="s">
        <v>3396</v>
      </c>
      <c r="G4914" t="s">
        <v>63</v>
      </c>
      <c r="H4914" t="s">
        <v>13726</v>
      </c>
      <c r="I4914" t="s">
        <v>13727</v>
      </c>
      <c r="J4914" t="s">
        <v>285</v>
      </c>
      <c r="K4914" t="s">
        <v>55</v>
      </c>
      <c r="L4914" t="s">
        <v>3798</v>
      </c>
      <c r="M4914" t="s">
        <v>57</v>
      </c>
      <c r="N4914" t="str">
        <f>"017297"</f>
        <v>017297</v>
      </c>
      <c r="O4914" t="s">
        <v>12062</v>
      </c>
      <c r="P4914" t="s">
        <v>68</v>
      </c>
      <c r="Q4914">
        <v>100</v>
      </c>
      <c r="R4914">
        <v>51.2</v>
      </c>
      <c r="S4914" t="s">
        <v>69</v>
      </c>
    </row>
    <row r="4915" spans="1:19" x14ac:dyDescent="0.35">
      <c r="A4915">
        <v>12038</v>
      </c>
      <c r="B4915" t="str">
        <f>"012038"</f>
        <v>012038</v>
      </c>
      <c r="C4915" t="s">
        <v>13725</v>
      </c>
      <c r="D4915" t="s">
        <v>12052</v>
      </c>
      <c r="E4915" t="s">
        <v>12048</v>
      </c>
      <c r="F4915" t="s">
        <v>3396</v>
      </c>
      <c r="G4915" t="s">
        <v>63</v>
      </c>
      <c r="H4915" t="s">
        <v>13726</v>
      </c>
      <c r="I4915" t="s">
        <v>13727</v>
      </c>
      <c r="J4915" t="s">
        <v>285</v>
      </c>
      <c r="K4915" t="s">
        <v>55</v>
      </c>
      <c r="L4915" t="s">
        <v>3798</v>
      </c>
      <c r="M4915" t="s">
        <v>57</v>
      </c>
      <c r="N4915" t="str">
        <f>"017297"</f>
        <v>017297</v>
      </c>
      <c r="O4915" t="s">
        <v>12062</v>
      </c>
      <c r="P4915" t="s">
        <v>68</v>
      </c>
      <c r="Q4915">
        <v>100</v>
      </c>
      <c r="R4915">
        <v>51.2</v>
      </c>
      <c r="S4915" t="s">
        <v>69</v>
      </c>
    </row>
    <row r="4916" spans="1:19" x14ac:dyDescent="0.35">
      <c r="A4916">
        <v>12038</v>
      </c>
      <c r="B4916" t="str">
        <f>"012038"</f>
        <v>012038</v>
      </c>
      <c r="C4916" t="s">
        <v>13725</v>
      </c>
      <c r="D4916" t="s">
        <v>12063</v>
      </c>
      <c r="E4916" t="s">
        <v>12048</v>
      </c>
      <c r="F4916" t="s">
        <v>3396</v>
      </c>
      <c r="G4916" t="s">
        <v>63</v>
      </c>
      <c r="H4916" t="s">
        <v>13726</v>
      </c>
      <c r="I4916" t="s">
        <v>13727</v>
      </c>
      <c r="J4916" t="s">
        <v>285</v>
      </c>
      <c r="K4916" t="s">
        <v>55</v>
      </c>
      <c r="L4916" t="s">
        <v>3798</v>
      </c>
      <c r="M4916" t="s">
        <v>57</v>
      </c>
      <c r="N4916" t="str">
        <f>"017297"</f>
        <v>017297</v>
      </c>
      <c r="O4916" t="s">
        <v>12062</v>
      </c>
      <c r="P4916" t="s">
        <v>68</v>
      </c>
      <c r="Q4916">
        <v>100</v>
      </c>
      <c r="R4916">
        <v>51.2</v>
      </c>
      <c r="S4916" t="s">
        <v>69</v>
      </c>
    </row>
    <row r="4917" spans="1:19" x14ac:dyDescent="0.35">
      <c r="A4917">
        <v>12040</v>
      </c>
      <c r="B4917" t="str">
        <f>"012040"</f>
        <v>012040</v>
      </c>
      <c r="C4917" t="s">
        <v>13728</v>
      </c>
      <c r="D4917" t="s">
        <v>3398</v>
      </c>
      <c r="E4917" t="s">
        <v>12048</v>
      </c>
      <c r="F4917" t="s">
        <v>3396</v>
      </c>
      <c r="G4917" t="s">
        <v>600</v>
      </c>
      <c r="H4917" t="s">
        <v>13729</v>
      </c>
      <c r="I4917" t="s">
        <v>13730</v>
      </c>
      <c r="J4917" t="s">
        <v>1348</v>
      </c>
      <c r="K4917" t="s">
        <v>55</v>
      </c>
      <c r="L4917" t="s">
        <v>4840</v>
      </c>
      <c r="M4917" t="s">
        <v>57</v>
      </c>
      <c r="N4917" t="str">
        <f t="shared" ref="N4917:N4923" si="30">"019360"</f>
        <v>019360</v>
      </c>
      <c r="O4917" t="s">
        <v>13724</v>
      </c>
      <c r="P4917" t="s">
        <v>68</v>
      </c>
      <c r="Q4917">
        <v>100</v>
      </c>
      <c r="R4917">
        <v>100</v>
      </c>
      <c r="S4917" t="s">
        <v>60</v>
      </c>
    </row>
    <row r="4918" spans="1:19" x14ac:dyDescent="0.35">
      <c r="A4918">
        <v>12040</v>
      </c>
      <c r="B4918" t="str">
        <f>"012040"</f>
        <v>012040</v>
      </c>
      <c r="C4918" t="s">
        <v>13728</v>
      </c>
      <c r="D4918" t="s">
        <v>12052</v>
      </c>
      <c r="E4918" t="s">
        <v>12048</v>
      </c>
      <c r="F4918" t="s">
        <v>3396</v>
      </c>
      <c r="G4918" t="s">
        <v>600</v>
      </c>
      <c r="H4918" t="s">
        <v>13729</v>
      </c>
      <c r="I4918" t="s">
        <v>13730</v>
      </c>
      <c r="J4918" t="s">
        <v>1348</v>
      </c>
      <c r="K4918" t="s">
        <v>55</v>
      </c>
      <c r="L4918" t="s">
        <v>4840</v>
      </c>
      <c r="M4918" t="s">
        <v>57</v>
      </c>
      <c r="N4918" t="str">
        <f t="shared" si="30"/>
        <v>019360</v>
      </c>
      <c r="O4918" t="s">
        <v>13724</v>
      </c>
      <c r="P4918" t="s">
        <v>68</v>
      </c>
      <c r="Q4918">
        <v>100</v>
      </c>
      <c r="R4918">
        <v>100</v>
      </c>
      <c r="S4918" t="s">
        <v>60</v>
      </c>
    </row>
    <row r="4919" spans="1:19" x14ac:dyDescent="0.35">
      <c r="A4919">
        <v>12040</v>
      </c>
      <c r="B4919" t="str">
        <f>"012040"</f>
        <v>012040</v>
      </c>
      <c r="C4919" t="s">
        <v>13728</v>
      </c>
      <c r="D4919" t="s">
        <v>12063</v>
      </c>
      <c r="E4919" t="s">
        <v>12048</v>
      </c>
      <c r="F4919" t="s">
        <v>3396</v>
      </c>
      <c r="G4919" t="s">
        <v>600</v>
      </c>
      <c r="H4919" t="s">
        <v>13729</v>
      </c>
      <c r="I4919" t="s">
        <v>13730</v>
      </c>
      <c r="J4919" t="s">
        <v>1348</v>
      </c>
      <c r="K4919" t="s">
        <v>55</v>
      </c>
      <c r="L4919" t="s">
        <v>4840</v>
      </c>
      <c r="M4919" t="s">
        <v>57</v>
      </c>
      <c r="N4919" t="str">
        <f t="shared" si="30"/>
        <v>019360</v>
      </c>
      <c r="O4919" t="s">
        <v>13724</v>
      </c>
      <c r="P4919" t="s">
        <v>68</v>
      </c>
      <c r="Q4919">
        <v>100</v>
      </c>
      <c r="R4919">
        <v>100</v>
      </c>
      <c r="S4919" t="s">
        <v>60</v>
      </c>
    </row>
    <row r="4920" spans="1:19" x14ac:dyDescent="0.35">
      <c r="A4920">
        <v>12040</v>
      </c>
      <c r="B4920" t="str">
        <f>"012040"</f>
        <v>012040</v>
      </c>
      <c r="C4920" t="s">
        <v>13728</v>
      </c>
      <c r="D4920" t="s">
        <v>12677</v>
      </c>
      <c r="E4920" t="s">
        <v>12048</v>
      </c>
      <c r="F4920" t="s">
        <v>3396</v>
      </c>
      <c r="G4920" t="s">
        <v>600</v>
      </c>
      <c r="H4920" t="s">
        <v>13729</v>
      </c>
      <c r="I4920" t="s">
        <v>13730</v>
      </c>
      <c r="J4920" t="s">
        <v>1348</v>
      </c>
      <c r="K4920" t="s">
        <v>55</v>
      </c>
      <c r="L4920" t="s">
        <v>4840</v>
      </c>
      <c r="M4920" t="s">
        <v>57</v>
      </c>
      <c r="N4920" t="str">
        <f t="shared" si="30"/>
        <v>019360</v>
      </c>
      <c r="O4920" t="s">
        <v>13724</v>
      </c>
      <c r="P4920" t="s">
        <v>68</v>
      </c>
      <c r="Q4920">
        <v>100</v>
      </c>
      <c r="R4920">
        <v>100</v>
      </c>
      <c r="S4920" t="s">
        <v>60</v>
      </c>
    </row>
    <row r="4921" spans="1:19" x14ac:dyDescent="0.35">
      <c r="A4921">
        <v>12041</v>
      </c>
      <c r="B4921" t="str">
        <f>"012041"</f>
        <v>012041</v>
      </c>
      <c r="C4921" t="s">
        <v>13731</v>
      </c>
      <c r="D4921" t="s">
        <v>3398</v>
      </c>
      <c r="E4921" t="s">
        <v>12048</v>
      </c>
      <c r="F4921" t="s">
        <v>3396</v>
      </c>
      <c r="G4921" t="s">
        <v>600</v>
      </c>
      <c r="H4921" t="s">
        <v>13732</v>
      </c>
      <c r="I4921" t="s">
        <v>13733</v>
      </c>
      <c r="J4921" t="s">
        <v>1348</v>
      </c>
      <c r="K4921" t="s">
        <v>55</v>
      </c>
      <c r="L4921" t="s">
        <v>3637</v>
      </c>
      <c r="M4921" t="s">
        <v>57</v>
      </c>
      <c r="N4921" t="str">
        <f t="shared" si="30"/>
        <v>019360</v>
      </c>
      <c r="O4921" t="s">
        <v>13724</v>
      </c>
      <c r="P4921" t="s">
        <v>68</v>
      </c>
      <c r="Q4921">
        <v>100</v>
      </c>
      <c r="R4921">
        <v>70.900000000000006</v>
      </c>
      <c r="S4921" t="s">
        <v>60</v>
      </c>
    </row>
    <row r="4922" spans="1:19" x14ac:dyDescent="0.35">
      <c r="A4922">
        <v>12041</v>
      </c>
      <c r="B4922" t="str">
        <f>"012041"</f>
        <v>012041</v>
      </c>
      <c r="C4922" t="s">
        <v>13731</v>
      </c>
      <c r="D4922" t="s">
        <v>12052</v>
      </c>
      <c r="E4922" t="s">
        <v>12048</v>
      </c>
      <c r="F4922" t="s">
        <v>3396</v>
      </c>
      <c r="G4922" t="s">
        <v>600</v>
      </c>
      <c r="H4922" t="s">
        <v>13732</v>
      </c>
      <c r="I4922" t="s">
        <v>13733</v>
      </c>
      <c r="J4922" t="s">
        <v>1348</v>
      </c>
      <c r="K4922" t="s">
        <v>55</v>
      </c>
      <c r="L4922" t="s">
        <v>3637</v>
      </c>
      <c r="M4922" t="s">
        <v>57</v>
      </c>
      <c r="N4922" t="str">
        <f t="shared" si="30"/>
        <v>019360</v>
      </c>
      <c r="O4922" t="s">
        <v>13724</v>
      </c>
      <c r="P4922" t="s">
        <v>68</v>
      </c>
      <c r="Q4922">
        <v>100</v>
      </c>
      <c r="R4922">
        <v>70.900000000000006</v>
      </c>
      <c r="S4922" t="s">
        <v>60</v>
      </c>
    </row>
    <row r="4923" spans="1:19" x14ac:dyDescent="0.35">
      <c r="A4923">
        <v>12041</v>
      </c>
      <c r="B4923" t="str">
        <f>"012041"</f>
        <v>012041</v>
      </c>
      <c r="C4923" t="s">
        <v>13731</v>
      </c>
      <c r="D4923" t="s">
        <v>12063</v>
      </c>
      <c r="E4923" t="s">
        <v>12048</v>
      </c>
      <c r="F4923" t="s">
        <v>3396</v>
      </c>
      <c r="G4923" t="s">
        <v>600</v>
      </c>
      <c r="H4923" t="s">
        <v>13732</v>
      </c>
      <c r="I4923" t="s">
        <v>13733</v>
      </c>
      <c r="J4923" t="s">
        <v>1348</v>
      </c>
      <c r="K4923" t="s">
        <v>55</v>
      </c>
      <c r="L4923" t="s">
        <v>3637</v>
      </c>
      <c r="M4923" t="s">
        <v>57</v>
      </c>
      <c r="N4923" t="str">
        <f t="shared" si="30"/>
        <v>019360</v>
      </c>
      <c r="O4923" t="s">
        <v>13724</v>
      </c>
      <c r="P4923" t="s">
        <v>68</v>
      </c>
      <c r="Q4923">
        <v>100</v>
      </c>
      <c r="R4923">
        <v>70.900000000000006</v>
      </c>
      <c r="S4923" t="s">
        <v>60</v>
      </c>
    </row>
    <row r="4924" spans="1:19" x14ac:dyDescent="0.35">
      <c r="A4924">
        <v>12042</v>
      </c>
      <c r="B4924" t="str">
        <f>"012042"</f>
        <v>012042</v>
      </c>
      <c r="C4924" t="s">
        <v>13734</v>
      </c>
      <c r="D4924" t="s">
        <v>3398</v>
      </c>
      <c r="E4924" t="s">
        <v>12048</v>
      </c>
      <c r="F4924" t="s">
        <v>3396</v>
      </c>
      <c r="G4924" t="s">
        <v>63</v>
      </c>
      <c r="H4924" t="s">
        <v>13735</v>
      </c>
      <c r="I4924" t="s">
        <v>13736</v>
      </c>
      <c r="J4924" t="s">
        <v>285</v>
      </c>
      <c r="K4924" t="s">
        <v>55</v>
      </c>
      <c r="L4924" t="s">
        <v>102</v>
      </c>
      <c r="M4924" t="s">
        <v>57</v>
      </c>
      <c r="N4924" t="str">
        <f>"017093"</f>
        <v>017093</v>
      </c>
      <c r="O4924" t="s">
        <v>13664</v>
      </c>
      <c r="P4924" t="s">
        <v>68</v>
      </c>
      <c r="Q4924">
        <v>71.400000000000006</v>
      </c>
      <c r="R4924">
        <v>100</v>
      </c>
      <c r="S4924" t="s">
        <v>69</v>
      </c>
    </row>
    <row r="4925" spans="1:19" x14ac:dyDescent="0.35">
      <c r="A4925">
        <v>12042</v>
      </c>
      <c r="B4925" t="str">
        <f>"012042"</f>
        <v>012042</v>
      </c>
      <c r="C4925" t="s">
        <v>13734</v>
      </c>
      <c r="D4925" t="s">
        <v>12052</v>
      </c>
      <c r="E4925" t="s">
        <v>12048</v>
      </c>
      <c r="F4925" t="s">
        <v>3396</v>
      </c>
      <c r="G4925" t="s">
        <v>63</v>
      </c>
      <c r="H4925" t="s">
        <v>13735</v>
      </c>
      <c r="I4925" t="s">
        <v>13736</v>
      </c>
      <c r="J4925" t="s">
        <v>285</v>
      </c>
      <c r="K4925" t="s">
        <v>55</v>
      </c>
      <c r="L4925" t="s">
        <v>102</v>
      </c>
      <c r="M4925" t="s">
        <v>57</v>
      </c>
      <c r="N4925" t="str">
        <f>"017093"</f>
        <v>017093</v>
      </c>
      <c r="O4925" t="s">
        <v>13664</v>
      </c>
      <c r="P4925" t="s">
        <v>68</v>
      </c>
      <c r="Q4925">
        <v>71.400000000000006</v>
      </c>
      <c r="R4925">
        <v>100</v>
      </c>
      <c r="S4925" t="s">
        <v>69</v>
      </c>
    </row>
    <row r="4926" spans="1:19" x14ac:dyDescent="0.35">
      <c r="A4926">
        <v>12042</v>
      </c>
      <c r="B4926" t="str">
        <f>"012042"</f>
        <v>012042</v>
      </c>
      <c r="C4926" t="s">
        <v>13734</v>
      </c>
      <c r="D4926" t="s">
        <v>4572</v>
      </c>
      <c r="E4926" t="s">
        <v>12048</v>
      </c>
      <c r="F4926" t="s">
        <v>3396</v>
      </c>
      <c r="G4926" t="s">
        <v>63</v>
      </c>
      <c r="H4926" t="s">
        <v>13735</v>
      </c>
      <c r="I4926" t="s">
        <v>13736</v>
      </c>
      <c r="J4926" t="s">
        <v>285</v>
      </c>
      <c r="K4926" t="s">
        <v>55</v>
      </c>
      <c r="L4926" t="s">
        <v>102</v>
      </c>
      <c r="M4926" t="s">
        <v>57</v>
      </c>
      <c r="N4926" t="str">
        <f>"017093"</f>
        <v>017093</v>
      </c>
      <c r="O4926" t="s">
        <v>13664</v>
      </c>
      <c r="P4926" t="s">
        <v>68</v>
      </c>
      <c r="Q4926">
        <v>71.400000000000006</v>
      </c>
      <c r="R4926">
        <v>100</v>
      </c>
      <c r="S4926" t="s">
        <v>69</v>
      </c>
    </row>
    <row r="4927" spans="1:19" x14ac:dyDescent="0.35">
      <c r="A4927">
        <v>12043</v>
      </c>
      <c r="B4927" t="str">
        <f>"012043"</f>
        <v>012043</v>
      </c>
      <c r="C4927" t="s">
        <v>13737</v>
      </c>
      <c r="D4927" t="s">
        <v>3398</v>
      </c>
      <c r="E4927" t="s">
        <v>12048</v>
      </c>
      <c r="F4927" t="s">
        <v>3396</v>
      </c>
      <c r="G4927" t="s">
        <v>63</v>
      </c>
      <c r="H4927" t="s">
        <v>13738</v>
      </c>
      <c r="I4927" t="s">
        <v>13739</v>
      </c>
      <c r="J4927" t="s">
        <v>285</v>
      </c>
      <c r="K4927" t="s">
        <v>55</v>
      </c>
      <c r="L4927" t="s">
        <v>3798</v>
      </c>
      <c r="M4927" t="s">
        <v>57</v>
      </c>
      <c r="N4927" t="str">
        <f>"017297"</f>
        <v>017297</v>
      </c>
      <c r="O4927" t="s">
        <v>12062</v>
      </c>
      <c r="P4927" t="s">
        <v>68</v>
      </c>
      <c r="Q4927">
        <v>100</v>
      </c>
      <c r="R4927">
        <v>89.5</v>
      </c>
      <c r="S4927" t="s">
        <v>69</v>
      </c>
    </row>
    <row r="4928" spans="1:19" x14ac:dyDescent="0.35">
      <c r="A4928">
        <v>12043</v>
      </c>
      <c r="B4928" t="str">
        <f>"012043"</f>
        <v>012043</v>
      </c>
      <c r="C4928" t="s">
        <v>13737</v>
      </c>
      <c r="D4928" t="s">
        <v>12052</v>
      </c>
      <c r="E4928" t="s">
        <v>12048</v>
      </c>
      <c r="F4928" t="s">
        <v>3396</v>
      </c>
      <c r="G4928" t="s">
        <v>63</v>
      </c>
      <c r="H4928" t="s">
        <v>13738</v>
      </c>
      <c r="I4928" t="s">
        <v>13739</v>
      </c>
      <c r="J4928" t="s">
        <v>285</v>
      </c>
      <c r="K4928" t="s">
        <v>55</v>
      </c>
      <c r="L4928" t="s">
        <v>3798</v>
      </c>
      <c r="M4928" t="s">
        <v>57</v>
      </c>
      <c r="N4928" t="str">
        <f>"017297"</f>
        <v>017297</v>
      </c>
      <c r="O4928" t="s">
        <v>12062</v>
      </c>
      <c r="P4928" t="s">
        <v>68</v>
      </c>
      <c r="Q4928">
        <v>100</v>
      </c>
      <c r="R4928">
        <v>89.5</v>
      </c>
      <c r="S4928" t="s">
        <v>69</v>
      </c>
    </row>
    <row r="4929" spans="1:19" x14ac:dyDescent="0.35">
      <c r="A4929">
        <v>12043</v>
      </c>
      <c r="B4929" t="str">
        <f>"012043"</f>
        <v>012043</v>
      </c>
      <c r="C4929" t="s">
        <v>13737</v>
      </c>
      <c r="D4929" t="s">
        <v>12063</v>
      </c>
      <c r="E4929" t="s">
        <v>12048</v>
      </c>
      <c r="F4929" t="s">
        <v>3396</v>
      </c>
      <c r="G4929" t="s">
        <v>63</v>
      </c>
      <c r="H4929" t="s">
        <v>13738</v>
      </c>
      <c r="I4929" t="s">
        <v>13739</v>
      </c>
      <c r="J4929" t="s">
        <v>285</v>
      </c>
      <c r="K4929" t="s">
        <v>55</v>
      </c>
      <c r="L4929" t="s">
        <v>3798</v>
      </c>
      <c r="M4929" t="s">
        <v>57</v>
      </c>
      <c r="N4929" t="str">
        <f>"017297"</f>
        <v>017297</v>
      </c>
      <c r="O4929" t="s">
        <v>12062</v>
      </c>
      <c r="P4929" t="s">
        <v>68</v>
      </c>
      <c r="Q4929">
        <v>100</v>
      </c>
      <c r="R4929">
        <v>89.5</v>
      </c>
      <c r="S4929" t="s">
        <v>69</v>
      </c>
    </row>
    <row r="4930" spans="1:19" x14ac:dyDescent="0.35">
      <c r="A4930">
        <v>12044</v>
      </c>
      <c r="B4930" t="str">
        <f>"012044"</f>
        <v>012044</v>
      </c>
      <c r="C4930" t="s">
        <v>13740</v>
      </c>
      <c r="D4930" t="s">
        <v>3398</v>
      </c>
      <c r="E4930" t="s">
        <v>12048</v>
      </c>
      <c r="F4930" t="s">
        <v>3396</v>
      </c>
      <c r="G4930" t="s">
        <v>600</v>
      </c>
      <c r="H4930" t="s">
        <v>13741</v>
      </c>
      <c r="I4930" t="s">
        <v>13742</v>
      </c>
      <c r="J4930" t="s">
        <v>1348</v>
      </c>
      <c r="K4930" t="s">
        <v>55</v>
      </c>
      <c r="L4930" t="s">
        <v>5209</v>
      </c>
      <c r="M4930" t="s">
        <v>57</v>
      </c>
      <c r="N4930" t="str">
        <f>"019360"</f>
        <v>019360</v>
      </c>
      <c r="O4930" t="s">
        <v>13724</v>
      </c>
      <c r="P4930" t="s">
        <v>68</v>
      </c>
      <c r="Q4930">
        <v>100</v>
      </c>
      <c r="R4930">
        <v>48</v>
      </c>
      <c r="S4930" t="s">
        <v>60</v>
      </c>
    </row>
    <row r="4931" spans="1:19" x14ac:dyDescent="0.35">
      <c r="A4931">
        <v>12044</v>
      </c>
      <c r="B4931" t="str">
        <f>"012044"</f>
        <v>012044</v>
      </c>
      <c r="C4931" t="s">
        <v>13740</v>
      </c>
      <c r="D4931" t="s">
        <v>12052</v>
      </c>
      <c r="E4931" t="s">
        <v>12048</v>
      </c>
      <c r="F4931" t="s">
        <v>3396</v>
      </c>
      <c r="G4931" t="s">
        <v>600</v>
      </c>
      <c r="H4931" t="s">
        <v>13741</v>
      </c>
      <c r="I4931" t="s">
        <v>13742</v>
      </c>
      <c r="J4931" t="s">
        <v>1348</v>
      </c>
      <c r="K4931" t="s">
        <v>55</v>
      </c>
      <c r="L4931" t="s">
        <v>5209</v>
      </c>
      <c r="M4931" t="s">
        <v>57</v>
      </c>
      <c r="N4931" t="str">
        <f>"019360"</f>
        <v>019360</v>
      </c>
      <c r="O4931" t="s">
        <v>13724</v>
      </c>
      <c r="P4931" t="s">
        <v>68</v>
      </c>
      <c r="Q4931">
        <v>100</v>
      </c>
      <c r="R4931">
        <v>48</v>
      </c>
      <c r="S4931" t="s">
        <v>60</v>
      </c>
    </row>
    <row r="4932" spans="1:19" x14ac:dyDescent="0.35">
      <c r="A4932">
        <v>12044</v>
      </c>
      <c r="B4932" t="str">
        <f>"012044"</f>
        <v>012044</v>
      </c>
      <c r="C4932" t="s">
        <v>13740</v>
      </c>
      <c r="D4932" t="s">
        <v>12063</v>
      </c>
      <c r="E4932" t="s">
        <v>12048</v>
      </c>
      <c r="F4932" t="s">
        <v>3396</v>
      </c>
      <c r="G4932" t="s">
        <v>600</v>
      </c>
      <c r="H4932" t="s">
        <v>13741</v>
      </c>
      <c r="I4932" t="s">
        <v>13742</v>
      </c>
      <c r="J4932" t="s">
        <v>1348</v>
      </c>
      <c r="K4932" t="s">
        <v>55</v>
      </c>
      <c r="L4932" t="s">
        <v>5209</v>
      </c>
      <c r="M4932" t="s">
        <v>57</v>
      </c>
      <c r="N4932" t="str">
        <f>"019360"</f>
        <v>019360</v>
      </c>
      <c r="O4932" t="s">
        <v>13724</v>
      </c>
      <c r="P4932" t="s">
        <v>68</v>
      </c>
      <c r="Q4932">
        <v>100</v>
      </c>
      <c r="R4932">
        <v>48</v>
      </c>
      <c r="S4932" t="s">
        <v>60</v>
      </c>
    </row>
    <row r="4933" spans="1:19" x14ac:dyDescent="0.35">
      <c r="A4933">
        <v>12044</v>
      </c>
      <c r="B4933" t="str">
        <f>"012044"</f>
        <v>012044</v>
      </c>
      <c r="C4933" t="s">
        <v>13740</v>
      </c>
      <c r="D4933" t="s">
        <v>12677</v>
      </c>
      <c r="E4933" t="s">
        <v>12048</v>
      </c>
      <c r="F4933" t="s">
        <v>3396</v>
      </c>
      <c r="G4933" t="s">
        <v>600</v>
      </c>
      <c r="H4933" t="s">
        <v>13741</v>
      </c>
      <c r="I4933" t="s">
        <v>13742</v>
      </c>
      <c r="J4933" t="s">
        <v>1348</v>
      </c>
      <c r="K4933" t="s">
        <v>55</v>
      </c>
      <c r="L4933" t="s">
        <v>5209</v>
      </c>
      <c r="M4933" t="s">
        <v>57</v>
      </c>
      <c r="N4933" t="str">
        <f>"019360"</f>
        <v>019360</v>
      </c>
      <c r="O4933" t="s">
        <v>13724</v>
      </c>
      <c r="P4933" t="s">
        <v>68</v>
      </c>
      <c r="Q4933">
        <v>100</v>
      </c>
      <c r="R4933">
        <v>48</v>
      </c>
      <c r="S4933" t="s">
        <v>60</v>
      </c>
    </row>
    <row r="4934" spans="1:19" x14ac:dyDescent="0.35">
      <c r="A4934">
        <v>12045</v>
      </c>
      <c r="B4934" t="str">
        <f>"012045"</f>
        <v>012045</v>
      </c>
      <c r="C4934" t="s">
        <v>13743</v>
      </c>
      <c r="D4934" t="s">
        <v>3398</v>
      </c>
      <c r="E4934" t="s">
        <v>12048</v>
      </c>
      <c r="F4934" t="s">
        <v>3396</v>
      </c>
      <c r="G4934" t="s">
        <v>600</v>
      </c>
      <c r="H4934" t="s">
        <v>13744</v>
      </c>
      <c r="I4934" t="s">
        <v>13745</v>
      </c>
      <c r="J4934" t="s">
        <v>1348</v>
      </c>
      <c r="K4934" t="s">
        <v>55</v>
      </c>
      <c r="L4934" t="s">
        <v>6119</v>
      </c>
      <c r="M4934" t="s">
        <v>57</v>
      </c>
      <c r="N4934" t="str">
        <f>"N/A"</f>
        <v>N/A</v>
      </c>
      <c r="O4934" t="s">
        <v>49</v>
      </c>
      <c r="P4934" t="s">
        <v>68</v>
      </c>
      <c r="Q4934">
        <v>100</v>
      </c>
      <c r="R4934">
        <v>96.1</v>
      </c>
      <c r="S4934" t="s">
        <v>60</v>
      </c>
    </row>
    <row r="4935" spans="1:19" x14ac:dyDescent="0.35">
      <c r="A4935">
        <v>12045</v>
      </c>
      <c r="B4935" t="str">
        <f>"012045"</f>
        <v>012045</v>
      </c>
      <c r="C4935" t="s">
        <v>13743</v>
      </c>
      <c r="D4935" t="s">
        <v>12052</v>
      </c>
      <c r="E4935" t="s">
        <v>12048</v>
      </c>
      <c r="F4935" t="s">
        <v>3396</v>
      </c>
      <c r="G4935" t="s">
        <v>600</v>
      </c>
      <c r="H4935" t="s">
        <v>13744</v>
      </c>
      <c r="I4935" t="s">
        <v>13745</v>
      </c>
      <c r="J4935" t="s">
        <v>1348</v>
      </c>
      <c r="K4935" t="s">
        <v>55</v>
      </c>
      <c r="L4935" t="s">
        <v>6119</v>
      </c>
      <c r="M4935" t="s">
        <v>57</v>
      </c>
      <c r="N4935" t="str">
        <f>"N/A"</f>
        <v>N/A</v>
      </c>
      <c r="O4935" t="s">
        <v>49</v>
      </c>
      <c r="P4935" t="s">
        <v>68</v>
      </c>
      <c r="Q4935">
        <v>100</v>
      </c>
      <c r="R4935">
        <v>96.1</v>
      </c>
      <c r="S4935" t="s">
        <v>60</v>
      </c>
    </row>
    <row r="4936" spans="1:19" x14ac:dyDescent="0.35">
      <c r="A4936">
        <v>12054</v>
      </c>
      <c r="B4936" t="str">
        <f>"012054"</f>
        <v>012054</v>
      </c>
      <c r="C4936" t="s">
        <v>13746</v>
      </c>
      <c r="D4936" t="s">
        <v>3398</v>
      </c>
      <c r="E4936" t="s">
        <v>12048</v>
      </c>
      <c r="F4936" t="s">
        <v>3396</v>
      </c>
      <c r="G4936" t="s">
        <v>1296</v>
      </c>
      <c r="H4936" t="s">
        <v>13747</v>
      </c>
      <c r="I4936" t="s">
        <v>13748</v>
      </c>
      <c r="J4936" t="s">
        <v>1299</v>
      </c>
      <c r="K4936" t="s">
        <v>55</v>
      </c>
      <c r="L4936" t="s">
        <v>1300</v>
      </c>
      <c r="M4936" t="s">
        <v>57</v>
      </c>
      <c r="N4936" t="str">
        <f>"123257"</f>
        <v>123257</v>
      </c>
      <c r="O4936" t="s">
        <v>316</v>
      </c>
      <c r="P4936" t="s">
        <v>68</v>
      </c>
      <c r="Q4936">
        <v>60.3</v>
      </c>
      <c r="R4936">
        <v>29.5</v>
      </c>
      <c r="S4936" t="s">
        <v>156</v>
      </c>
    </row>
    <row r="4937" spans="1:19" x14ac:dyDescent="0.35">
      <c r="A4937">
        <v>12054</v>
      </c>
      <c r="B4937" t="str">
        <f>"012054"</f>
        <v>012054</v>
      </c>
      <c r="C4937" t="s">
        <v>13746</v>
      </c>
      <c r="D4937" t="s">
        <v>12471</v>
      </c>
      <c r="E4937" t="s">
        <v>12048</v>
      </c>
      <c r="F4937" t="s">
        <v>3396</v>
      </c>
      <c r="G4937" t="s">
        <v>1296</v>
      </c>
      <c r="H4937" t="s">
        <v>13747</v>
      </c>
      <c r="I4937" t="s">
        <v>13748</v>
      </c>
      <c r="J4937" t="s">
        <v>1299</v>
      </c>
      <c r="K4937" t="s">
        <v>55</v>
      </c>
      <c r="L4937" t="s">
        <v>1300</v>
      </c>
      <c r="M4937" t="s">
        <v>57</v>
      </c>
      <c r="N4937" t="str">
        <f>"123257"</f>
        <v>123257</v>
      </c>
      <c r="O4937" t="s">
        <v>316</v>
      </c>
      <c r="P4937" t="s">
        <v>68</v>
      </c>
      <c r="Q4937">
        <v>60.3</v>
      </c>
      <c r="R4937">
        <v>29.5</v>
      </c>
      <c r="S4937" t="s">
        <v>156</v>
      </c>
    </row>
    <row r="4938" spans="1:19" x14ac:dyDescent="0.35">
      <c r="A4938">
        <v>12060</v>
      </c>
      <c r="B4938" t="str">
        <f>"012060"</f>
        <v>012060</v>
      </c>
      <c r="C4938" t="s">
        <v>13749</v>
      </c>
      <c r="D4938" t="s">
        <v>3400</v>
      </c>
      <c r="E4938" t="s">
        <v>12048</v>
      </c>
      <c r="F4938" t="s">
        <v>3396</v>
      </c>
      <c r="G4938" t="s">
        <v>264</v>
      </c>
      <c r="H4938" t="s">
        <v>13750</v>
      </c>
      <c r="I4938" t="s">
        <v>13751</v>
      </c>
      <c r="J4938" t="s">
        <v>267</v>
      </c>
      <c r="K4938" t="s">
        <v>55</v>
      </c>
      <c r="L4938" t="s">
        <v>12173</v>
      </c>
      <c r="M4938" t="s">
        <v>57</v>
      </c>
      <c r="N4938" t="str">
        <f>"N/A"</f>
        <v>N/A</v>
      </c>
      <c r="O4938" t="s">
        <v>49</v>
      </c>
      <c r="P4938" t="s">
        <v>68</v>
      </c>
      <c r="Q4938">
        <v>100</v>
      </c>
      <c r="R4938">
        <v>100</v>
      </c>
      <c r="S4938" t="s">
        <v>77</v>
      </c>
    </row>
    <row r="4939" spans="1:19" x14ac:dyDescent="0.35">
      <c r="A4939">
        <v>12060</v>
      </c>
      <c r="B4939" t="str">
        <f>"012060"</f>
        <v>012060</v>
      </c>
      <c r="C4939" t="s">
        <v>13749</v>
      </c>
      <c r="D4939" t="s">
        <v>12052</v>
      </c>
      <c r="E4939" t="s">
        <v>12048</v>
      </c>
      <c r="F4939" t="s">
        <v>3396</v>
      </c>
      <c r="G4939" t="s">
        <v>264</v>
      </c>
      <c r="H4939" t="s">
        <v>13750</v>
      </c>
      <c r="I4939" t="s">
        <v>13751</v>
      </c>
      <c r="J4939" t="s">
        <v>267</v>
      </c>
      <c r="K4939" t="s">
        <v>55</v>
      </c>
      <c r="L4939" t="s">
        <v>12173</v>
      </c>
      <c r="M4939" t="s">
        <v>57</v>
      </c>
      <c r="N4939" t="str">
        <f>"N/A"</f>
        <v>N/A</v>
      </c>
      <c r="O4939" t="s">
        <v>49</v>
      </c>
      <c r="P4939" t="s">
        <v>68</v>
      </c>
      <c r="Q4939">
        <v>100</v>
      </c>
      <c r="R4939">
        <v>100</v>
      </c>
      <c r="S4939" t="s">
        <v>77</v>
      </c>
    </row>
    <row r="4940" spans="1:19" x14ac:dyDescent="0.35">
      <c r="A4940">
        <v>12103</v>
      </c>
      <c r="B4940" t="str">
        <f>"012103"</f>
        <v>012103</v>
      </c>
      <c r="C4940" t="s">
        <v>13752</v>
      </c>
      <c r="D4940" t="s">
        <v>3394</v>
      </c>
      <c r="E4940" t="s">
        <v>3395</v>
      </c>
      <c r="F4940" t="s">
        <v>3396</v>
      </c>
      <c r="G4940" t="s">
        <v>52</v>
      </c>
      <c r="H4940" t="s">
        <v>13753</v>
      </c>
      <c r="I4940" t="s">
        <v>13754</v>
      </c>
      <c r="J4940" t="s">
        <v>2874</v>
      </c>
      <c r="K4940" t="s">
        <v>55</v>
      </c>
      <c r="L4940" t="s">
        <v>2875</v>
      </c>
      <c r="M4940" t="s">
        <v>57</v>
      </c>
      <c r="N4940" t="str">
        <f>"046748"</f>
        <v>046748</v>
      </c>
      <c r="O4940" t="s">
        <v>2871</v>
      </c>
      <c r="P4940" t="s">
        <v>68</v>
      </c>
      <c r="Q4940">
        <v>11.1</v>
      </c>
      <c r="R4940">
        <v>13.299999999999997</v>
      </c>
      <c r="S4940" t="s">
        <v>60</v>
      </c>
    </row>
    <row r="4941" spans="1:19" x14ac:dyDescent="0.35">
      <c r="A4941">
        <v>12105</v>
      </c>
      <c r="B4941" t="str">
        <f>"012105"</f>
        <v>012105</v>
      </c>
      <c r="C4941" t="s">
        <v>13755</v>
      </c>
      <c r="D4941" t="s">
        <v>3394</v>
      </c>
      <c r="E4941" t="s">
        <v>12048</v>
      </c>
      <c r="F4941" t="s">
        <v>3396</v>
      </c>
      <c r="G4941" t="s">
        <v>383</v>
      </c>
      <c r="H4941" t="s">
        <v>13756</v>
      </c>
      <c r="I4941" t="s">
        <v>13757</v>
      </c>
      <c r="J4941" t="s">
        <v>1215</v>
      </c>
      <c r="K4941" t="s">
        <v>55</v>
      </c>
      <c r="L4941" t="s">
        <v>9578</v>
      </c>
      <c r="M4941" t="s">
        <v>57</v>
      </c>
      <c r="N4941" t="str">
        <f>"015000"</f>
        <v>015000</v>
      </c>
      <c r="O4941" t="s">
        <v>13758</v>
      </c>
      <c r="P4941" t="s">
        <v>68</v>
      </c>
      <c r="Q4941">
        <v>100</v>
      </c>
      <c r="R4941">
        <v>92.1</v>
      </c>
      <c r="S4941" t="s">
        <v>77</v>
      </c>
    </row>
    <row r="4942" spans="1:19" x14ac:dyDescent="0.35">
      <c r="A4942">
        <v>12105</v>
      </c>
      <c r="B4942" t="str">
        <f>"012105"</f>
        <v>012105</v>
      </c>
      <c r="C4942" t="s">
        <v>13755</v>
      </c>
      <c r="D4942" t="s">
        <v>12052</v>
      </c>
      <c r="E4942" t="s">
        <v>12048</v>
      </c>
      <c r="F4942" t="s">
        <v>3396</v>
      </c>
      <c r="G4942" t="s">
        <v>383</v>
      </c>
      <c r="H4942" t="s">
        <v>13756</v>
      </c>
      <c r="I4942" t="s">
        <v>13757</v>
      </c>
      <c r="J4942" t="s">
        <v>1215</v>
      </c>
      <c r="K4942" t="s">
        <v>55</v>
      </c>
      <c r="L4942" t="s">
        <v>9578</v>
      </c>
      <c r="M4942" t="s">
        <v>57</v>
      </c>
      <c r="N4942" t="str">
        <f>"015000"</f>
        <v>015000</v>
      </c>
      <c r="O4942" t="s">
        <v>13758</v>
      </c>
      <c r="P4942" t="s">
        <v>68</v>
      </c>
      <c r="Q4942">
        <v>100</v>
      </c>
      <c r="R4942">
        <v>92.1</v>
      </c>
      <c r="S4942" t="s">
        <v>77</v>
      </c>
    </row>
    <row r="4943" spans="1:19" x14ac:dyDescent="0.35">
      <c r="A4943">
        <v>12335</v>
      </c>
      <c r="B4943" t="str">
        <f>"012335"</f>
        <v>012335</v>
      </c>
      <c r="C4943" t="s">
        <v>13759</v>
      </c>
      <c r="D4943" t="s">
        <v>3398</v>
      </c>
      <c r="E4943" t="s">
        <v>3395</v>
      </c>
      <c r="F4943" t="s">
        <v>3396</v>
      </c>
      <c r="G4943" t="s">
        <v>143</v>
      </c>
      <c r="H4943" t="s">
        <v>13256</v>
      </c>
      <c r="I4943" t="s">
        <v>13257</v>
      </c>
      <c r="J4943" t="s">
        <v>143</v>
      </c>
      <c r="K4943" t="s">
        <v>55</v>
      </c>
      <c r="L4943" t="s">
        <v>1033</v>
      </c>
      <c r="M4943" t="s">
        <v>57</v>
      </c>
      <c r="N4943" t="str">
        <f>"044263"</f>
        <v>044263</v>
      </c>
      <c r="O4943" t="s">
        <v>1364</v>
      </c>
      <c r="P4943" t="s">
        <v>68</v>
      </c>
      <c r="Q4943">
        <v>100</v>
      </c>
      <c r="R4943">
        <v>87.5</v>
      </c>
      <c r="S4943" t="s">
        <v>69</v>
      </c>
    </row>
    <row r="4944" spans="1:19" x14ac:dyDescent="0.35">
      <c r="A4944">
        <v>12348</v>
      </c>
      <c r="B4944" t="str">
        <f>"012348"</f>
        <v>012348</v>
      </c>
      <c r="C4944" t="s">
        <v>13760</v>
      </c>
      <c r="D4944" t="s">
        <v>3394</v>
      </c>
      <c r="E4944" t="s">
        <v>3395</v>
      </c>
      <c r="F4944" t="s">
        <v>3396</v>
      </c>
      <c r="G4944" t="s">
        <v>1187</v>
      </c>
      <c r="H4944" t="s">
        <v>1188</v>
      </c>
      <c r="I4944" t="s">
        <v>1189</v>
      </c>
      <c r="J4944" t="s">
        <v>1190</v>
      </c>
      <c r="K4944" t="s">
        <v>55</v>
      </c>
      <c r="L4944" t="s">
        <v>1191</v>
      </c>
      <c r="M4944" t="s">
        <v>57</v>
      </c>
      <c r="N4944" t="str">
        <f>"045245"</f>
        <v>045245</v>
      </c>
      <c r="O4944" t="s">
        <v>1186</v>
      </c>
      <c r="P4944" t="s">
        <v>68</v>
      </c>
      <c r="Q4944">
        <v>51.9</v>
      </c>
      <c r="R4944">
        <v>9.5</v>
      </c>
      <c r="S4944" t="s">
        <v>130</v>
      </c>
    </row>
    <row r="4945" spans="1:19" x14ac:dyDescent="0.35">
      <c r="A4945">
        <v>12350</v>
      </c>
      <c r="B4945" t="str">
        <f>"012350"</f>
        <v>012350</v>
      </c>
      <c r="C4945" t="s">
        <v>13761</v>
      </c>
      <c r="D4945" t="s">
        <v>3394</v>
      </c>
      <c r="E4945" t="s">
        <v>3395</v>
      </c>
      <c r="F4945" t="s">
        <v>3396</v>
      </c>
      <c r="G4945" t="s">
        <v>63</v>
      </c>
      <c r="H4945" t="s">
        <v>13762</v>
      </c>
      <c r="I4945" t="s">
        <v>13763</v>
      </c>
      <c r="J4945" t="s">
        <v>285</v>
      </c>
      <c r="K4945" t="s">
        <v>55</v>
      </c>
      <c r="L4945" t="s">
        <v>609</v>
      </c>
      <c r="M4945" t="s">
        <v>57</v>
      </c>
      <c r="N4945" t="str">
        <f>"043786"</f>
        <v>043786</v>
      </c>
      <c r="O4945" t="s">
        <v>1340</v>
      </c>
      <c r="P4945" t="s">
        <v>68</v>
      </c>
      <c r="Q4945">
        <v>100</v>
      </c>
      <c r="R4945">
        <v>76.3</v>
      </c>
      <c r="S4945" t="s">
        <v>69</v>
      </c>
    </row>
    <row r="4946" spans="1:19" x14ac:dyDescent="0.35">
      <c r="A4946">
        <v>12352</v>
      </c>
      <c r="B4946" t="str">
        <f>"012352"</f>
        <v>012352</v>
      </c>
      <c r="C4946" t="s">
        <v>13764</v>
      </c>
      <c r="D4946" t="s">
        <v>3398</v>
      </c>
      <c r="E4946" t="s">
        <v>3395</v>
      </c>
      <c r="F4946" t="s">
        <v>3396</v>
      </c>
      <c r="G4946" t="s">
        <v>63</v>
      </c>
      <c r="H4946" t="s">
        <v>13765</v>
      </c>
      <c r="I4946" t="s">
        <v>13766</v>
      </c>
      <c r="J4946" t="s">
        <v>285</v>
      </c>
      <c r="K4946" t="s">
        <v>55</v>
      </c>
      <c r="L4946" t="s">
        <v>5375</v>
      </c>
      <c r="M4946" t="s">
        <v>57</v>
      </c>
      <c r="N4946" t="str">
        <f>"043786"</f>
        <v>043786</v>
      </c>
      <c r="O4946" t="s">
        <v>1340</v>
      </c>
      <c r="P4946" t="s">
        <v>68</v>
      </c>
      <c r="Q4946">
        <v>100</v>
      </c>
      <c r="R4946">
        <v>76.3</v>
      </c>
      <c r="S4946" t="s">
        <v>69</v>
      </c>
    </row>
    <row r="4947" spans="1:19" x14ac:dyDescent="0.35">
      <c r="A4947">
        <v>12355</v>
      </c>
      <c r="B4947" t="str">
        <f>"012355"</f>
        <v>012355</v>
      </c>
      <c r="C4947" t="s">
        <v>13767</v>
      </c>
      <c r="D4947" t="s">
        <v>3398</v>
      </c>
      <c r="E4947" t="s">
        <v>3395</v>
      </c>
      <c r="F4947" t="s">
        <v>3396</v>
      </c>
      <c r="G4947" t="s">
        <v>63</v>
      </c>
      <c r="H4947" t="s">
        <v>13768</v>
      </c>
      <c r="I4947" t="s">
        <v>13769</v>
      </c>
      <c r="J4947" t="s">
        <v>285</v>
      </c>
      <c r="K4947" t="s">
        <v>55</v>
      </c>
      <c r="L4947" t="s">
        <v>3798</v>
      </c>
      <c r="M4947" t="s">
        <v>57</v>
      </c>
      <c r="N4947" t="str">
        <f>"043786"</f>
        <v>043786</v>
      </c>
      <c r="O4947" t="s">
        <v>1340</v>
      </c>
      <c r="P4947" t="s">
        <v>68</v>
      </c>
      <c r="Q4947">
        <v>100</v>
      </c>
      <c r="R4947">
        <v>67.3</v>
      </c>
      <c r="S4947" t="s">
        <v>69</v>
      </c>
    </row>
    <row r="4948" spans="1:19" x14ac:dyDescent="0.35">
      <c r="A4948">
        <v>12391</v>
      </c>
      <c r="B4948" t="str">
        <f>"012391"</f>
        <v>012391</v>
      </c>
      <c r="C4948" t="s">
        <v>13770</v>
      </c>
      <c r="D4948" t="s">
        <v>3398</v>
      </c>
      <c r="E4948" t="s">
        <v>13608</v>
      </c>
      <c r="F4948" t="s">
        <v>3396</v>
      </c>
      <c r="G4948" t="s">
        <v>600</v>
      </c>
      <c r="H4948" t="s">
        <v>13771</v>
      </c>
      <c r="I4948" t="s">
        <v>13772</v>
      </c>
      <c r="J4948" t="s">
        <v>1348</v>
      </c>
      <c r="K4948" t="s">
        <v>55</v>
      </c>
      <c r="L4948" t="s">
        <v>13773</v>
      </c>
      <c r="M4948" t="s">
        <v>57</v>
      </c>
      <c r="N4948" t="str">
        <f>"012391"</f>
        <v>012391</v>
      </c>
      <c r="O4948" t="s">
        <v>13770</v>
      </c>
      <c r="P4948" t="s">
        <v>68</v>
      </c>
      <c r="Q4948">
        <v>39.299999999999997</v>
      </c>
      <c r="R4948">
        <v>64.5</v>
      </c>
      <c r="S4948" t="s">
        <v>60</v>
      </c>
    </row>
    <row r="4949" spans="1:19" x14ac:dyDescent="0.35">
      <c r="A4949">
        <v>12391</v>
      </c>
      <c r="B4949" t="str">
        <f>"012391"</f>
        <v>012391</v>
      </c>
      <c r="C4949" t="s">
        <v>13770</v>
      </c>
      <c r="D4949" t="s">
        <v>3929</v>
      </c>
      <c r="E4949" t="s">
        <v>13608</v>
      </c>
      <c r="F4949" t="s">
        <v>3396</v>
      </c>
      <c r="G4949" t="s">
        <v>600</v>
      </c>
      <c r="H4949" t="s">
        <v>13771</v>
      </c>
      <c r="I4949" t="s">
        <v>13772</v>
      </c>
      <c r="J4949" t="s">
        <v>1348</v>
      </c>
      <c r="K4949" t="s">
        <v>55</v>
      </c>
      <c r="L4949" t="s">
        <v>13773</v>
      </c>
      <c r="M4949" t="s">
        <v>57</v>
      </c>
      <c r="N4949" t="str">
        <f>"012391"</f>
        <v>012391</v>
      </c>
      <c r="O4949" t="s">
        <v>13770</v>
      </c>
      <c r="P4949" t="s">
        <v>68</v>
      </c>
      <c r="Q4949">
        <v>39.299999999999997</v>
      </c>
      <c r="R4949">
        <v>64.5</v>
      </c>
      <c r="S4949" t="s">
        <v>60</v>
      </c>
    </row>
    <row r="4950" spans="1:19" x14ac:dyDescent="0.35">
      <c r="A4950">
        <v>12394</v>
      </c>
      <c r="B4950" t="str">
        <f>"012394"</f>
        <v>012394</v>
      </c>
      <c r="C4950" t="s">
        <v>13774</v>
      </c>
      <c r="D4950" t="s">
        <v>3394</v>
      </c>
      <c r="E4950" t="s">
        <v>3395</v>
      </c>
      <c r="F4950" t="s">
        <v>3396</v>
      </c>
      <c r="G4950" t="s">
        <v>63</v>
      </c>
      <c r="H4950" t="s">
        <v>13775</v>
      </c>
      <c r="I4950" t="s">
        <v>13776</v>
      </c>
      <c r="J4950" t="s">
        <v>285</v>
      </c>
      <c r="K4950" t="s">
        <v>55</v>
      </c>
      <c r="L4950" t="s">
        <v>1711</v>
      </c>
      <c r="M4950" t="s">
        <v>57</v>
      </c>
      <c r="N4950" t="str">
        <f>"045005"</f>
        <v>045005</v>
      </c>
      <c r="O4950" t="s">
        <v>1707</v>
      </c>
      <c r="P4950" t="s">
        <v>68</v>
      </c>
      <c r="Q4950">
        <v>99.4</v>
      </c>
      <c r="R4950">
        <v>100</v>
      </c>
      <c r="S4950" t="s">
        <v>69</v>
      </c>
    </row>
    <row r="4951" spans="1:19" x14ac:dyDescent="0.35">
      <c r="A4951">
        <v>12410</v>
      </c>
      <c r="B4951" t="str">
        <f>"012410"</f>
        <v>012410</v>
      </c>
      <c r="C4951" t="s">
        <v>13777</v>
      </c>
      <c r="D4951" t="s">
        <v>3400</v>
      </c>
      <c r="E4951" t="s">
        <v>3395</v>
      </c>
      <c r="F4951" t="s">
        <v>3396</v>
      </c>
      <c r="G4951" t="s">
        <v>855</v>
      </c>
      <c r="H4951" t="s">
        <v>1643</v>
      </c>
      <c r="I4951" t="s">
        <v>1644</v>
      </c>
      <c r="J4951" t="s">
        <v>855</v>
      </c>
      <c r="K4951" t="s">
        <v>55</v>
      </c>
      <c r="L4951" t="s">
        <v>1457</v>
      </c>
      <c r="M4951" t="s">
        <v>57</v>
      </c>
      <c r="N4951" t="str">
        <f>"045831"</f>
        <v>045831</v>
      </c>
      <c r="O4951" t="s">
        <v>1642</v>
      </c>
      <c r="P4951" t="s">
        <v>68</v>
      </c>
      <c r="Q4951">
        <v>36.700000000000003</v>
      </c>
      <c r="R4951">
        <v>5</v>
      </c>
      <c r="S4951" t="s">
        <v>77</v>
      </c>
    </row>
    <row r="4952" spans="1:19" x14ac:dyDescent="0.35">
      <c r="A4952">
        <v>12434</v>
      </c>
      <c r="B4952" t="str">
        <f>"012434"</f>
        <v>012434</v>
      </c>
      <c r="C4952" t="s">
        <v>13778</v>
      </c>
      <c r="D4952" t="s">
        <v>3394</v>
      </c>
      <c r="E4952" t="s">
        <v>3395</v>
      </c>
      <c r="F4952" t="s">
        <v>3396</v>
      </c>
      <c r="G4952" t="s">
        <v>1041</v>
      </c>
      <c r="H4952" t="s">
        <v>13779</v>
      </c>
      <c r="I4952" t="s">
        <v>13780</v>
      </c>
      <c r="J4952" t="s">
        <v>9988</v>
      </c>
      <c r="K4952" t="s">
        <v>55</v>
      </c>
      <c r="L4952" t="s">
        <v>9989</v>
      </c>
      <c r="M4952" t="s">
        <v>57</v>
      </c>
      <c r="N4952" t="str">
        <f>"046326"</f>
        <v>046326</v>
      </c>
      <c r="O4952" t="s">
        <v>2022</v>
      </c>
      <c r="P4952" t="s">
        <v>68</v>
      </c>
      <c r="Q4952" t="s">
        <v>68</v>
      </c>
      <c r="R4952" t="s">
        <v>68</v>
      </c>
      <c r="S4952" t="s">
        <v>217</v>
      </c>
    </row>
    <row r="4953" spans="1:19" x14ac:dyDescent="0.35">
      <c r="A4953">
        <v>12495</v>
      </c>
      <c r="B4953" t="str">
        <f>"012495"</f>
        <v>012495</v>
      </c>
      <c r="C4953" t="s">
        <v>13781</v>
      </c>
      <c r="D4953" t="s">
        <v>3400</v>
      </c>
      <c r="E4953" t="s">
        <v>3395</v>
      </c>
      <c r="F4953" t="s">
        <v>3396</v>
      </c>
      <c r="G4953" t="s">
        <v>52</v>
      </c>
      <c r="H4953" t="s">
        <v>13782</v>
      </c>
      <c r="I4953" t="s">
        <v>13783</v>
      </c>
      <c r="J4953" t="s">
        <v>2874</v>
      </c>
      <c r="K4953" t="s">
        <v>55</v>
      </c>
      <c r="L4953" t="s">
        <v>2875</v>
      </c>
      <c r="M4953" t="s">
        <v>57</v>
      </c>
      <c r="N4953" t="str">
        <f>"046748"</f>
        <v>046748</v>
      </c>
      <c r="O4953" t="s">
        <v>2871</v>
      </c>
      <c r="P4953" t="s">
        <v>68</v>
      </c>
      <c r="Q4953">
        <v>14.4</v>
      </c>
      <c r="R4953">
        <v>12.299999999999997</v>
      </c>
      <c r="S4953" t="s">
        <v>60</v>
      </c>
    </row>
    <row r="4954" spans="1:19" x14ac:dyDescent="0.35">
      <c r="A4954">
        <v>12499</v>
      </c>
      <c r="B4954" t="str">
        <f>"012499"</f>
        <v>012499</v>
      </c>
      <c r="C4954" t="s">
        <v>13784</v>
      </c>
      <c r="D4954" t="s">
        <v>3394</v>
      </c>
      <c r="E4954" t="s">
        <v>3395</v>
      </c>
      <c r="F4954" t="s">
        <v>3396</v>
      </c>
      <c r="G4954" t="s">
        <v>1193</v>
      </c>
      <c r="H4954" t="s">
        <v>13250</v>
      </c>
      <c r="I4954" t="s">
        <v>13251</v>
      </c>
      <c r="J4954" t="s">
        <v>1196</v>
      </c>
      <c r="K4954" t="s">
        <v>55</v>
      </c>
      <c r="L4954" t="s">
        <v>1197</v>
      </c>
      <c r="M4954" t="s">
        <v>57</v>
      </c>
      <c r="N4954" t="str">
        <f>"044222"</f>
        <v>044222</v>
      </c>
      <c r="O4954" t="s">
        <v>1827</v>
      </c>
      <c r="P4954" t="s">
        <v>68</v>
      </c>
      <c r="Q4954" t="s">
        <v>68</v>
      </c>
      <c r="R4954" t="s">
        <v>68</v>
      </c>
      <c r="S4954" t="s">
        <v>156</v>
      </c>
    </row>
    <row r="4955" spans="1:19" x14ac:dyDescent="0.35">
      <c r="A4955">
        <v>12501</v>
      </c>
      <c r="B4955" t="str">
        <f>"012501"</f>
        <v>012501</v>
      </c>
      <c r="C4955" t="s">
        <v>13785</v>
      </c>
      <c r="D4955" t="s">
        <v>3506</v>
      </c>
      <c r="E4955" t="s">
        <v>12048</v>
      </c>
      <c r="F4955" t="s">
        <v>3396</v>
      </c>
      <c r="G4955" t="s">
        <v>187</v>
      </c>
      <c r="H4955" t="s">
        <v>13786</v>
      </c>
      <c r="I4955" t="s">
        <v>13787</v>
      </c>
      <c r="J4955" t="s">
        <v>4798</v>
      </c>
      <c r="K4955" t="s">
        <v>55</v>
      </c>
      <c r="L4955" t="s">
        <v>4799</v>
      </c>
      <c r="M4955" t="s">
        <v>57</v>
      </c>
      <c r="N4955" t="str">
        <f>"N/A"</f>
        <v>N/A</v>
      </c>
      <c r="O4955" t="s">
        <v>49</v>
      </c>
      <c r="P4955" t="s">
        <v>68</v>
      </c>
      <c r="Q4955">
        <v>50.9</v>
      </c>
      <c r="R4955">
        <v>0</v>
      </c>
      <c r="S4955" t="s">
        <v>77</v>
      </c>
    </row>
    <row r="4956" spans="1:19" x14ac:dyDescent="0.35">
      <c r="A4956">
        <v>12501</v>
      </c>
      <c r="B4956" t="str">
        <f>"012501"</f>
        <v>012501</v>
      </c>
      <c r="C4956" t="s">
        <v>13785</v>
      </c>
      <c r="D4956" t="s">
        <v>12052</v>
      </c>
      <c r="E4956" t="s">
        <v>12048</v>
      </c>
      <c r="F4956" t="s">
        <v>3396</v>
      </c>
      <c r="G4956" t="s">
        <v>187</v>
      </c>
      <c r="H4956" t="s">
        <v>13786</v>
      </c>
      <c r="I4956" t="s">
        <v>13787</v>
      </c>
      <c r="J4956" t="s">
        <v>4798</v>
      </c>
      <c r="K4956" t="s">
        <v>55</v>
      </c>
      <c r="L4956" t="s">
        <v>4799</v>
      </c>
      <c r="M4956" t="s">
        <v>57</v>
      </c>
      <c r="N4956" t="str">
        <f>"N/A"</f>
        <v>N/A</v>
      </c>
      <c r="O4956" t="s">
        <v>49</v>
      </c>
      <c r="P4956" t="s">
        <v>68</v>
      </c>
      <c r="Q4956">
        <v>50.9</v>
      </c>
      <c r="R4956">
        <v>0</v>
      </c>
      <c r="S4956" t="s">
        <v>77</v>
      </c>
    </row>
    <row r="4957" spans="1:19" x14ac:dyDescent="0.35">
      <c r="A4957">
        <v>12501</v>
      </c>
      <c r="B4957" t="str">
        <f>"012501"</f>
        <v>012501</v>
      </c>
      <c r="C4957" t="s">
        <v>13785</v>
      </c>
      <c r="D4957" t="s">
        <v>12677</v>
      </c>
      <c r="E4957" t="s">
        <v>12048</v>
      </c>
      <c r="F4957" t="s">
        <v>3396</v>
      </c>
      <c r="G4957" t="s">
        <v>187</v>
      </c>
      <c r="H4957" t="s">
        <v>13786</v>
      </c>
      <c r="I4957" t="s">
        <v>13787</v>
      </c>
      <c r="J4957" t="s">
        <v>4798</v>
      </c>
      <c r="K4957" t="s">
        <v>55</v>
      </c>
      <c r="L4957" t="s">
        <v>4799</v>
      </c>
      <c r="M4957" t="s">
        <v>57</v>
      </c>
      <c r="N4957" t="str">
        <f>"N/A"</f>
        <v>N/A</v>
      </c>
      <c r="O4957" t="s">
        <v>49</v>
      </c>
      <c r="P4957" t="s">
        <v>68</v>
      </c>
      <c r="Q4957">
        <v>50.9</v>
      </c>
      <c r="R4957">
        <v>0</v>
      </c>
      <c r="S4957" t="s">
        <v>77</v>
      </c>
    </row>
    <row r="4958" spans="1:19" x14ac:dyDescent="0.35">
      <c r="A4958">
        <v>12508</v>
      </c>
      <c r="B4958" t="str">
        <f>"012508"</f>
        <v>012508</v>
      </c>
      <c r="C4958" t="s">
        <v>13788</v>
      </c>
      <c r="D4958" t="s">
        <v>3398</v>
      </c>
      <c r="E4958" t="s">
        <v>9538</v>
      </c>
      <c r="F4958" t="s">
        <v>3396</v>
      </c>
      <c r="G4958" t="s">
        <v>212</v>
      </c>
      <c r="H4958" t="s">
        <v>13789</v>
      </c>
      <c r="I4958" t="s">
        <v>13790</v>
      </c>
      <c r="J4958" t="s">
        <v>215</v>
      </c>
      <c r="K4958" t="s">
        <v>55</v>
      </c>
      <c r="L4958" t="s">
        <v>6998</v>
      </c>
      <c r="M4958" t="s">
        <v>57</v>
      </c>
      <c r="N4958" t="str">
        <f>"052514"</f>
        <v>052514</v>
      </c>
      <c r="O4958" t="s">
        <v>2465</v>
      </c>
      <c r="P4958" t="s">
        <v>68</v>
      </c>
      <c r="Q4958" t="s">
        <v>68</v>
      </c>
      <c r="R4958" t="s">
        <v>68</v>
      </c>
      <c r="S4958" t="s">
        <v>217</v>
      </c>
    </row>
    <row r="4959" spans="1:19" x14ac:dyDescent="0.35">
      <c r="A4959">
        <v>12521</v>
      </c>
      <c r="B4959" t="str">
        <f>"012521"</f>
        <v>012521</v>
      </c>
      <c r="C4959" t="s">
        <v>13791</v>
      </c>
      <c r="D4959" t="s">
        <v>3394</v>
      </c>
      <c r="E4959" t="s">
        <v>3395</v>
      </c>
      <c r="F4959" t="s">
        <v>3396</v>
      </c>
      <c r="G4959" t="s">
        <v>600</v>
      </c>
      <c r="H4959" t="s">
        <v>13792</v>
      </c>
      <c r="I4959" t="s">
        <v>13793</v>
      </c>
      <c r="J4959" t="s">
        <v>2690</v>
      </c>
      <c r="K4959" t="s">
        <v>55</v>
      </c>
      <c r="L4959" t="s">
        <v>2691</v>
      </c>
      <c r="M4959" t="s">
        <v>57</v>
      </c>
      <c r="N4959" t="str">
        <f>"045047"</f>
        <v>045047</v>
      </c>
      <c r="O4959" t="s">
        <v>2687</v>
      </c>
      <c r="P4959" t="s">
        <v>68</v>
      </c>
      <c r="Q4959" t="s">
        <v>68</v>
      </c>
      <c r="R4959" t="s">
        <v>68</v>
      </c>
      <c r="S4959" t="s">
        <v>60</v>
      </c>
    </row>
    <row r="4960" spans="1:19" x14ac:dyDescent="0.35">
      <c r="A4960">
        <v>12523</v>
      </c>
      <c r="B4960" t="str">
        <f>"012523"</f>
        <v>012523</v>
      </c>
      <c r="C4960" t="s">
        <v>13794</v>
      </c>
      <c r="D4960" t="s">
        <v>3394</v>
      </c>
      <c r="E4960" t="s">
        <v>3395</v>
      </c>
      <c r="F4960" t="s">
        <v>3396</v>
      </c>
      <c r="G4960" t="s">
        <v>657</v>
      </c>
      <c r="H4960" t="s">
        <v>13795</v>
      </c>
      <c r="I4960" t="s">
        <v>13796</v>
      </c>
      <c r="J4960" t="s">
        <v>1432</v>
      </c>
      <c r="K4960" t="s">
        <v>55</v>
      </c>
      <c r="L4960" t="s">
        <v>1433</v>
      </c>
      <c r="M4960" t="s">
        <v>57</v>
      </c>
      <c r="N4960" t="str">
        <f>"048272"</f>
        <v>048272</v>
      </c>
      <c r="O4960" t="s">
        <v>1727</v>
      </c>
      <c r="P4960" t="s">
        <v>68</v>
      </c>
      <c r="Q4960">
        <v>39.4</v>
      </c>
      <c r="R4960">
        <v>12.700000000000003</v>
      </c>
      <c r="S4960" t="s">
        <v>60</v>
      </c>
    </row>
    <row r="4961" spans="1:19" x14ac:dyDescent="0.35">
      <c r="A4961">
        <v>12524</v>
      </c>
      <c r="B4961" t="str">
        <f>"012524"</f>
        <v>012524</v>
      </c>
      <c r="C4961" t="s">
        <v>13797</v>
      </c>
      <c r="D4961" t="s">
        <v>3400</v>
      </c>
      <c r="E4961" t="s">
        <v>3395</v>
      </c>
      <c r="F4961" t="s">
        <v>3396</v>
      </c>
      <c r="G4961" t="s">
        <v>657</v>
      </c>
      <c r="H4961" t="s">
        <v>13798</v>
      </c>
      <c r="I4961" t="s">
        <v>13799</v>
      </c>
      <c r="J4961" t="s">
        <v>1432</v>
      </c>
      <c r="K4961" t="s">
        <v>55</v>
      </c>
      <c r="L4961" t="s">
        <v>1433</v>
      </c>
      <c r="M4961" t="s">
        <v>57</v>
      </c>
      <c r="N4961" t="str">
        <f>"048272"</f>
        <v>048272</v>
      </c>
      <c r="O4961" t="s">
        <v>1727</v>
      </c>
      <c r="P4961" t="s">
        <v>68</v>
      </c>
      <c r="Q4961">
        <v>39.5</v>
      </c>
      <c r="R4961">
        <v>9.7999999999999972</v>
      </c>
      <c r="S4961" t="s">
        <v>60</v>
      </c>
    </row>
    <row r="4962" spans="1:19" x14ac:dyDescent="0.35">
      <c r="A4962">
        <v>12528</v>
      </c>
      <c r="B4962" t="str">
        <f>"012528"</f>
        <v>012528</v>
      </c>
      <c r="C4962" t="s">
        <v>13800</v>
      </c>
      <c r="D4962" t="s">
        <v>3398</v>
      </c>
      <c r="E4962" t="s">
        <v>12048</v>
      </c>
      <c r="F4962" t="s">
        <v>3396</v>
      </c>
      <c r="G4962" t="s">
        <v>600</v>
      </c>
      <c r="H4962" t="s">
        <v>13801</v>
      </c>
      <c r="I4962" t="s">
        <v>13802</v>
      </c>
      <c r="J4962" t="s">
        <v>1348</v>
      </c>
      <c r="K4962" t="s">
        <v>55</v>
      </c>
      <c r="L4962" t="s">
        <v>3732</v>
      </c>
      <c r="M4962" t="s">
        <v>57</v>
      </c>
      <c r="N4962" t="str">
        <f>"014978"</f>
        <v>014978</v>
      </c>
      <c r="O4962" t="s">
        <v>13803</v>
      </c>
      <c r="P4962" t="s">
        <v>68</v>
      </c>
      <c r="Q4962">
        <v>100</v>
      </c>
      <c r="R4962">
        <v>100</v>
      </c>
      <c r="S4962" t="s">
        <v>60</v>
      </c>
    </row>
    <row r="4963" spans="1:19" x14ac:dyDescent="0.35">
      <c r="A4963">
        <v>12528</v>
      </c>
      <c r="B4963" t="str">
        <f>"012528"</f>
        <v>012528</v>
      </c>
      <c r="C4963" t="s">
        <v>13800</v>
      </c>
      <c r="D4963" t="s">
        <v>12052</v>
      </c>
      <c r="E4963" t="s">
        <v>12048</v>
      </c>
      <c r="F4963" t="s">
        <v>3396</v>
      </c>
      <c r="G4963" t="s">
        <v>600</v>
      </c>
      <c r="H4963" t="s">
        <v>13801</v>
      </c>
      <c r="I4963" t="s">
        <v>13802</v>
      </c>
      <c r="J4963" t="s">
        <v>1348</v>
      </c>
      <c r="K4963" t="s">
        <v>55</v>
      </c>
      <c r="L4963" t="s">
        <v>3732</v>
      </c>
      <c r="M4963" t="s">
        <v>57</v>
      </c>
      <c r="N4963" t="str">
        <f>"014978"</f>
        <v>014978</v>
      </c>
      <c r="O4963" t="s">
        <v>13803</v>
      </c>
      <c r="P4963" t="s">
        <v>68</v>
      </c>
      <c r="Q4963">
        <v>100</v>
      </c>
      <c r="R4963">
        <v>100</v>
      </c>
      <c r="S4963" t="s">
        <v>60</v>
      </c>
    </row>
    <row r="4964" spans="1:19" x14ac:dyDescent="0.35">
      <c r="A4964">
        <v>12528</v>
      </c>
      <c r="B4964" t="str">
        <f>"012528"</f>
        <v>012528</v>
      </c>
      <c r="C4964" t="s">
        <v>13800</v>
      </c>
      <c r="D4964" t="s">
        <v>12063</v>
      </c>
      <c r="E4964" t="s">
        <v>12048</v>
      </c>
      <c r="F4964" t="s">
        <v>3396</v>
      </c>
      <c r="G4964" t="s">
        <v>600</v>
      </c>
      <c r="H4964" t="s">
        <v>13801</v>
      </c>
      <c r="I4964" t="s">
        <v>13802</v>
      </c>
      <c r="J4964" t="s">
        <v>1348</v>
      </c>
      <c r="K4964" t="s">
        <v>55</v>
      </c>
      <c r="L4964" t="s">
        <v>3732</v>
      </c>
      <c r="M4964" t="s">
        <v>57</v>
      </c>
      <c r="N4964" t="str">
        <f>"014978"</f>
        <v>014978</v>
      </c>
      <c r="O4964" t="s">
        <v>13803</v>
      </c>
      <c r="P4964" t="s">
        <v>68</v>
      </c>
      <c r="Q4964">
        <v>100</v>
      </c>
      <c r="R4964">
        <v>100</v>
      </c>
      <c r="S4964" t="s">
        <v>60</v>
      </c>
    </row>
    <row r="4965" spans="1:19" x14ac:dyDescent="0.35">
      <c r="A4965">
        <v>12529</v>
      </c>
      <c r="B4965" t="str">
        <f>"012529"</f>
        <v>012529</v>
      </c>
      <c r="C4965" t="s">
        <v>13804</v>
      </c>
      <c r="D4965" t="s">
        <v>3398</v>
      </c>
      <c r="E4965" t="s">
        <v>12048</v>
      </c>
      <c r="F4965" t="s">
        <v>3396</v>
      </c>
      <c r="G4965" t="s">
        <v>600</v>
      </c>
      <c r="H4965" t="s">
        <v>13805</v>
      </c>
      <c r="I4965" t="s">
        <v>13806</v>
      </c>
      <c r="J4965" t="s">
        <v>1348</v>
      </c>
      <c r="K4965" t="s">
        <v>55</v>
      </c>
      <c r="L4965" t="s">
        <v>3462</v>
      </c>
      <c r="M4965" t="s">
        <v>57</v>
      </c>
      <c r="N4965" t="str">
        <f>"014990"</f>
        <v>014990</v>
      </c>
      <c r="O4965" t="s">
        <v>12463</v>
      </c>
      <c r="P4965" t="s">
        <v>68</v>
      </c>
      <c r="Q4965">
        <v>100</v>
      </c>
      <c r="R4965">
        <v>84.8</v>
      </c>
      <c r="S4965" t="s">
        <v>60</v>
      </c>
    </row>
    <row r="4966" spans="1:19" x14ac:dyDescent="0.35">
      <c r="A4966">
        <v>12529</v>
      </c>
      <c r="B4966" t="str">
        <f>"012529"</f>
        <v>012529</v>
      </c>
      <c r="C4966" t="s">
        <v>13804</v>
      </c>
      <c r="D4966" t="s">
        <v>12052</v>
      </c>
      <c r="E4966" t="s">
        <v>12048</v>
      </c>
      <c r="F4966" t="s">
        <v>3396</v>
      </c>
      <c r="G4966" t="s">
        <v>600</v>
      </c>
      <c r="H4966" t="s">
        <v>13805</v>
      </c>
      <c r="I4966" t="s">
        <v>13806</v>
      </c>
      <c r="J4966" t="s">
        <v>1348</v>
      </c>
      <c r="K4966" t="s">
        <v>55</v>
      </c>
      <c r="L4966" t="s">
        <v>3462</v>
      </c>
      <c r="M4966" t="s">
        <v>57</v>
      </c>
      <c r="N4966" t="str">
        <f>"014990"</f>
        <v>014990</v>
      </c>
      <c r="O4966" t="s">
        <v>12463</v>
      </c>
      <c r="P4966" t="s">
        <v>68</v>
      </c>
      <c r="Q4966">
        <v>100</v>
      </c>
      <c r="R4966">
        <v>84.8</v>
      </c>
      <c r="S4966" t="s">
        <v>60</v>
      </c>
    </row>
    <row r="4967" spans="1:19" x14ac:dyDescent="0.35">
      <c r="A4967">
        <v>12529</v>
      </c>
      <c r="B4967" t="str">
        <f>"012529"</f>
        <v>012529</v>
      </c>
      <c r="C4967" t="s">
        <v>13804</v>
      </c>
      <c r="D4967" t="s">
        <v>12063</v>
      </c>
      <c r="E4967" t="s">
        <v>12048</v>
      </c>
      <c r="F4967" t="s">
        <v>3396</v>
      </c>
      <c r="G4967" t="s">
        <v>600</v>
      </c>
      <c r="H4967" t="s">
        <v>13805</v>
      </c>
      <c r="I4967" t="s">
        <v>13806</v>
      </c>
      <c r="J4967" t="s">
        <v>1348</v>
      </c>
      <c r="K4967" t="s">
        <v>55</v>
      </c>
      <c r="L4967" t="s">
        <v>3462</v>
      </c>
      <c r="M4967" t="s">
        <v>57</v>
      </c>
      <c r="N4967" t="str">
        <f>"014990"</f>
        <v>014990</v>
      </c>
      <c r="O4967" t="s">
        <v>12463</v>
      </c>
      <c r="P4967" t="s">
        <v>68</v>
      </c>
      <c r="Q4967">
        <v>100</v>
      </c>
      <c r="R4967">
        <v>84.8</v>
      </c>
      <c r="S4967" t="s">
        <v>60</v>
      </c>
    </row>
    <row r="4968" spans="1:19" x14ac:dyDescent="0.35">
      <c r="A4968">
        <v>12541</v>
      </c>
      <c r="B4968" t="str">
        <f>"012541"</f>
        <v>012541</v>
      </c>
      <c r="C4968" t="s">
        <v>13807</v>
      </c>
      <c r="D4968" t="s">
        <v>3398</v>
      </c>
      <c r="E4968" t="s">
        <v>12048</v>
      </c>
      <c r="F4968" t="s">
        <v>3396</v>
      </c>
      <c r="G4968" t="s">
        <v>63</v>
      </c>
      <c r="H4968" t="s">
        <v>13808</v>
      </c>
      <c r="I4968" t="s">
        <v>13809</v>
      </c>
      <c r="J4968" t="s">
        <v>285</v>
      </c>
      <c r="K4968" t="s">
        <v>55</v>
      </c>
      <c r="L4968" t="s">
        <v>5437</v>
      </c>
      <c r="M4968" t="s">
        <v>57</v>
      </c>
      <c r="N4968" t="str">
        <f>"017093"</f>
        <v>017093</v>
      </c>
      <c r="O4968" t="s">
        <v>13664</v>
      </c>
      <c r="P4968" t="s">
        <v>68</v>
      </c>
      <c r="Q4968">
        <v>99.5</v>
      </c>
      <c r="R4968">
        <v>100</v>
      </c>
      <c r="S4968" t="s">
        <v>69</v>
      </c>
    </row>
    <row r="4969" spans="1:19" x14ac:dyDescent="0.35">
      <c r="A4969">
        <v>12541</v>
      </c>
      <c r="B4969" t="str">
        <f>"012541"</f>
        <v>012541</v>
      </c>
      <c r="C4969" t="s">
        <v>13807</v>
      </c>
      <c r="D4969" t="s">
        <v>12052</v>
      </c>
      <c r="E4969" t="s">
        <v>12048</v>
      </c>
      <c r="F4969" t="s">
        <v>3396</v>
      </c>
      <c r="G4969" t="s">
        <v>63</v>
      </c>
      <c r="H4969" t="s">
        <v>13808</v>
      </c>
      <c r="I4969" t="s">
        <v>13809</v>
      </c>
      <c r="J4969" t="s">
        <v>285</v>
      </c>
      <c r="K4969" t="s">
        <v>55</v>
      </c>
      <c r="L4969" t="s">
        <v>5437</v>
      </c>
      <c r="M4969" t="s">
        <v>57</v>
      </c>
      <c r="N4969" t="str">
        <f>"017093"</f>
        <v>017093</v>
      </c>
      <c r="O4969" t="s">
        <v>13664</v>
      </c>
      <c r="P4969" t="s">
        <v>68</v>
      </c>
      <c r="Q4969">
        <v>99.5</v>
      </c>
      <c r="R4969">
        <v>100</v>
      </c>
      <c r="S4969" t="s">
        <v>69</v>
      </c>
    </row>
    <row r="4970" spans="1:19" x14ac:dyDescent="0.35">
      <c r="A4970">
        <v>12555</v>
      </c>
      <c r="B4970" t="str">
        <f>"012555"</f>
        <v>012555</v>
      </c>
      <c r="C4970" t="s">
        <v>5103</v>
      </c>
      <c r="D4970" t="s">
        <v>3400</v>
      </c>
      <c r="E4970" t="s">
        <v>3395</v>
      </c>
      <c r="F4970" t="s">
        <v>3396</v>
      </c>
      <c r="G4970" t="s">
        <v>1020</v>
      </c>
      <c r="H4970" t="s">
        <v>1229</v>
      </c>
      <c r="I4970" t="s">
        <v>1230</v>
      </c>
      <c r="J4970" t="s">
        <v>1231</v>
      </c>
      <c r="K4970" t="s">
        <v>55</v>
      </c>
      <c r="L4970" t="s">
        <v>1232</v>
      </c>
      <c r="M4970" t="s">
        <v>57</v>
      </c>
      <c r="N4970" t="str">
        <f>"050351"</f>
        <v>050351</v>
      </c>
      <c r="O4970" t="s">
        <v>1228</v>
      </c>
      <c r="P4970" t="s">
        <v>68</v>
      </c>
      <c r="Q4970">
        <v>33.5</v>
      </c>
      <c r="R4970">
        <v>6.7000000000000028</v>
      </c>
      <c r="S4970" t="s">
        <v>156</v>
      </c>
    </row>
    <row r="4971" spans="1:19" x14ac:dyDescent="0.35">
      <c r="A4971">
        <v>12558</v>
      </c>
      <c r="B4971" t="str">
        <f>"012558"</f>
        <v>012558</v>
      </c>
      <c r="C4971" t="s">
        <v>13810</v>
      </c>
      <c r="D4971" t="s">
        <v>3400</v>
      </c>
      <c r="E4971" t="s">
        <v>12048</v>
      </c>
      <c r="F4971" t="s">
        <v>3396</v>
      </c>
      <c r="G4971" t="s">
        <v>63</v>
      </c>
      <c r="H4971" t="s">
        <v>13811</v>
      </c>
      <c r="I4971" t="s">
        <v>13812</v>
      </c>
      <c r="J4971" t="s">
        <v>66</v>
      </c>
      <c r="K4971" t="s">
        <v>55</v>
      </c>
      <c r="L4971" t="s">
        <v>67</v>
      </c>
      <c r="M4971" t="s">
        <v>57</v>
      </c>
      <c r="N4971" t="str">
        <f>"N/A"</f>
        <v>N/A</v>
      </c>
      <c r="O4971" t="s">
        <v>49</v>
      </c>
      <c r="P4971" t="s">
        <v>68</v>
      </c>
      <c r="Q4971">
        <v>71.900000000000006</v>
      </c>
      <c r="R4971">
        <v>2</v>
      </c>
      <c r="S4971" t="s">
        <v>69</v>
      </c>
    </row>
    <row r="4972" spans="1:19" x14ac:dyDescent="0.35">
      <c r="A4972">
        <v>12558</v>
      </c>
      <c r="B4972" t="str">
        <f>"012558"</f>
        <v>012558</v>
      </c>
      <c r="C4972" t="s">
        <v>13810</v>
      </c>
      <c r="D4972" t="s">
        <v>12052</v>
      </c>
      <c r="E4972" t="s">
        <v>12048</v>
      </c>
      <c r="F4972" t="s">
        <v>3396</v>
      </c>
      <c r="G4972" t="s">
        <v>63</v>
      </c>
      <c r="H4972" t="s">
        <v>13811</v>
      </c>
      <c r="I4972" t="s">
        <v>13812</v>
      </c>
      <c r="J4972" t="s">
        <v>66</v>
      </c>
      <c r="K4972" t="s">
        <v>55</v>
      </c>
      <c r="L4972" t="s">
        <v>67</v>
      </c>
      <c r="M4972" t="s">
        <v>57</v>
      </c>
      <c r="N4972" t="str">
        <f>"N/A"</f>
        <v>N/A</v>
      </c>
      <c r="O4972" t="s">
        <v>49</v>
      </c>
      <c r="P4972" t="s">
        <v>68</v>
      </c>
      <c r="Q4972">
        <v>71.900000000000006</v>
      </c>
      <c r="R4972">
        <v>2</v>
      </c>
      <c r="S4972" t="s">
        <v>69</v>
      </c>
    </row>
    <row r="4973" spans="1:19" x14ac:dyDescent="0.35">
      <c r="A4973">
        <v>12560</v>
      </c>
      <c r="B4973" t="str">
        <f>"012560"</f>
        <v>012560</v>
      </c>
      <c r="C4973" t="s">
        <v>13813</v>
      </c>
      <c r="D4973" t="s">
        <v>3394</v>
      </c>
      <c r="E4973" t="s">
        <v>3395</v>
      </c>
      <c r="F4973" t="s">
        <v>3396</v>
      </c>
      <c r="G4973" t="s">
        <v>110</v>
      </c>
      <c r="H4973" t="s">
        <v>13814</v>
      </c>
      <c r="I4973" t="s">
        <v>13815</v>
      </c>
      <c r="J4973" t="s">
        <v>603</v>
      </c>
      <c r="K4973" t="s">
        <v>55</v>
      </c>
      <c r="L4973" t="s">
        <v>604</v>
      </c>
      <c r="M4973" t="s">
        <v>57</v>
      </c>
      <c r="N4973" t="str">
        <f>"047001"</f>
        <v>047001</v>
      </c>
      <c r="O4973" t="s">
        <v>599</v>
      </c>
      <c r="P4973" t="s">
        <v>68</v>
      </c>
      <c r="Q4973">
        <v>55.4</v>
      </c>
      <c r="R4973">
        <v>71.2</v>
      </c>
      <c r="S4973" t="s">
        <v>60</v>
      </c>
    </row>
    <row r="4974" spans="1:19" x14ac:dyDescent="0.35">
      <c r="A4974">
        <v>12560</v>
      </c>
      <c r="B4974" t="str">
        <f>"012560"</f>
        <v>012560</v>
      </c>
      <c r="C4974" t="s">
        <v>13813</v>
      </c>
      <c r="D4974" t="s">
        <v>3929</v>
      </c>
      <c r="E4974" t="s">
        <v>3395</v>
      </c>
      <c r="F4974" t="s">
        <v>3396</v>
      </c>
      <c r="G4974" t="s">
        <v>110</v>
      </c>
      <c r="H4974" t="s">
        <v>13814</v>
      </c>
      <c r="I4974" t="s">
        <v>13815</v>
      </c>
      <c r="J4974" t="s">
        <v>603</v>
      </c>
      <c r="K4974" t="s">
        <v>55</v>
      </c>
      <c r="L4974" t="s">
        <v>604</v>
      </c>
      <c r="M4974" t="s">
        <v>57</v>
      </c>
      <c r="N4974" t="str">
        <f>"047001"</f>
        <v>047001</v>
      </c>
      <c r="O4974" t="s">
        <v>599</v>
      </c>
      <c r="P4974" t="s">
        <v>68</v>
      </c>
      <c r="Q4974">
        <v>55.4</v>
      </c>
      <c r="R4974">
        <v>71.2</v>
      </c>
      <c r="S4974" t="s">
        <v>60</v>
      </c>
    </row>
    <row r="4975" spans="1:19" x14ac:dyDescent="0.35">
      <c r="A4975">
        <v>12569</v>
      </c>
      <c r="B4975" t="str">
        <f>"012569"</f>
        <v>012569</v>
      </c>
      <c r="C4975" t="s">
        <v>13816</v>
      </c>
      <c r="D4975" t="s">
        <v>3394</v>
      </c>
      <c r="E4975" t="s">
        <v>3395</v>
      </c>
      <c r="F4975" t="s">
        <v>3396</v>
      </c>
      <c r="G4975" t="s">
        <v>63</v>
      </c>
      <c r="H4975" t="s">
        <v>13817</v>
      </c>
      <c r="I4975" t="s">
        <v>13818</v>
      </c>
      <c r="J4975" t="s">
        <v>1353</v>
      </c>
      <c r="K4975" t="s">
        <v>55</v>
      </c>
      <c r="L4975" t="s">
        <v>1354</v>
      </c>
      <c r="M4975" t="s">
        <v>57</v>
      </c>
      <c r="N4975" t="str">
        <f>"043547"</f>
        <v>043547</v>
      </c>
      <c r="O4975" t="s">
        <v>1350</v>
      </c>
      <c r="P4975" t="s">
        <v>68</v>
      </c>
      <c r="Q4975" t="s">
        <v>68</v>
      </c>
      <c r="R4975" t="s">
        <v>68</v>
      </c>
      <c r="S4975" t="s">
        <v>69</v>
      </c>
    </row>
    <row r="4976" spans="1:19" x14ac:dyDescent="0.35">
      <c r="A4976">
        <v>12618</v>
      </c>
      <c r="B4976" t="str">
        <f>"012618"</f>
        <v>012618</v>
      </c>
      <c r="C4976" t="s">
        <v>13819</v>
      </c>
      <c r="D4976" t="s">
        <v>3394</v>
      </c>
      <c r="E4976" t="s">
        <v>3395</v>
      </c>
      <c r="F4976" t="s">
        <v>3396</v>
      </c>
      <c r="G4976" t="s">
        <v>600</v>
      </c>
      <c r="H4976" t="s">
        <v>13820</v>
      </c>
      <c r="I4976" t="s">
        <v>13821</v>
      </c>
      <c r="J4976" t="s">
        <v>13822</v>
      </c>
      <c r="K4976" t="s">
        <v>55</v>
      </c>
      <c r="L4976" t="s">
        <v>5611</v>
      </c>
      <c r="M4976" t="s">
        <v>57</v>
      </c>
      <c r="N4976" t="str">
        <f>"044933"</f>
        <v>044933</v>
      </c>
      <c r="O4976" t="s">
        <v>1014</v>
      </c>
      <c r="P4976" t="s">
        <v>68</v>
      </c>
      <c r="Q4976" t="s">
        <v>68</v>
      </c>
      <c r="R4976" t="s">
        <v>68</v>
      </c>
      <c r="S4976" t="s">
        <v>60</v>
      </c>
    </row>
    <row r="4977" spans="1:19" x14ac:dyDescent="0.35">
      <c r="A4977">
        <v>12627</v>
      </c>
      <c r="B4977" t="str">
        <f>"012627"</f>
        <v>012627</v>
      </c>
      <c r="C4977" t="s">
        <v>13823</v>
      </c>
      <c r="D4977" t="s">
        <v>3394</v>
      </c>
      <c r="E4977" t="s">
        <v>12048</v>
      </c>
      <c r="F4977" t="s">
        <v>3396</v>
      </c>
      <c r="G4977" t="s">
        <v>264</v>
      </c>
      <c r="H4977" t="s">
        <v>13824</v>
      </c>
      <c r="I4977" t="s">
        <v>13825</v>
      </c>
      <c r="J4977" t="s">
        <v>267</v>
      </c>
      <c r="K4977" t="s">
        <v>55</v>
      </c>
      <c r="L4977" t="s">
        <v>5821</v>
      </c>
      <c r="M4977" t="s">
        <v>57</v>
      </c>
      <c r="N4977" t="str">
        <f>"015604"</f>
        <v>015604</v>
      </c>
      <c r="O4977" t="s">
        <v>12986</v>
      </c>
      <c r="P4977" t="s">
        <v>68</v>
      </c>
      <c r="Q4977">
        <v>99.1</v>
      </c>
      <c r="R4977">
        <v>90.6</v>
      </c>
      <c r="S4977" t="s">
        <v>77</v>
      </c>
    </row>
    <row r="4978" spans="1:19" x14ac:dyDescent="0.35">
      <c r="A4978">
        <v>12627</v>
      </c>
      <c r="B4978" t="str">
        <f>"012627"</f>
        <v>012627</v>
      </c>
      <c r="C4978" t="s">
        <v>13823</v>
      </c>
      <c r="D4978" t="s">
        <v>12052</v>
      </c>
      <c r="E4978" t="s">
        <v>12048</v>
      </c>
      <c r="F4978" t="s">
        <v>3396</v>
      </c>
      <c r="G4978" t="s">
        <v>264</v>
      </c>
      <c r="H4978" t="s">
        <v>13824</v>
      </c>
      <c r="I4978" t="s">
        <v>13825</v>
      </c>
      <c r="J4978" t="s">
        <v>267</v>
      </c>
      <c r="K4978" t="s">
        <v>55</v>
      </c>
      <c r="L4978" t="s">
        <v>5821</v>
      </c>
      <c r="M4978" t="s">
        <v>57</v>
      </c>
      <c r="N4978" t="str">
        <f>"015604"</f>
        <v>015604</v>
      </c>
      <c r="O4978" t="s">
        <v>12986</v>
      </c>
      <c r="P4978" t="s">
        <v>68</v>
      </c>
      <c r="Q4978">
        <v>99.1</v>
      </c>
      <c r="R4978">
        <v>90.6</v>
      </c>
      <c r="S4978" t="s">
        <v>77</v>
      </c>
    </row>
    <row r="4979" spans="1:19" x14ac:dyDescent="0.35">
      <c r="A4979">
        <v>12644</v>
      </c>
      <c r="B4979" t="str">
        <f>"012644"</f>
        <v>012644</v>
      </c>
      <c r="C4979" t="s">
        <v>13826</v>
      </c>
      <c r="D4979" t="s">
        <v>3394</v>
      </c>
      <c r="E4979" t="s">
        <v>12048</v>
      </c>
      <c r="F4979" t="s">
        <v>3396</v>
      </c>
      <c r="G4979" t="s">
        <v>169</v>
      </c>
      <c r="H4979" t="s">
        <v>13827</v>
      </c>
      <c r="I4979" t="s">
        <v>13828</v>
      </c>
      <c r="J4979" t="s">
        <v>172</v>
      </c>
      <c r="K4979" t="s">
        <v>55</v>
      </c>
      <c r="L4979" t="s">
        <v>173</v>
      </c>
      <c r="M4979" t="s">
        <v>57</v>
      </c>
      <c r="N4979" t="str">
        <f>"015427"</f>
        <v>015427</v>
      </c>
      <c r="O4979" t="s">
        <v>12157</v>
      </c>
      <c r="P4979" t="s">
        <v>68</v>
      </c>
      <c r="Q4979">
        <v>100</v>
      </c>
      <c r="R4979">
        <v>57.7</v>
      </c>
      <c r="S4979" t="s">
        <v>77</v>
      </c>
    </row>
    <row r="4980" spans="1:19" x14ac:dyDescent="0.35">
      <c r="A4980">
        <v>12644</v>
      </c>
      <c r="B4980" t="str">
        <f>"012644"</f>
        <v>012644</v>
      </c>
      <c r="C4980" t="s">
        <v>13826</v>
      </c>
      <c r="D4980" t="s">
        <v>12052</v>
      </c>
      <c r="E4980" t="s">
        <v>12048</v>
      </c>
      <c r="F4980" t="s">
        <v>3396</v>
      </c>
      <c r="G4980" t="s">
        <v>169</v>
      </c>
      <c r="H4980" t="s">
        <v>13827</v>
      </c>
      <c r="I4980" t="s">
        <v>13828</v>
      </c>
      <c r="J4980" t="s">
        <v>172</v>
      </c>
      <c r="K4980" t="s">
        <v>55</v>
      </c>
      <c r="L4980" t="s">
        <v>173</v>
      </c>
      <c r="M4980" t="s">
        <v>57</v>
      </c>
      <c r="N4980" t="str">
        <f>"015427"</f>
        <v>015427</v>
      </c>
      <c r="O4980" t="s">
        <v>12157</v>
      </c>
      <c r="P4980" t="s">
        <v>68</v>
      </c>
      <c r="Q4980">
        <v>100</v>
      </c>
      <c r="R4980">
        <v>57.7</v>
      </c>
      <c r="S4980" t="s">
        <v>77</v>
      </c>
    </row>
    <row r="4981" spans="1:19" x14ac:dyDescent="0.35">
      <c r="A4981">
        <v>12671</v>
      </c>
      <c r="B4981" t="str">
        <f>"012671"</f>
        <v>012671</v>
      </c>
      <c r="C4981" t="s">
        <v>13829</v>
      </c>
      <c r="D4981" t="s">
        <v>3394</v>
      </c>
      <c r="E4981" t="s">
        <v>12048</v>
      </c>
      <c r="F4981" t="s">
        <v>3396</v>
      </c>
      <c r="G4981" t="s">
        <v>63</v>
      </c>
      <c r="H4981" t="s">
        <v>13830</v>
      </c>
      <c r="I4981" t="s">
        <v>13831</v>
      </c>
      <c r="J4981" t="s">
        <v>285</v>
      </c>
      <c r="K4981" t="s">
        <v>55</v>
      </c>
      <c r="L4981" t="s">
        <v>4335</v>
      </c>
      <c r="M4981" t="s">
        <v>57</v>
      </c>
      <c r="N4981" t="str">
        <f>"020912"</f>
        <v>020912</v>
      </c>
      <c r="O4981" t="s">
        <v>12089</v>
      </c>
      <c r="P4981" t="s">
        <v>68</v>
      </c>
      <c r="Q4981">
        <v>100</v>
      </c>
      <c r="R4981">
        <v>83.9</v>
      </c>
      <c r="S4981" t="s">
        <v>69</v>
      </c>
    </row>
    <row r="4982" spans="1:19" x14ac:dyDescent="0.35">
      <c r="A4982">
        <v>12671</v>
      </c>
      <c r="B4982" t="str">
        <f>"012671"</f>
        <v>012671</v>
      </c>
      <c r="C4982" t="s">
        <v>13829</v>
      </c>
      <c r="D4982" t="s">
        <v>12052</v>
      </c>
      <c r="E4982" t="s">
        <v>12048</v>
      </c>
      <c r="F4982" t="s">
        <v>3396</v>
      </c>
      <c r="G4982" t="s">
        <v>63</v>
      </c>
      <c r="H4982" t="s">
        <v>13830</v>
      </c>
      <c r="I4982" t="s">
        <v>13831</v>
      </c>
      <c r="J4982" t="s">
        <v>285</v>
      </c>
      <c r="K4982" t="s">
        <v>55</v>
      </c>
      <c r="L4982" t="s">
        <v>4335</v>
      </c>
      <c r="M4982" t="s">
        <v>57</v>
      </c>
      <c r="N4982" t="str">
        <f>"020912"</f>
        <v>020912</v>
      </c>
      <c r="O4982" t="s">
        <v>12089</v>
      </c>
      <c r="P4982" t="s">
        <v>68</v>
      </c>
      <c r="Q4982">
        <v>100</v>
      </c>
      <c r="R4982">
        <v>83.9</v>
      </c>
      <c r="S4982" t="s">
        <v>69</v>
      </c>
    </row>
    <row r="4983" spans="1:19" x14ac:dyDescent="0.35">
      <c r="A4983">
        <v>12684</v>
      </c>
      <c r="B4983" t="str">
        <f>"012684"</f>
        <v>012684</v>
      </c>
      <c r="C4983" t="s">
        <v>13832</v>
      </c>
      <c r="D4983" t="s">
        <v>3400</v>
      </c>
      <c r="E4983" t="s">
        <v>12048</v>
      </c>
      <c r="F4983" t="s">
        <v>3396</v>
      </c>
      <c r="G4983" t="s">
        <v>63</v>
      </c>
      <c r="H4983" t="s">
        <v>13833</v>
      </c>
      <c r="I4983" t="s">
        <v>13834</v>
      </c>
      <c r="J4983" t="s">
        <v>285</v>
      </c>
      <c r="K4983" t="s">
        <v>55</v>
      </c>
      <c r="L4983" t="s">
        <v>13720</v>
      </c>
      <c r="M4983" t="s">
        <v>57</v>
      </c>
      <c r="N4983" t="str">
        <f>"015427"</f>
        <v>015427</v>
      </c>
      <c r="O4983" t="s">
        <v>12157</v>
      </c>
      <c r="P4983" t="s">
        <v>68</v>
      </c>
      <c r="Q4983">
        <v>99.3</v>
      </c>
      <c r="R4983">
        <v>100</v>
      </c>
      <c r="S4983" t="s">
        <v>69</v>
      </c>
    </row>
    <row r="4984" spans="1:19" x14ac:dyDescent="0.35">
      <c r="A4984">
        <v>12684</v>
      </c>
      <c r="B4984" t="str">
        <f>"012684"</f>
        <v>012684</v>
      </c>
      <c r="C4984" t="s">
        <v>13832</v>
      </c>
      <c r="D4984" t="s">
        <v>12052</v>
      </c>
      <c r="E4984" t="s">
        <v>12048</v>
      </c>
      <c r="F4984" t="s">
        <v>3396</v>
      </c>
      <c r="G4984" t="s">
        <v>63</v>
      </c>
      <c r="H4984" t="s">
        <v>13833</v>
      </c>
      <c r="I4984" t="s">
        <v>13834</v>
      </c>
      <c r="J4984" t="s">
        <v>285</v>
      </c>
      <c r="K4984" t="s">
        <v>55</v>
      </c>
      <c r="L4984" t="s">
        <v>13720</v>
      </c>
      <c r="M4984" t="s">
        <v>57</v>
      </c>
      <c r="N4984" t="str">
        <f>"015427"</f>
        <v>015427</v>
      </c>
      <c r="O4984" t="s">
        <v>12157</v>
      </c>
      <c r="P4984" t="s">
        <v>68</v>
      </c>
      <c r="Q4984">
        <v>99.3</v>
      </c>
      <c r="R4984">
        <v>100</v>
      </c>
      <c r="S4984" t="s">
        <v>69</v>
      </c>
    </row>
    <row r="4985" spans="1:19" x14ac:dyDescent="0.35">
      <c r="A4985">
        <v>12688</v>
      </c>
      <c r="B4985" t="str">
        <f>"012688"</f>
        <v>012688</v>
      </c>
      <c r="C4985" t="s">
        <v>13835</v>
      </c>
      <c r="D4985" t="s">
        <v>3394</v>
      </c>
      <c r="E4985" t="s">
        <v>3395</v>
      </c>
      <c r="F4985" t="s">
        <v>3396</v>
      </c>
      <c r="G4985" t="s">
        <v>481</v>
      </c>
      <c r="H4985" t="s">
        <v>13836</v>
      </c>
      <c r="I4985" t="s">
        <v>13837</v>
      </c>
      <c r="J4985" t="s">
        <v>774</v>
      </c>
      <c r="K4985" t="s">
        <v>55</v>
      </c>
      <c r="L4985" t="s">
        <v>775</v>
      </c>
      <c r="M4985" t="s">
        <v>57</v>
      </c>
      <c r="N4985" t="str">
        <f>"045104"</f>
        <v>045104</v>
      </c>
      <c r="O4985" t="s">
        <v>771</v>
      </c>
      <c r="P4985" t="s">
        <v>68</v>
      </c>
      <c r="Q4985" t="s">
        <v>68</v>
      </c>
      <c r="R4985" t="s">
        <v>68</v>
      </c>
      <c r="S4985" t="s">
        <v>69</v>
      </c>
    </row>
    <row r="4986" spans="1:19" x14ac:dyDescent="0.35">
      <c r="A4986">
        <v>12867</v>
      </c>
      <c r="B4986" t="str">
        <f>"012867"</f>
        <v>012867</v>
      </c>
      <c r="C4986" t="s">
        <v>13838</v>
      </c>
      <c r="D4986" t="s">
        <v>3398</v>
      </c>
      <c r="E4986" t="s">
        <v>12048</v>
      </c>
      <c r="F4986" t="s">
        <v>3396</v>
      </c>
      <c r="G4986" t="s">
        <v>759</v>
      </c>
      <c r="H4986" t="s">
        <v>13839</v>
      </c>
      <c r="I4986" t="s">
        <v>13840</v>
      </c>
      <c r="J4986" t="s">
        <v>3363</v>
      </c>
      <c r="K4986" t="s">
        <v>55</v>
      </c>
      <c r="L4986" t="s">
        <v>3364</v>
      </c>
      <c r="M4986" t="s">
        <v>57</v>
      </c>
      <c r="N4986" t="str">
        <f>"N/A"</f>
        <v>N/A</v>
      </c>
      <c r="O4986" t="s">
        <v>49</v>
      </c>
      <c r="P4986" t="s">
        <v>68</v>
      </c>
      <c r="Q4986">
        <v>62.6</v>
      </c>
      <c r="R4986">
        <v>31.400000000000006</v>
      </c>
      <c r="S4986" t="s">
        <v>69</v>
      </c>
    </row>
    <row r="4987" spans="1:19" x14ac:dyDescent="0.35">
      <c r="A4987">
        <v>12867</v>
      </c>
      <c r="B4987" t="str">
        <f>"012867"</f>
        <v>012867</v>
      </c>
      <c r="C4987" t="s">
        <v>13838</v>
      </c>
      <c r="D4987" t="s">
        <v>12471</v>
      </c>
      <c r="E4987" t="s">
        <v>12048</v>
      </c>
      <c r="F4987" t="s">
        <v>3396</v>
      </c>
      <c r="G4987" t="s">
        <v>759</v>
      </c>
      <c r="H4987" t="s">
        <v>13839</v>
      </c>
      <c r="I4987" t="s">
        <v>13840</v>
      </c>
      <c r="J4987" t="s">
        <v>3363</v>
      </c>
      <c r="K4987" t="s">
        <v>55</v>
      </c>
      <c r="L4987" t="s">
        <v>3364</v>
      </c>
      <c r="M4987" t="s">
        <v>57</v>
      </c>
      <c r="N4987" t="str">
        <f>"N/A"</f>
        <v>N/A</v>
      </c>
      <c r="O4987" t="s">
        <v>49</v>
      </c>
      <c r="P4987" t="s">
        <v>68</v>
      </c>
      <c r="Q4987">
        <v>62.6</v>
      </c>
      <c r="R4987">
        <v>31.400000000000006</v>
      </c>
      <c r="S4987" t="s">
        <v>69</v>
      </c>
    </row>
    <row r="4988" spans="1:19" x14ac:dyDescent="0.35">
      <c r="A4988">
        <v>12867</v>
      </c>
      <c r="B4988" t="str">
        <f>"012867"</f>
        <v>012867</v>
      </c>
      <c r="C4988" t="s">
        <v>13838</v>
      </c>
      <c r="D4988" t="s">
        <v>12063</v>
      </c>
      <c r="E4988" t="s">
        <v>12048</v>
      </c>
      <c r="F4988" t="s">
        <v>3396</v>
      </c>
      <c r="G4988" t="s">
        <v>759</v>
      </c>
      <c r="H4988" t="s">
        <v>13839</v>
      </c>
      <c r="I4988" t="s">
        <v>13840</v>
      </c>
      <c r="J4988" t="s">
        <v>3363</v>
      </c>
      <c r="K4988" t="s">
        <v>55</v>
      </c>
      <c r="L4988" t="s">
        <v>3364</v>
      </c>
      <c r="M4988" t="s">
        <v>57</v>
      </c>
      <c r="N4988" t="str">
        <f>"N/A"</f>
        <v>N/A</v>
      </c>
      <c r="O4988" t="s">
        <v>49</v>
      </c>
      <c r="P4988" t="s">
        <v>68</v>
      </c>
      <c r="Q4988">
        <v>62.6</v>
      </c>
      <c r="R4988">
        <v>31.400000000000006</v>
      </c>
      <c r="S4988" t="s">
        <v>69</v>
      </c>
    </row>
    <row r="4989" spans="1:19" x14ac:dyDescent="0.35">
      <c r="A4989">
        <v>12867</v>
      </c>
      <c r="B4989" t="str">
        <f>"012867"</f>
        <v>012867</v>
      </c>
      <c r="C4989" t="s">
        <v>13838</v>
      </c>
      <c r="D4989" t="s">
        <v>12677</v>
      </c>
      <c r="E4989" t="s">
        <v>12048</v>
      </c>
      <c r="F4989" t="s">
        <v>3396</v>
      </c>
      <c r="G4989" t="s">
        <v>759</v>
      </c>
      <c r="H4989" t="s">
        <v>13839</v>
      </c>
      <c r="I4989" t="s">
        <v>13840</v>
      </c>
      <c r="J4989" t="s">
        <v>3363</v>
      </c>
      <c r="K4989" t="s">
        <v>55</v>
      </c>
      <c r="L4989" t="s">
        <v>3364</v>
      </c>
      <c r="M4989" t="s">
        <v>57</v>
      </c>
      <c r="N4989" t="str">
        <f>"N/A"</f>
        <v>N/A</v>
      </c>
      <c r="O4989" t="s">
        <v>49</v>
      </c>
      <c r="P4989" t="s">
        <v>68</v>
      </c>
      <c r="Q4989">
        <v>62.6</v>
      </c>
      <c r="R4989">
        <v>31.400000000000006</v>
      </c>
      <c r="S4989" t="s">
        <v>69</v>
      </c>
    </row>
    <row r="4990" spans="1:19" x14ac:dyDescent="0.35">
      <c r="A4990">
        <v>12873</v>
      </c>
      <c r="B4990" t="str">
        <f>"012873"</f>
        <v>012873</v>
      </c>
      <c r="C4990" t="s">
        <v>13841</v>
      </c>
      <c r="D4990" t="s">
        <v>3398</v>
      </c>
      <c r="E4990" t="s">
        <v>9538</v>
      </c>
      <c r="F4990" t="s">
        <v>3396</v>
      </c>
      <c r="G4990" t="s">
        <v>110</v>
      </c>
      <c r="H4990" t="s">
        <v>13842</v>
      </c>
      <c r="I4990" t="s">
        <v>13843</v>
      </c>
      <c r="J4990" t="s">
        <v>13844</v>
      </c>
      <c r="K4990" t="s">
        <v>55</v>
      </c>
      <c r="L4990" t="s">
        <v>13845</v>
      </c>
      <c r="M4990" t="s">
        <v>57</v>
      </c>
      <c r="N4990" t="str">
        <f>"012873"</f>
        <v>012873</v>
      </c>
      <c r="O4990" t="s">
        <v>13841</v>
      </c>
      <c r="P4990" t="s">
        <v>68</v>
      </c>
      <c r="Q4990" t="s">
        <v>68</v>
      </c>
      <c r="R4990" t="s">
        <v>68</v>
      </c>
      <c r="S4990" t="s">
        <v>60</v>
      </c>
    </row>
    <row r="4991" spans="1:19" x14ac:dyDescent="0.35">
      <c r="A4991">
        <v>12900</v>
      </c>
      <c r="B4991" t="str">
        <f>"012900"</f>
        <v>012900</v>
      </c>
      <c r="C4991" t="s">
        <v>13846</v>
      </c>
      <c r="D4991" t="s">
        <v>3394</v>
      </c>
      <c r="E4991" t="s">
        <v>9538</v>
      </c>
      <c r="F4991" t="s">
        <v>3396</v>
      </c>
      <c r="G4991" t="s">
        <v>1567</v>
      </c>
      <c r="H4991" t="s">
        <v>13847</v>
      </c>
      <c r="I4991" t="s">
        <v>13848</v>
      </c>
      <c r="J4991" t="s">
        <v>1570</v>
      </c>
      <c r="K4991" t="s">
        <v>55</v>
      </c>
      <c r="L4991" t="s">
        <v>1571</v>
      </c>
      <c r="M4991" t="s">
        <v>57</v>
      </c>
      <c r="N4991" t="str">
        <f>"012900"</f>
        <v>012900</v>
      </c>
      <c r="O4991" t="s">
        <v>13846</v>
      </c>
      <c r="P4991" t="s">
        <v>68</v>
      </c>
      <c r="Q4991" t="s">
        <v>68</v>
      </c>
      <c r="R4991" t="s">
        <v>68</v>
      </c>
      <c r="S4991" t="s">
        <v>60</v>
      </c>
    </row>
    <row r="4992" spans="1:19" x14ac:dyDescent="0.35">
      <c r="A4992">
        <v>12905</v>
      </c>
      <c r="B4992" t="str">
        <f>"012905"</f>
        <v>012905</v>
      </c>
      <c r="C4992" t="s">
        <v>13849</v>
      </c>
      <c r="D4992" t="s">
        <v>3394</v>
      </c>
      <c r="E4992" t="s">
        <v>3395</v>
      </c>
      <c r="F4992" t="s">
        <v>3396</v>
      </c>
      <c r="G4992" t="s">
        <v>1020</v>
      </c>
      <c r="H4992" t="s">
        <v>13850</v>
      </c>
      <c r="I4992" t="s">
        <v>13851</v>
      </c>
      <c r="J4992" t="s">
        <v>1020</v>
      </c>
      <c r="K4992" t="s">
        <v>55</v>
      </c>
      <c r="L4992" t="s">
        <v>1023</v>
      </c>
      <c r="M4992" t="s">
        <v>57</v>
      </c>
      <c r="N4992" t="str">
        <f>"044966"</f>
        <v>044966</v>
      </c>
      <c r="O4992" t="s">
        <v>1019</v>
      </c>
      <c r="P4992" t="s">
        <v>68</v>
      </c>
      <c r="Q4992">
        <v>49.1</v>
      </c>
      <c r="R4992">
        <v>11.599999999999994</v>
      </c>
      <c r="S4992" t="s">
        <v>156</v>
      </c>
    </row>
    <row r="4993" spans="1:19" x14ac:dyDescent="0.35">
      <c r="A4993">
        <v>12924</v>
      </c>
      <c r="B4993" t="str">
        <f>"012924"</f>
        <v>012924</v>
      </c>
      <c r="C4993" t="s">
        <v>13852</v>
      </c>
      <c r="D4993" t="s">
        <v>3394</v>
      </c>
      <c r="E4993" t="s">
        <v>12048</v>
      </c>
      <c r="F4993" t="s">
        <v>3396</v>
      </c>
      <c r="G4993" t="s">
        <v>543</v>
      </c>
      <c r="H4993" t="s">
        <v>13853</v>
      </c>
      <c r="I4993" t="s">
        <v>13854</v>
      </c>
      <c r="J4993" t="s">
        <v>687</v>
      </c>
      <c r="K4993" t="s">
        <v>55</v>
      </c>
      <c r="L4993" t="s">
        <v>5260</v>
      </c>
      <c r="M4993" t="s">
        <v>57</v>
      </c>
      <c r="N4993" t="str">
        <f>"N/A"</f>
        <v>N/A</v>
      </c>
      <c r="O4993" t="s">
        <v>49</v>
      </c>
      <c r="P4993" t="s">
        <v>68</v>
      </c>
      <c r="Q4993">
        <v>77.099999999999994</v>
      </c>
      <c r="R4993">
        <v>100</v>
      </c>
      <c r="S4993" t="s">
        <v>180</v>
      </c>
    </row>
    <row r="4994" spans="1:19" x14ac:dyDescent="0.35">
      <c r="A4994">
        <v>12924</v>
      </c>
      <c r="B4994" t="str">
        <f>"012924"</f>
        <v>012924</v>
      </c>
      <c r="C4994" t="s">
        <v>13852</v>
      </c>
      <c r="D4994" t="s">
        <v>12052</v>
      </c>
      <c r="E4994" t="s">
        <v>12048</v>
      </c>
      <c r="F4994" t="s">
        <v>3396</v>
      </c>
      <c r="G4994" t="s">
        <v>543</v>
      </c>
      <c r="H4994" t="s">
        <v>13853</v>
      </c>
      <c r="I4994" t="s">
        <v>13854</v>
      </c>
      <c r="J4994" t="s">
        <v>687</v>
      </c>
      <c r="K4994" t="s">
        <v>55</v>
      </c>
      <c r="L4994" t="s">
        <v>5260</v>
      </c>
      <c r="M4994" t="s">
        <v>57</v>
      </c>
      <c r="N4994" t="str">
        <f>"N/A"</f>
        <v>N/A</v>
      </c>
      <c r="O4994" t="s">
        <v>49</v>
      </c>
      <c r="P4994" t="s">
        <v>68</v>
      </c>
      <c r="Q4994">
        <v>77.099999999999994</v>
      </c>
      <c r="R4994">
        <v>100</v>
      </c>
      <c r="S4994" t="s">
        <v>180</v>
      </c>
    </row>
    <row r="4995" spans="1:19" x14ac:dyDescent="0.35">
      <c r="A4995">
        <v>12924</v>
      </c>
      <c r="B4995" t="str">
        <f>"012924"</f>
        <v>012924</v>
      </c>
      <c r="C4995" t="s">
        <v>13852</v>
      </c>
      <c r="D4995" t="s">
        <v>3929</v>
      </c>
      <c r="E4995" t="s">
        <v>12048</v>
      </c>
      <c r="F4995" t="s">
        <v>3396</v>
      </c>
      <c r="G4995" t="s">
        <v>543</v>
      </c>
      <c r="H4995" t="s">
        <v>13853</v>
      </c>
      <c r="I4995" t="s">
        <v>13854</v>
      </c>
      <c r="J4995" t="s">
        <v>687</v>
      </c>
      <c r="K4995" t="s">
        <v>55</v>
      </c>
      <c r="L4995" t="s">
        <v>5260</v>
      </c>
      <c r="M4995" t="s">
        <v>57</v>
      </c>
      <c r="N4995" t="str">
        <f>"N/A"</f>
        <v>N/A</v>
      </c>
      <c r="O4995" t="s">
        <v>49</v>
      </c>
      <c r="P4995" t="s">
        <v>68</v>
      </c>
      <c r="Q4995">
        <v>77.099999999999994</v>
      </c>
      <c r="R4995">
        <v>100</v>
      </c>
      <c r="S4995" t="s">
        <v>180</v>
      </c>
    </row>
    <row r="4996" spans="1:19" x14ac:dyDescent="0.35">
      <c r="A4996">
        <v>12950</v>
      </c>
      <c r="B4996" t="str">
        <f>"012950"</f>
        <v>012950</v>
      </c>
      <c r="C4996" t="s">
        <v>13855</v>
      </c>
      <c r="D4996" t="s">
        <v>3543</v>
      </c>
      <c r="E4996" t="s">
        <v>3395</v>
      </c>
      <c r="F4996" t="s">
        <v>3396</v>
      </c>
      <c r="G4996" t="s">
        <v>543</v>
      </c>
      <c r="H4996" t="s">
        <v>13856</v>
      </c>
      <c r="I4996" t="s">
        <v>13857</v>
      </c>
      <c r="J4996" t="s">
        <v>13858</v>
      </c>
      <c r="K4996" t="s">
        <v>55</v>
      </c>
      <c r="L4996" t="s">
        <v>1253</v>
      </c>
      <c r="M4996" t="s">
        <v>57</v>
      </c>
      <c r="N4996" t="str">
        <f>"048751"</f>
        <v>048751</v>
      </c>
      <c r="O4996" t="s">
        <v>1249</v>
      </c>
      <c r="P4996" t="s">
        <v>68</v>
      </c>
      <c r="Q4996" t="s">
        <v>68</v>
      </c>
      <c r="R4996" t="s">
        <v>68</v>
      </c>
      <c r="S4996" t="s">
        <v>180</v>
      </c>
    </row>
    <row r="4997" spans="1:19" x14ac:dyDescent="0.35">
      <c r="A4997">
        <v>12974</v>
      </c>
      <c r="B4997" t="str">
        <f>"012974"</f>
        <v>012974</v>
      </c>
      <c r="C4997" t="s">
        <v>13859</v>
      </c>
      <c r="D4997" t="s">
        <v>3398</v>
      </c>
      <c r="E4997" t="s">
        <v>9538</v>
      </c>
      <c r="F4997" t="s">
        <v>3396</v>
      </c>
      <c r="G4997" t="s">
        <v>1193</v>
      </c>
      <c r="H4997" t="s">
        <v>13860</v>
      </c>
      <c r="I4997" t="s">
        <v>13861</v>
      </c>
      <c r="J4997" t="s">
        <v>1196</v>
      </c>
      <c r="K4997" t="s">
        <v>55</v>
      </c>
      <c r="L4997" t="s">
        <v>1197</v>
      </c>
      <c r="M4997" t="s">
        <v>57</v>
      </c>
      <c r="N4997" t="str">
        <f>"012974"</f>
        <v>012974</v>
      </c>
      <c r="O4997" t="s">
        <v>13859</v>
      </c>
      <c r="P4997" t="s">
        <v>68</v>
      </c>
      <c r="Q4997" t="s">
        <v>68</v>
      </c>
      <c r="R4997" t="s">
        <v>68</v>
      </c>
      <c r="S4997" t="s">
        <v>156</v>
      </c>
    </row>
    <row r="4998" spans="1:19" x14ac:dyDescent="0.35">
      <c r="A4998">
        <v>12974</v>
      </c>
      <c r="B4998" t="str">
        <f>"012974"</f>
        <v>012974</v>
      </c>
      <c r="C4998" t="s">
        <v>13859</v>
      </c>
      <c r="D4998" t="s">
        <v>9541</v>
      </c>
      <c r="E4998" t="s">
        <v>9538</v>
      </c>
      <c r="F4998" t="s">
        <v>3396</v>
      </c>
      <c r="G4998" t="s">
        <v>1193</v>
      </c>
      <c r="H4998" t="s">
        <v>13860</v>
      </c>
      <c r="I4998" t="s">
        <v>13861</v>
      </c>
      <c r="J4998" t="s">
        <v>1196</v>
      </c>
      <c r="K4998" t="s">
        <v>55</v>
      </c>
      <c r="L4998" t="s">
        <v>1197</v>
      </c>
      <c r="M4998" t="s">
        <v>57</v>
      </c>
      <c r="N4998" t="str">
        <f>"012974"</f>
        <v>012974</v>
      </c>
      <c r="O4998" t="s">
        <v>13859</v>
      </c>
      <c r="P4998" t="s">
        <v>68</v>
      </c>
      <c r="Q4998" t="s">
        <v>68</v>
      </c>
      <c r="R4998" t="s">
        <v>68</v>
      </c>
      <c r="S4998" t="s">
        <v>156</v>
      </c>
    </row>
    <row r="4999" spans="1:19" x14ac:dyDescent="0.35">
      <c r="A4999">
        <v>12975</v>
      </c>
      <c r="B4999" t="str">
        <f>"012975"</f>
        <v>012975</v>
      </c>
      <c r="C4999" t="s">
        <v>13862</v>
      </c>
      <c r="D4999" t="s">
        <v>3398</v>
      </c>
      <c r="E4999" t="s">
        <v>9538</v>
      </c>
      <c r="F4999" t="s">
        <v>3396</v>
      </c>
      <c r="G4999" t="s">
        <v>821</v>
      </c>
      <c r="H4999" t="s">
        <v>13863</v>
      </c>
      <c r="I4999" t="s">
        <v>13864</v>
      </c>
      <c r="J4999" t="s">
        <v>1427</v>
      </c>
      <c r="K4999" t="s">
        <v>55</v>
      </c>
      <c r="L4999" t="s">
        <v>1428</v>
      </c>
      <c r="M4999" t="s">
        <v>57</v>
      </c>
      <c r="N4999" t="str">
        <f>"012975"</f>
        <v>012975</v>
      </c>
      <c r="O4999" t="s">
        <v>13862</v>
      </c>
      <c r="P4999" t="s">
        <v>68</v>
      </c>
      <c r="Q4999" t="s">
        <v>68</v>
      </c>
      <c r="R4999" t="s">
        <v>68</v>
      </c>
      <c r="S4999" t="s">
        <v>156</v>
      </c>
    </row>
    <row r="5000" spans="1:19" x14ac:dyDescent="0.35">
      <c r="A5000">
        <v>12975</v>
      </c>
      <c r="B5000" t="str">
        <f>"012975"</f>
        <v>012975</v>
      </c>
      <c r="C5000" t="s">
        <v>13862</v>
      </c>
      <c r="D5000" t="s">
        <v>9541</v>
      </c>
      <c r="E5000" t="s">
        <v>9538</v>
      </c>
      <c r="F5000" t="s">
        <v>3396</v>
      </c>
      <c r="G5000" t="s">
        <v>821</v>
      </c>
      <c r="H5000" t="s">
        <v>13863</v>
      </c>
      <c r="I5000" t="s">
        <v>13864</v>
      </c>
      <c r="J5000" t="s">
        <v>1427</v>
      </c>
      <c r="K5000" t="s">
        <v>55</v>
      </c>
      <c r="L5000" t="s">
        <v>1428</v>
      </c>
      <c r="M5000" t="s">
        <v>57</v>
      </c>
      <c r="N5000" t="str">
        <f>"012975"</f>
        <v>012975</v>
      </c>
      <c r="O5000" t="s">
        <v>13862</v>
      </c>
      <c r="P5000" t="s">
        <v>68</v>
      </c>
      <c r="Q5000" t="s">
        <v>68</v>
      </c>
      <c r="R5000" t="s">
        <v>68</v>
      </c>
      <c r="S5000" t="s">
        <v>156</v>
      </c>
    </row>
    <row r="5001" spans="1:19" x14ac:dyDescent="0.35">
      <c r="A5001">
        <v>13034</v>
      </c>
      <c r="B5001" t="str">
        <f>"013034"</f>
        <v>013034</v>
      </c>
      <c r="C5001" t="s">
        <v>13865</v>
      </c>
      <c r="D5001" t="s">
        <v>3400</v>
      </c>
      <c r="E5001" t="s">
        <v>12048</v>
      </c>
      <c r="F5001" t="s">
        <v>3396</v>
      </c>
      <c r="G5001" t="s">
        <v>63</v>
      </c>
      <c r="H5001" t="s">
        <v>13866</v>
      </c>
      <c r="I5001" t="s">
        <v>13867</v>
      </c>
      <c r="J5001" t="s">
        <v>285</v>
      </c>
      <c r="K5001" t="s">
        <v>55</v>
      </c>
      <c r="L5001" t="s">
        <v>4335</v>
      </c>
      <c r="M5001" t="s">
        <v>57</v>
      </c>
      <c r="N5001" t="str">
        <f>"015013"</f>
        <v>015013</v>
      </c>
      <c r="O5001" t="s">
        <v>13546</v>
      </c>
      <c r="P5001" t="s">
        <v>68</v>
      </c>
      <c r="Q5001">
        <v>100</v>
      </c>
      <c r="R5001">
        <v>100</v>
      </c>
      <c r="S5001" t="s">
        <v>69</v>
      </c>
    </row>
    <row r="5002" spans="1:19" x14ac:dyDescent="0.35">
      <c r="A5002">
        <v>13034</v>
      </c>
      <c r="B5002" t="str">
        <f>"013034"</f>
        <v>013034</v>
      </c>
      <c r="C5002" t="s">
        <v>13865</v>
      </c>
      <c r="D5002" t="s">
        <v>12052</v>
      </c>
      <c r="E5002" t="s">
        <v>12048</v>
      </c>
      <c r="F5002" t="s">
        <v>3396</v>
      </c>
      <c r="G5002" t="s">
        <v>63</v>
      </c>
      <c r="H5002" t="s">
        <v>13866</v>
      </c>
      <c r="I5002" t="s">
        <v>13867</v>
      </c>
      <c r="J5002" t="s">
        <v>285</v>
      </c>
      <c r="K5002" t="s">
        <v>55</v>
      </c>
      <c r="L5002" t="s">
        <v>4335</v>
      </c>
      <c r="M5002" t="s">
        <v>57</v>
      </c>
      <c r="N5002" t="str">
        <f>"015013"</f>
        <v>015013</v>
      </c>
      <c r="O5002" t="s">
        <v>13546</v>
      </c>
      <c r="P5002" t="s">
        <v>68</v>
      </c>
      <c r="Q5002">
        <v>100</v>
      </c>
      <c r="R5002">
        <v>100</v>
      </c>
      <c r="S5002" t="s">
        <v>69</v>
      </c>
    </row>
    <row r="5003" spans="1:19" x14ac:dyDescent="0.35">
      <c r="A5003">
        <v>13034</v>
      </c>
      <c r="B5003" t="str">
        <f>"013034"</f>
        <v>013034</v>
      </c>
      <c r="C5003" t="s">
        <v>13865</v>
      </c>
      <c r="D5003" t="s">
        <v>12126</v>
      </c>
      <c r="E5003" t="s">
        <v>12048</v>
      </c>
      <c r="F5003" t="s">
        <v>3396</v>
      </c>
      <c r="G5003" t="s">
        <v>63</v>
      </c>
      <c r="H5003" t="s">
        <v>13866</v>
      </c>
      <c r="I5003" t="s">
        <v>13867</v>
      </c>
      <c r="J5003" t="s">
        <v>285</v>
      </c>
      <c r="K5003" t="s">
        <v>55</v>
      </c>
      <c r="L5003" t="s">
        <v>4335</v>
      </c>
      <c r="M5003" t="s">
        <v>57</v>
      </c>
      <c r="N5003" t="str">
        <f>"015013"</f>
        <v>015013</v>
      </c>
      <c r="O5003" t="s">
        <v>13546</v>
      </c>
      <c r="P5003" t="s">
        <v>68</v>
      </c>
      <c r="Q5003">
        <v>100</v>
      </c>
      <c r="R5003">
        <v>100</v>
      </c>
      <c r="S5003" t="s">
        <v>69</v>
      </c>
    </row>
    <row r="5004" spans="1:19" x14ac:dyDescent="0.35">
      <c r="A5004">
        <v>13124</v>
      </c>
      <c r="B5004" t="str">
        <f>"013124"</f>
        <v>013124</v>
      </c>
      <c r="C5004" t="s">
        <v>13868</v>
      </c>
      <c r="D5004" t="s">
        <v>3394</v>
      </c>
      <c r="E5004" t="s">
        <v>3395</v>
      </c>
      <c r="F5004" t="s">
        <v>3396</v>
      </c>
      <c r="G5004" t="s">
        <v>117</v>
      </c>
      <c r="H5004" t="s">
        <v>3507</v>
      </c>
      <c r="I5004" t="s">
        <v>3508</v>
      </c>
      <c r="J5004" t="s">
        <v>977</v>
      </c>
      <c r="K5004" t="s">
        <v>55</v>
      </c>
      <c r="L5004" t="s">
        <v>1779</v>
      </c>
      <c r="M5004" t="s">
        <v>57</v>
      </c>
      <c r="N5004" t="str">
        <f>"044354"</f>
        <v>044354</v>
      </c>
      <c r="O5004" t="s">
        <v>974</v>
      </c>
      <c r="P5004" t="s">
        <v>68</v>
      </c>
      <c r="Q5004">
        <v>100</v>
      </c>
      <c r="R5004">
        <v>37.200000000000003</v>
      </c>
      <c r="S5004" t="s">
        <v>77</v>
      </c>
    </row>
    <row r="5005" spans="1:19" x14ac:dyDescent="0.35">
      <c r="A5005">
        <v>13126</v>
      </c>
      <c r="B5005" t="str">
        <f>"013126"</f>
        <v>013126</v>
      </c>
      <c r="C5005" t="s">
        <v>13869</v>
      </c>
      <c r="D5005" t="s">
        <v>3394</v>
      </c>
      <c r="E5005" t="s">
        <v>3395</v>
      </c>
      <c r="F5005" t="s">
        <v>3396</v>
      </c>
      <c r="G5005" t="s">
        <v>543</v>
      </c>
      <c r="H5005" t="s">
        <v>13870</v>
      </c>
      <c r="I5005" t="s">
        <v>13871</v>
      </c>
      <c r="J5005" t="s">
        <v>7385</v>
      </c>
      <c r="K5005" t="s">
        <v>55</v>
      </c>
      <c r="L5005" t="s">
        <v>1448</v>
      </c>
      <c r="M5005" t="s">
        <v>57</v>
      </c>
      <c r="N5005" t="str">
        <f>"048728"</f>
        <v>048728</v>
      </c>
      <c r="O5005" t="s">
        <v>2876</v>
      </c>
      <c r="P5005" t="s">
        <v>68</v>
      </c>
      <c r="Q5005">
        <v>33.299999999999997</v>
      </c>
      <c r="R5005">
        <v>36.200000000000003</v>
      </c>
      <c r="S5005" t="s">
        <v>180</v>
      </c>
    </row>
    <row r="5006" spans="1:19" x14ac:dyDescent="0.35">
      <c r="A5006">
        <v>13132</v>
      </c>
      <c r="B5006" t="str">
        <f>"013132"</f>
        <v>013132</v>
      </c>
      <c r="C5006" t="s">
        <v>13872</v>
      </c>
      <c r="D5006" t="s">
        <v>3398</v>
      </c>
      <c r="E5006" t="s">
        <v>12048</v>
      </c>
      <c r="F5006" t="s">
        <v>3396</v>
      </c>
      <c r="G5006" t="s">
        <v>63</v>
      </c>
      <c r="H5006" t="s">
        <v>13873</v>
      </c>
      <c r="I5006" t="s">
        <v>13874</v>
      </c>
      <c r="J5006" t="s">
        <v>285</v>
      </c>
      <c r="K5006" t="s">
        <v>55</v>
      </c>
      <c r="L5006" t="s">
        <v>4491</v>
      </c>
      <c r="M5006" t="s">
        <v>57</v>
      </c>
      <c r="N5006" t="str">
        <f>"017093"</f>
        <v>017093</v>
      </c>
      <c r="O5006" t="s">
        <v>13664</v>
      </c>
      <c r="P5006" t="s">
        <v>68</v>
      </c>
      <c r="Q5006">
        <v>99.6</v>
      </c>
      <c r="R5006">
        <v>100</v>
      </c>
      <c r="S5006" t="s">
        <v>69</v>
      </c>
    </row>
    <row r="5007" spans="1:19" x14ac:dyDescent="0.35">
      <c r="A5007">
        <v>13132</v>
      </c>
      <c r="B5007" t="str">
        <f>"013132"</f>
        <v>013132</v>
      </c>
      <c r="C5007" t="s">
        <v>13872</v>
      </c>
      <c r="D5007" t="s">
        <v>12052</v>
      </c>
      <c r="E5007" t="s">
        <v>12048</v>
      </c>
      <c r="F5007" t="s">
        <v>3396</v>
      </c>
      <c r="G5007" t="s">
        <v>63</v>
      </c>
      <c r="H5007" t="s">
        <v>13873</v>
      </c>
      <c r="I5007" t="s">
        <v>13874</v>
      </c>
      <c r="J5007" t="s">
        <v>285</v>
      </c>
      <c r="K5007" t="s">
        <v>55</v>
      </c>
      <c r="L5007" t="s">
        <v>4491</v>
      </c>
      <c r="M5007" t="s">
        <v>57</v>
      </c>
      <c r="N5007" t="str">
        <f>"017093"</f>
        <v>017093</v>
      </c>
      <c r="O5007" t="s">
        <v>13664</v>
      </c>
      <c r="P5007" t="s">
        <v>68</v>
      </c>
      <c r="Q5007">
        <v>99.6</v>
      </c>
      <c r="R5007">
        <v>100</v>
      </c>
      <c r="S5007" t="s">
        <v>69</v>
      </c>
    </row>
    <row r="5008" spans="1:19" x14ac:dyDescent="0.35">
      <c r="A5008">
        <v>13147</v>
      </c>
      <c r="B5008" t="str">
        <f>"013147"</f>
        <v>013147</v>
      </c>
      <c r="C5008" t="s">
        <v>13875</v>
      </c>
      <c r="D5008" t="s">
        <v>3398</v>
      </c>
      <c r="E5008" t="s">
        <v>12048</v>
      </c>
      <c r="F5008" t="s">
        <v>3396</v>
      </c>
      <c r="G5008" t="s">
        <v>63</v>
      </c>
      <c r="H5008" t="s">
        <v>13876</v>
      </c>
      <c r="I5008" t="s">
        <v>13877</v>
      </c>
      <c r="J5008" t="s">
        <v>1710</v>
      </c>
      <c r="K5008" t="s">
        <v>55</v>
      </c>
      <c r="L5008" t="s">
        <v>1711</v>
      </c>
      <c r="M5008" t="s">
        <v>57</v>
      </c>
      <c r="N5008" t="str">
        <f>"015427"</f>
        <v>015427</v>
      </c>
      <c r="O5008" t="s">
        <v>12157</v>
      </c>
      <c r="P5008" t="s">
        <v>68</v>
      </c>
      <c r="Q5008">
        <v>100</v>
      </c>
      <c r="R5008">
        <v>100</v>
      </c>
      <c r="S5008" t="s">
        <v>69</v>
      </c>
    </row>
    <row r="5009" spans="1:19" x14ac:dyDescent="0.35">
      <c r="A5009">
        <v>13147</v>
      </c>
      <c r="B5009" t="str">
        <f>"013147"</f>
        <v>013147</v>
      </c>
      <c r="C5009" t="s">
        <v>13875</v>
      </c>
      <c r="D5009" t="s">
        <v>12052</v>
      </c>
      <c r="E5009" t="s">
        <v>12048</v>
      </c>
      <c r="F5009" t="s">
        <v>3396</v>
      </c>
      <c r="G5009" t="s">
        <v>63</v>
      </c>
      <c r="H5009" t="s">
        <v>13876</v>
      </c>
      <c r="I5009" t="s">
        <v>13877</v>
      </c>
      <c r="J5009" t="s">
        <v>1710</v>
      </c>
      <c r="K5009" t="s">
        <v>55</v>
      </c>
      <c r="L5009" t="s">
        <v>1711</v>
      </c>
      <c r="M5009" t="s">
        <v>57</v>
      </c>
      <c r="N5009" t="str">
        <f>"015427"</f>
        <v>015427</v>
      </c>
      <c r="O5009" t="s">
        <v>12157</v>
      </c>
      <c r="P5009" t="s">
        <v>68</v>
      </c>
      <c r="Q5009">
        <v>100</v>
      </c>
      <c r="R5009">
        <v>100</v>
      </c>
      <c r="S5009" t="s">
        <v>69</v>
      </c>
    </row>
    <row r="5010" spans="1:19" x14ac:dyDescent="0.35">
      <c r="A5010">
        <v>13147</v>
      </c>
      <c r="B5010" t="str">
        <f>"013147"</f>
        <v>013147</v>
      </c>
      <c r="C5010" t="s">
        <v>13875</v>
      </c>
      <c r="D5010" t="s">
        <v>4572</v>
      </c>
      <c r="E5010" t="s">
        <v>12048</v>
      </c>
      <c r="F5010" t="s">
        <v>3396</v>
      </c>
      <c r="G5010" t="s">
        <v>63</v>
      </c>
      <c r="H5010" t="s">
        <v>13876</v>
      </c>
      <c r="I5010" t="s">
        <v>13877</v>
      </c>
      <c r="J5010" t="s">
        <v>1710</v>
      </c>
      <c r="K5010" t="s">
        <v>55</v>
      </c>
      <c r="L5010" t="s">
        <v>1711</v>
      </c>
      <c r="M5010" t="s">
        <v>57</v>
      </c>
      <c r="N5010" t="str">
        <f>"015427"</f>
        <v>015427</v>
      </c>
      <c r="O5010" t="s">
        <v>12157</v>
      </c>
      <c r="P5010" t="s">
        <v>68</v>
      </c>
      <c r="Q5010">
        <v>100</v>
      </c>
      <c r="R5010">
        <v>100</v>
      </c>
      <c r="S5010" t="s">
        <v>69</v>
      </c>
    </row>
    <row r="5011" spans="1:19" x14ac:dyDescent="0.35">
      <c r="A5011">
        <v>13148</v>
      </c>
      <c r="B5011" t="str">
        <f>"013148"</f>
        <v>013148</v>
      </c>
      <c r="C5011" t="s">
        <v>13878</v>
      </c>
      <c r="D5011" t="s">
        <v>3394</v>
      </c>
      <c r="E5011" t="s">
        <v>12048</v>
      </c>
      <c r="F5011" t="s">
        <v>3396</v>
      </c>
      <c r="G5011" t="s">
        <v>63</v>
      </c>
      <c r="H5011" t="s">
        <v>13879</v>
      </c>
      <c r="I5011" t="s">
        <v>13880</v>
      </c>
      <c r="J5011" t="s">
        <v>285</v>
      </c>
      <c r="K5011" t="s">
        <v>55</v>
      </c>
      <c r="L5011" t="s">
        <v>10957</v>
      </c>
      <c r="M5011" t="s">
        <v>57</v>
      </c>
      <c r="N5011" t="str">
        <f>"015030"</f>
        <v>015030</v>
      </c>
      <c r="O5011" t="s">
        <v>13881</v>
      </c>
      <c r="P5011" t="s">
        <v>68</v>
      </c>
      <c r="Q5011">
        <v>91.5</v>
      </c>
      <c r="R5011">
        <v>100</v>
      </c>
      <c r="S5011" t="s">
        <v>69</v>
      </c>
    </row>
    <row r="5012" spans="1:19" x14ac:dyDescent="0.35">
      <c r="A5012">
        <v>13148</v>
      </c>
      <c r="B5012" t="str">
        <f>"013148"</f>
        <v>013148</v>
      </c>
      <c r="C5012" t="s">
        <v>13878</v>
      </c>
      <c r="D5012" t="s">
        <v>12052</v>
      </c>
      <c r="E5012" t="s">
        <v>12048</v>
      </c>
      <c r="F5012" t="s">
        <v>3396</v>
      </c>
      <c r="G5012" t="s">
        <v>63</v>
      </c>
      <c r="H5012" t="s">
        <v>13879</v>
      </c>
      <c r="I5012" t="s">
        <v>13880</v>
      </c>
      <c r="J5012" t="s">
        <v>285</v>
      </c>
      <c r="K5012" t="s">
        <v>55</v>
      </c>
      <c r="L5012" t="s">
        <v>10957</v>
      </c>
      <c r="M5012" t="s">
        <v>57</v>
      </c>
      <c r="N5012" t="str">
        <f>"015030"</f>
        <v>015030</v>
      </c>
      <c r="O5012" t="s">
        <v>13881</v>
      </c>
      <c r="P5012" t="s">
        <v>68</v>
      </c>
      <c r="Q5012">
        <v>91.5</v>
      </c>
      <c r="R5012">
        <v>100</v>
      </c>
      <c r="S5012" t="s">
        <v>69</v>
      </c>
    </row>
    <row r="5013" spans="1:19" x14ac:dyDescent="0.35">
      <c r="A5013">
        <v>13148</v>
      </c>
      <c r="B5013" t="str">
        <f>"013148"</f>
        <v>013148</v>
      </c>
      <c r="C5013" t="s">
        <v>13878</v>
      </c>
      <c r="D5013" t="s">
        <v>12126</v>
      </c>
      <c r="E5013" t="s">
        <v>12048</v>
      </c>
      <c r="F5013" t="s">
        <v>3396</v>
      </c>
      <c r="G5013" t="s">
        <v>63</v>
      </c>
      <c r="H5013" t="s">
        <v>13879</v>
      </c>
      <c r="I5013" t="s">
        <v>13880</v>
      </c>
      <c r="J5013" t="s">
        <v>285</v>
      </c>
      <c r="K5013" t="s">
        <v>55</v>
      </c>
      <c r="L5013" t="s">
        <v>10957</v>
      </c>
      <c r="M5013" t="s">
        <v>57</v>
      </c>
      <c r="N5013" t="str">
        <f>"015030"</f>
        <v>015030</v>
      </c>
      <c r="O5013" t="s">
        <v>13881</v>
      </c>
      <c r="P5013" t="s">
        <v>68</v>
      </c>
      <c r="Q5013">
        <v>91.5</v>
      </c>
      <c r="R5013">
        <v>100</v>
      </c>
      <c r="S5013" t="s">
        <v>69</v>
      </c>
    </row>
    <row r="5014" spans="1:19" x14ac:dyDescent="0.35">
      <c r="A5014">
        <v>13170</v>
      </c>
      <c r="B5014" t="str">
        <f>"013170"</f>
        <v>013170</v>
      </c>
      <c r="C5014" t="s">
        <v>13882</v>
      </c>
      <c r="D5014" t="s">
        <v>3398</v>
      </c>
      <c r="E5014" t="s">
        <v>12048</v>
      </c>
      <c r="F5014" t="s">
        <v>3396</v>
      </c>
      <c r="G5014" t="s">
        <v>63</v>
      </c>
      <c r="H5014" t="s">
        <v>13883</v>
      </c>
      <c r="I5014" t="s">
        <v>13884</v>
      </c>
      <c r="J5014" t="s">
        <v>2834</v>
      </c>
      <c r="K5014" t="s">
        <v>55</v>
      </c>
      <c r="L5014" t="s">
        <v>508</v>
      </c>
      <c r="M5014" t="s">
        <v>57</v>
      </c>
      <c r="N5014" t="str">
        <f>"019365"</f>
        <v>019365</v>
      </c>
      <c r="O5014" t="s">
        <v>13885</v>
      </c>
      <c r="P5014" t="s">
        <v>68</v>
      </c>
      <c r="Q5014">
        <v>92.7</v>
      </c>
      <c r="R5014">
        <v>100</v>
      </c>
      <c r="S5014" t="s">
        <v>69</v>
      </c>
    </row>
    <row r="5015" spans="1:19" x14ac:dyDescent="0.35">
      <c r="A5015">
        <v>13170</v>
      </c>
      <c r="B5015" t="str">
        <f>"013170"</f>
        <v>013170</v>
      </c>
      <c r="C5015" t="s">
        <v>13882</v>
      </c>
      <c r="D5015" t="s">
        <v>12052</v>
      </c>
      <c r="E5015" t="s">
        <v>12048</v>
      </c>
      <c r="F5015" t="s">
        <v>3396</v>
      </c>
      <c r="G5015" t="s">
        <v>63</v>
      </c>
      <c r="H5015" t="s">
        <v>13883</v>
      </c>
      <c r="I5015" t="s">
        <v>13884</v>
      </c>
      <c r="J5015" t="s">
        <v>2834</v>
      </c>
      <c r="K5015" t="s">
        <v>55</v>
      </c>
      <c r="L5015" t="s">
        <v>508</v>
      </c>
      <c r="M5015" t="s">
        <v>57</v>
      </c>
      <c r="N5015" t="str">
        <f>"019365"</f>
        <v>019365</v>
      </c>
      <c r="O5015" t="s">
        <v>13885</v>
      </c>
      <c r="P5015" t="s">
        <v>68</v>
      </c>
      <c r="Q5015">
        <v>92.7</v>
      </c>
      <c r="R5015">
        <v>100</v>
      </c>
      <c r="S5015" t="s">
        <v>69</v>
      </c>
    </row>
    <row r="5016" spans="1:19" x14ac:dyDescent="0.35">
      <c r="A5016">
        <v>13173</v>
      </c>
      <c r="B5016" t="str">
        <f>"013173"</f>
        <v>013173</v>
      </c>
      <c r="C5016" t="s">
        <v>13886</v>
      </c>
      <c r="D5016" t="s">
        <v>3394</v>
      </c>
      <c r="E5016" t="s">
        <v>12048</v>
      </c>
      <c r="F5016" t="s">
        <v>3396</v>
      </c>
      <c r="G5016" t="s">
        <v>200</v>
      </c>
      <c r="H5016" t="s">
        <v>13887</v>
      </c>
      <c r="I5016" t="s">
        <v>13888</v>
      </c>
      <c r="J5016" t="s">
        <v>304</v>
      </c>
      <c r="K5016" t="s">
        <v>55</v>
      </c>
      <c r="L5016" t="s">
        <v>4360</v>
      </c>
      <c r="M5016" t="s">
        <v>57</v>
      </c>
      <c r="N5016" t="str">
        <f>"014995"</f>
        <v>014995</v>
      </c>
      <c r="O5016" t="s">
        <v>12501</v>
      </c>
      <c r="P5016" t="s">
        <v>68</v>
      </c>
      <c r="Q5016">
        <v>100</v>
      </c>
      <c r="R5016">
        <v>100</v>
      </c>
      <c r="S5016" t="s">
        <v>156</v>
      </c>
    </row>
    <row r="5017" spans="1:19" x14ac:dyDescent="0.35">
      <c r="A5017">
        <v>13173</v>
      </c>
      <c r="B5017" t="str">
        <f>"013173"</f>
        <v>013173</v>
      </c>
      <c r="C5017" t="s">
        <v>13886</v>
      </c>
      <c r="D5017" t="s">
        <v>12052</v>
      </c>
      <c r="E5017" t="s">
        <v>12048</v>
      </c>
      <c r="F5017" t="s">
        <v>3396</v>
      </c>
      <c r="G5017" t="s">
        <v>200</v>
      </c>
      <c r="H5017" t="s">
        <v>13887</v>
      </c>
      <c r="I5017" t="s">
        <v>13888</v>
      </c>
      <c r="J5017" t="s">
        <v>304</v>
      </c>
      <c r="K5017" t="s">
        <v>55</v>
      </c>
      <c r="L5017" t="s">
        <v>4360</v>
      </c>
      <c r="M5017" t="s">
        <v>57</v>
      </c>
      <c r="N5017" t="str">
        <f>"014995"</f>
        <v>014995</v>
      </c>
      <c r="O5017" t="s">
        <v>12501</v>
      </c>
      <c r="P5017" t="s">
        <v>68</v>
      </c>
      <c r="Q5017">
        <v>100</v>
      </c>
      <c r="R5017">
        <v>100</v>
      </c>
      <c r="S5017" t="s">
        <v>156</v>
      </c>
    </row>
    <row r="5018" spans="1:19" x14ac:dyDescent="0.35">
      <c r="A5018">
        <v>13175</v>
      </c>
      <c r="B5018" t="str">
        <f>"013175"</f>
        <v>013175</v>
      </c>
      <c r="C5018" t="s">
        <v>13889</v>
      </c>
      <c r="D5018" t="s">
        <v>3394</v>
      </c>
      <c r="E5018" t="s">
        <v>12048</v>
      </c>
      <c r="F5018" t="s">
        <v>3396</v>
      </c>
      <c r="G5018" t="s">
        <v>200</v>
      </c>
      <c r="H5018" t="s">
        <v>13890</v>
      </c>
      <c r="I5018" t="s">
        <v>13891</v>
      </c>
      <c r="J5018" t="s">
        <v>304</v>
      </c>
      <c r="K5018" t="s">
        <v>55</v>
      </c>
      <c r="L5018" t="s">
        <v>4350</v>
      </c>
      <c r="M5018" t="s">
        <v>57</v>
      </c>
      <c r="N5018" t="str">
        <f>"N/A"</f>
        <v>N/A</v>
      </c>
      <c r="O5018" t="s">
        <v>49</v>
      </c>
      <c r="P5018" t="s">
        <v>68</v>
      </c>
      <c r="Q5018">
        <v>93.4</v>
      </c>
      <c r="R5018">
        <v>100</v>
      </c>
      <c r="S5018" t="s">
        <v>156</v>
      </c>
    </row>
    <row r="5019" spans="1:19" x14ac:dyDescent="0.35">
      <c r="A5019">
        <v>13175</v>
      </c>
      <c r="B5019" t="str">
        <f>"013175"</f>
        <v>013175</v>
      </c>
      <c r="C5019" t="s">
        <v>13889</v>
      </c>
      <c r="D5019" t="s">
        <v>12052</v>
      </c>
      <c r="E5019" t="s">
        <v>12048</v>
      </c>
      <c r="F5019" t="s">
        <v>3396</v>
      </c>
      <c r="G5019" t="s">
        <v>200</v>
      </c>
      <c r="H5019" t="s">
        <v>13890</v>
      </c>
      <c r="I5019" t="s">
        <v>13891</v>
      </c>
      <c r="J5019" t="s">
        <v>304</v>
      </c>
      <c r="K5019" t="s">
        <v>55</v>
      </c>
      <c r="L5019" t="s">
        <v>4350</v>
      </c>
      <c r="M5019" t="s">
        <v>57</v>
      </c>
      <c r="N5019" t="str">
        <f>"N/A"</f>
        <v>N/A</v>
      </c>
      <c r="O5019" t="s">
        <v>49</v>
      </c>
      <c r="P5019" t="s">
        <v>68</v>
      </c>
      <c r="Q5019">
        <v>93.4</v>
      </c>
      <c r="R5019">
        <v>100</v>
      </c>
      <c r="S5019" t="s">
        <v>156</v>
      </c>
    </row>
    <row r="5020" spans="1:19" x14ac:dyDescent="0.35">
      <c r="A5020">
        <v>13184</v>
      </c>
      <c r="B5020" t="str">
        <f>"013184"</f>
        <v>013184</v>
      </c>
      <c r="C5020" t="s">
        <v>13892</v>
      </c>
      <c r="D5020" t="s">
        <v>3394</v>
      </c>
      <c r="E5020" t="s">
        <v>3395</v>
      </c>
      <c r="F5020" t="s">
        <v>3396</v>
      </c>
      <c r="G5020" t="s">
        <v>212</v>
      </c>
      <c r="H5020" t="s">
        <v>13893</v>
      </c>
      <c r="I5020" t="s">
        <v>13894</v>
      </c>
      <c r="J5020" t="s">
        <v>215</v>
      </c>
      <c r="K5020" t="s">
        <v>55</v>
      </c>
      <c r="L5020" t="s">
        <v>6210</v>
      </c>
      <c r="M5020" t="s">
        <v>57</v>
      </c>
      <c r="N5020" t="str">
        <f>"043752"</f>
        <v>043752</v>
      </c>
      <c r="O5020" t="s">
        <v>440</v>
      </c>
      <c r="P5020" t="s">
        <v>68</v>
      </c>
      <c r="Q5020">
        <v>13.7</v>
      </c>
      <c r="R5020">
        <v>28.799999999999997</v>
      </c>
      <c r="S5020" t="s">
        <v>217</v>
      </c>
    </row>
    <row r="5021" spans="1:19" x14ac:dyDescent="0.35">
      <c r="A5021">
        <v>13209</v>
      </c>
      <c r="B5021" t="str">
        <f>"013209"</f>
        <v>013209</v>
      </c>
      <c r="C5021" t="s">
        <v>13895</v>
      </c>
      <c r="D5021" t="s">
        <v>3394</v>
      </c>
      <c r="E5021" t="s">
        <v>9538</v>
      </c>
      <c r="F5021" t="s">
        <v>3396</v>
      </c>
      <c r="G5021" t="s">
        <v>63</v>
      </c>
      <c r="H5021" t="s">
        <v>13896</v>
      </c>
      <c r="I5021" t="s">
        <v>13897</v>
      </c>
      <c r="J5021" t="s">
        <v>3051</v>
      </c>
      <c r="K5021" t="s">
        <v>55</v>
      </c>
      <c r="L5021" t="s">
        <v>3052</v>
      </c>
      <c r="M5021" t="s">
        <v>57</v>
      </c>
      <c r="N5021" t="str">
        <f>"013209"</f>
        <v>013209</v>
      </c>
      <c r="O5021" t="s">
        <v>13895</v>
      </c>
      <c r="P5021" t="s">
        <v>68</v>
      </c>
      <c r="Q5021" t="s">
        <v>68</v>
      </c>
      <c r="R5021" t="s">
        <v>68</v>
      </c>
      <c r="S5021" t="s">
        <v>69</v>
      </c>
    </row>
    <row r="5022" spans="1:19" x14ac:dyDescent="0.35">
      <c r="A5022">
        <v>13195</v>
      </c>
      <c r="B5022" t="str">
        <f>"013195"</f>
        <v>013195</v>
      </c>
      <c r="C5022" t="s">
        <v>13898</v>
      </c>
      <c r="D5022" t="s">
        <v>3394</v>
      </c>
      <c r="E5022" t="s">
        <v>12048</v>
      </c>
      <c r="F5022" t="s">
        <v>3396</v>
      </c>
      <c r="G5022" t="s">
        <v>200</v>
      </c>
      <c r="H5022" t="s">
        <v>13899</v>
      </c>
      <c r="I5022" t="s">
        <v>13900</v>
      </c>
      <c r="J5022" t="s">
        <v>304</v>
      </c>
      <c r="K5022" t="s">
        <v>55</v>
      </c>
      <c r="L5022" t="s">
        <v>6203</v>
      </c>
      <c r="M5022" t="s">
        <v>57</v>
      </c>
      <c r="N5022" t="str">
        <f>"N/A"</f>
        <v>N/A</v>
      </c>
      <c r="O5022" t="s">
        <v>49</v>
      </c>
      <c r="P5022" t="s">
        <v>68</v>
      </c>
      <c r="Q5022">
        <v>100</v>
      </c>
      <c r="R5022">
        <v>100</v>
      </c>
      <c r="S5022" t="s">
        <v>156</v>
      </c>
    </row>
    <row r="5023" spans="1:19" x14ac:dyDescent="0.35">
      <c r="A5023">
        <v>13195</v>
      </c>
      <c r="B5023" t="str">
        <f>"013195"</f>
        <v>013195</v>
      </c>
      <c r="C5023" t="s">
        <v>13898</v>
      </c>
      <c r="D5023" t="s">
        <v>12471</v>
      </c>
      <c r="E5023" t="s">
        <v>12048</v>
      </c>
      <c r="F5023" t="s">
        <v>3396</v>
      </c>
      <c r="G5023" t="s">
        <v>200</v>
      </c>
      <c r="H5023" t="s">
        <v>13899</v>
      </c>
      <c r="I5023" t="s">
        <v>13900</v>
      </c>
      <c r="J5023" t="s">
        <v>304</v>
      </c>
      <c r="K5023" t="s">
        <v>55</v>
      </c>
      <c r="L5023" t="s">
        <v>6203</v>
      </c>
      <c r="M5023" t="s">
        <v>57</v>
      </c>
      <c r="N5023" t="str">
        <f>"N/A"</f>
        <v>N/A</v>
      </c>
      <c r="O5023" t="s">
        <v>49</v>
      </c>
      <c r="P5023" t="s">
        <v>68</v>
      </c>
      <c r="Q5023">
        <v>100</v>
      </c>
      <c r="R5023">
        <v>100</v>
      </c>
      <c r="S5023" t="s">
        <v>156</v>
      </c>
    </row>
    <row r="5024" spans="1:19" x14ac:dyDescent="0.35">
      <c r="A5024">
        <v>13199</v>
      </c>
      <c r="B5024" t="str">
        <f>"013199"</f>
        <v>013199</v>
      </c>
      <c r="C5024" t="s">
        <v>13901</v>
      </c>
      <c r="D5024" t="s">
        <v>3394</v>
      </c>
      <c r="E5024" t="s">
        <v>12048</v>
      </c>
      <c r="F5024" t="s">
        <v>3396</v>
      </c>
      <c r="G5024" t="s">
        <v>63</v>
      </c>
      <c r="H5024" t="s">
        <v>13902</v>
      </c>
      <c r="I5024" t="s">
        <v>13903</v>
      </c>
      <c r="J5024" t="s">
        <v>285</v>
      </c>
      <c r="K5024" t="s">
        <v>55</v>
      </c>
      <c r="L5024" t="s">
        <v>3798</v>
      </c>
      <c r="M5024" t="s">
        <v>57</v>
      </c>
      <c r="N5024" t="str">
        <f>"015427"</f>
        <v>015427</v>
      </c>
      <c r="O5024" t="s">
        <v>12157</v>
      </c>
      <c r="P5024" t="s">
        <v>68</v>
      </c>
      <c r="Q5024">
        <v>100</v>
      </c>
      <c r="R5024">
        <v>69.900000000000006</v>
      </c>
      <c r="S5024" t="s">
        <v>69</v>
      </c>
    </row>
    <row r="5025" spans="1:19" x14ac:dyDescent="0.35">
      <c r="A5025">
        <v>13199</v>
      </c>
      <c r="B5025" t="str">
        <f>"013199"</f>
        <v>013199</v>
      </c>
      <c r="C5025" t="s">
        <v>13901</v>
      </c>
      <c r="D5025" t="s">
        <v>12052</v>
      </c>
      <c r="E5025" t="s">
        <v>12048</v>
      </c>
      <c r="F5025" t="s">
        <v>3396</v>
      </c>
      <c r="G5025" t="s">
        <v>63</v>
      </c>
      <c r="H5025" t="s">
        <v>13902</v>
      </c>
      <c r="I5025" t="s">
        <v>13903</v>
      </c>
      <c r="J5025" t="s">
        <v>285</v>
      </c>
      <c r="K5025" t="s">
        <v>55</v>
      </c>
      <c r="L5025" t="s">
        <v>3798</v>
      </c>
      <c r="M5025" t="s">
        <v>57</v>
      </c>
      <c r="N5025" t="str">
        <f>"015427"</f>
        <v>015427</v>
      </c>
      <c r="O5025" t="s">
        <v>12157</v>
      </c>
      <c r="P5025" t="s">
        <v>68</v>
      </c>
      <c r="Q5025">
        <v>100</v>
      </c>
      <c r="R5025">
        <v>69.900000000000006</v>
      </c>
      <c r="S5025" t="s">
        <v>69</v>
      </c>
    </row>
    <row r="5026" spans="1:19" x14ac:dyDescent="0.35">
      <c r="A5026">
        <v>13199</v>
      </c>
      <c r="B5026" t="str">
        <f>"013199"</f>
        <v>013199</v>
      </c>
      <c r="C5026" t="s">
        <v>13901</v>
      </c>
      <c r="D5026" t="s">
        <v>4572</v>
      </c>
      <c r="E5026" t="s">
        <v>12048</v>
      </c>
      <c r="F5026" t="s">
        <v>3396</v>
      </c>
      <c r="G5026" t="s">
        <v>63</v>
      </c>
      <c r="H5026" t="s">
        <v>13902</v>
      </c>
      <c r="I5026" t="s">
        <v>13903</v>
      </c>
      <c r="J5026" t="s">
        <v>285</v>
      </c>
      <c r="K5026" t="s">
        <v>55</v>
      </c>
      <c r="L5026" t="s">
        <v>3798</v>
      </c>
      <c r="M5026" t="s">
        <v>57</v>
      </c>
      <c r="N5026" t="str">
        <f>"015427"</f>
        <v>015427</v>
      </c>
      <c r="O5026" t="s">
        <v>12157</v>
      </c>
      <c r="P5026" t="s">
        <v>68</v>
      </c>
      <c r="Q5026">
        <v>100</v>
      </c>
      <c r="R5026">
        <v>69.900000000000006</v>
      </c>
      <c r="S5026" t="s">
        <v>69</v>
      </c>
    </row>
    <row r="5027" spans="1:19" x14ac:dyDescent="0.35">
      <c r="A5027">
        <v>13208</v>
      </c>
      <c r="B5027" t="str">
        <f>"013208"</f>
        <v>013208</v>
      </c>
      <c r="C5027" t="s">
        <v>13260</v>
      </c>
      <c r="D5027" t="s">
        <v>3394</v>
      </c>
      <c r="E5027" t="s">
        <v>9538</v>
      </c>
      <c r="F5027" t="s">
        <v>3396</v>
      </c>
      <c r="G5027" t="s">
        <v>200</v>
      </c>
      <c r="H5027" t="s">
        <v>13904</v>
      </c>
      <c r="I5027" t="s">
        <v>13905</v>
      </c>
      <c r="J5027" t="s">
        <v>9049</v>
      </c>
      <c r="K5027" t="s">
        <v>55</v>
      </c>
      <c r="L5027" t="s">
        <v>9050</v>
      </c>
      <c r="M5027" t="s">
        <v>57</v>
      </c>
      <c r="N5027" t="str">
        <f>"013208"</f>
        <v>013208</v>
      </c>
      <c r="O5027" t="s">
        <v>13260</v>
      </c>
      <c r="P5027" t="s">
        <v>68</v>
      </c>
      <c r="Q5027" t="s">
        <v>68</v>
      </c>
      <c r="R5027" t="s">
        <v>68</v>
      </c>
      <c r="S5027" t="s">
        <v>156</v>
      </c>
    </row>
    <row r="5028" spans="1:19" x14ac:dyDescent="0.35">
      <c r="A5028">
        <v>13231</v>
      </c>
      <c r="B5028" t="str">
        <f>"013231"</f>
        <v>013231</v>
      </c>
      <c r="C5028" t="s">
        <v>13906</v>
      </c>
      <c r="D5028" t="s">
        <v>3398</v>
      </c>
      <c r="E5028" t="s">
        <v>3395</v>
      </c>
      <c r="F5028" t="s">
        <v>3396</v>
      </c>
      <c r="G5028" t="s">
        <v>264</v>
      </c>
      <c r="H5028" t="s">
        <v>13907</v>
      </c>
      <c r="I5028" t="s">
        <v>13908</v>
      </c>
      <c r="J5028" t="s">
        <v>267</v>
      </c>
      <c r="K5028" t="s">
        <v>55</v>
      </c>
      <c r="L5028" t="s">
        <v>1528</v>
      </c>
      <c r="M5028" t="s">
        <v>57</v>
      </c>
      <c r="N5028" t="str">
        <f>"043489"</f>
        <v>043489</v>
      </c>
      <c r="O5028" t="s">
        <v>3176</v>
      </c>
      <c r="P5028" t="s">
        <v>68</v>
      </c>
      <c r="Q5028">
        <v>100</v>
      </c>
      <c r="R5028">
        <v>64.599999999999994</v>
      </c>
      <c r="S5028" t="s">
        <v>77</v>
      </c>
    </row>
    <row r="5029" spans="1:19" x14ac:dyDescent="0.35">
      <c r="A5029">
        <v>13231</v>
      </c>
      <c r="B5029" t="str">
        <f>"013231"</f>
        <v>013231</v>
      </c>
      <c r="C5029" t="s">
        <v>13906</v>
      </c>
      <c r="D5029" t="s">
        <v>3929</v>
      </c>
      <c r="E5029" t="s">
        <v>3395</v>
      </c>
      <c r="F5029" t="s">
        <v>3396</v>
      </c>
      <c r="G5029" t="s">
        <v>264</v>
      </c>
      <c r="H5029" t="s">
        <v>13907</v>
      </c>
      <c r="I5029" t="s">
        <v>13908</v>
      </c>
      <c r="J5029" t="s">
        <v>267</v>
      </c>
      <c r="K5029" t="s">
        <v>55</v>
      </c>
      <c r="L5029" t="s">
        <v>1528</v>
      </c>
      <c r="M5029" t="s">
        <v>57</v>
      </c>
      <c r="N5029" t="str">
        <f>"043489"</f>
        <v>043489</v>
      </c>
      <c r="O5029" t="s">
        <v>3176</v>
      </c>
      <c r="P5029" t="s">
        <v>68</v>
      </c>
      <c r="Q5029">
        <v>100</v>
      </c>
      <c r="R5029">
        <v>64.599999999999994</v>
      </c>
      <c r="S5029" t="s">
        <v>77</v>
      </c>
    </row>
    <row r="5030" spans="1:19" x14ac:dyDescent="0.35">
      <c r="A5030">
        <v>13232</v>
      </c>
      <c r="B5030" t="str">
        <f>"013232"</f>
        <v>013232</v>
      </c>
      <c r="C5030" t="s">
        <v>13909</v>
      </c>
      <c r="D5030" t="s">
        <v>3394</v>
      </c>
      <c r="E5030" t="s">
        <v>12048</v>
      </c>
      <c r="F5030" t="s">
        <v>3396</v>
      </c>
      <c r="G5030" t="s">
        <v>600</v>
      </c>
      <c r="H5030" t="s">
        <v>13910</v>
      </c>
      <c r="I5030" t="s">
        <v>13911</v>
      </c>
      <c r="J5030" t="s">
        <v>1348</v>
      </c>
      <c r="K5030" t="s">
        <v>55</v>
      </c>
      <c r="L5030" t="s">
        <v>2733</v>
      </c>
      <c r="M5030" t="s">
        <v>57</v>
      </c>
      <c r="N5030" t="str">
        <f>"017100"</f>
        <v>017100</v>
      </c>
      <c r="O5030" t="s">
        <v>13912</v>
      </c>
      <c r="P5030" t="s">
        <v>68</v>
      </c>
      <c r="Q5030">
        <v>98.8</v>
      </c>
      <c r="R5030">
        <v>61.6</v>
      </c>
      <c r="S5030" t="s">
        <v>60</v>
      </c>
    </row>
    <row r="5031" spans="1:19" x14ac:dyDescent="0.35">
      <c r="A5031">
        <v>13232</v>
      </c>
      <c r="B5031" t="str">
        <f>"013232"</f>
        <v>013232</v>
      </c>
      <c r="C5031" t="s">
        <v>13909</v>
      </c>
      <c r="D5031" t="s">
        <v>12052</v>
      </c>
      <c r="E5031" t="s">
        <v>12048</v>
      </c>
      <c r="F5031" t="s">
        <v>3396</v>
      </c>
      <c r="G5031" t="s">
        <v>600</v>
      </c>
      <c r="H5031" t="s">
        <v>13910</v>
      </c>
      <c r="I5031" t="s">
        <v>13911</v>
      </c>
      <c r="J5031" t="s">
        <v>1348</v>
      </c>
      <c r="K5031" t="s">
        <v>55</v>
      </c>
      <c r="L5031" t="s">
        <v>2733</v>
      </c>
      <c r="M5031" t="s">
        <v>57</v>
      </c>
      <c r="N5031" t="str">
        <f>"017100"</f>
        <v>017100</v>
      </c>
      <c r="O5031" t="s">
        <v>13912</v>
      </c>
      <c r="P5031" t="s">
        <v>68</v>
      </c>
      <c r="Q5031">
        <v>98.8</v>
      </c>
      <c r="R5031">
        <v>61.6</v>
      </c>
      <c r="S5031" t="s">
        <v>60</v>
      </c>
    </row>
    <row r="5032" spans="1:19" x14ac:dyDescent="0.35">
      <c r="A5032">
        <v>13249</v>
      </c>
      <c r="B5032" t="str">
        <f>"013249"</f>
        <v>013249</v>
      </c>
      <c r="C5032" t="s">
        <v>13913</v>
      </c>
      <c r="D5032" t="s">
        <v>3398</v>
      </c>
      <c r="E5032" t="s">
        <v>12048</v>
      </c>
      <c r="F5032" t="s">
        <v>3396</v>
      </c>
      <c r="G5032" t="s">
        <v>383</v>
      </c>
      <c r="H5032" t="s">
        <v>13914</v>
      </c>
      <c r="I5032" t="s">
        <v>13915</v>
      </c>
      <c r="J5032" t="s">
        <v>1215</v>
      </c>
      <c r="K5032" t="s">
        <v>55</v>
      </c>
      <c r="L5032" t="s">
        <v>9578</v>
      </c>
      <c r="M5032" t="s">
        <v>57</v>
      </c>
      <c r="N5032" t="str">
        <f>"014978"</f>
        <v>014978</v>
      </c>
      <c r="O5032" t="s">
        <v>13803</v>
      </c>
      <c r="P5032" t="s">
        <v>68</v>
      </c>
      <c r="Q5032">
        <v>100</v>
      </c>
      <c r="R5032">
        <v>91.5</v>
      </c>
      <c r="S5032" t="s">
        <v>77</v>
      </c>
    </row>
    <row r="5033" spans="1:19" x14ac:dyDescent="0.35">
      <c r="A5033">
        <v>13249</v>
      </c>
      <c r="B5033" t="str">
        <f>"013249"</f>
        <v>013249</v>
      </c>
      <c r="C5033" t="s">
        <v>13913</v>
      </c>
      <c r="D5033" t="s">
        <v>12052</v>
      </c>
      <c r="E5033" t="s">
        <v>12048</v>
      </c>
      <c r="F5033" t="s">
        <v>3396</v>
      </c>
      <c r="G5033" t="s">
        <v>383</v>
      </c>
      <c r="H5033" t="s">
        <v>13914</v>
      </c>
      <c r="I5033" t="s">
        <v>13915</v>
      </c>
      <c r="J5033" t="s">
        <v>1215</v>
      </c>
      <c r="K5033" t="s">
        <v>55</v>
      </c>
      <c r="L5033" t="s">
        <v>9578</v>
      </c>
      <c r="M5033" t="s">
        <v>57</v>
      </c>
      <c r="N5033" t="str">
        <f>"014978"</f>
        <v>014978</v>
      </c>
      <c r="O5033" t="s">
        <v>13803</v>
      </c>
      <c r="P5033" t="s">
        <v>68</v>
      </c>
      <c r="Q5033">
        <v>100</v>
      </c>
      <c r="R5033">
        <v>91.5</v>
      </c>
      <c r="S5033" t="s">
        <v>77</v>
      </c>
    </row>
    <row r="5034" spans="1:19" x14ac:dyDescent="0.35">
      <c r="A5034">
        <v>13249</v>
      </c>
      <c r="B5034" t="str">
        <f>"013249"</f>
        <v>013249</v>
      </c>
      <c r="C5034" t="s">
        <v>13913</v>
      </c>
      <c r="D5034" t="s">
        <v>12063</v>
      </c>
      <c r="E5034" t="s">
        <v>12048</v>
      </c>
      <c r="F5034" t="s">
        <v>3396</v>
      </c>
      <c r="G5034" t="s">
        <v>383</v>
      </c>
      <c r="H5034" t="s">
        <v>13914</v>
      </c>
      <c r="I5034" t="s">
        <v>13915</v>
      </c>
      <c r="J5034" t="s">
        <v>1215</v>
      </c>
      <c r="K5034" t="s">
        <v>55</v>
      </c>
      <c r="L5034" t="s">
        <v>9578</v>
      </c>
      <c r="M5034" t="s">
        <v>57</v>
      </c>
      <c r="N5034" t="str">
        <f>"014978"</f>
        <v>014978</v>
      </c>
      <c r="O5034" t="s">
        <v>13803</v>
      </c>
      <c r="P5034" t="s">
        <v>68</v>
      </c>
      <c r="Q5034">
        <v>100</v>
      </c>
      <c r="R5034">
        <v>91.5</v>
      </c>
      <c r="S5034" t="s">
        <v>77</v>
      </c>
    </row>
    <row r="5035" spans="1:19" x14ac:dyDescent="0.35">
      <c r="A5035">
        <v>13253</v>
      </c>
      <c r="B5035" t="str">
        <f>"013253"</f>
        <v>013253</v>
      </c>
      <c r="C5035" t="s">
        <v>13916</v>
      </c>
      <c r="D5035" t="s">
        <v>3394</v>
      </c>
      <c r="E5035" t="s">
        <v>12048</v>
      </c>
      <c r="F5035" t="s">
        <v>3396</v>
      </c>
      <c r="G5035" t="s">
        <v>63</v>
      </c>
      <c r="H5035" t="s">
        <v>13917</v>
      </c>
      <c r="I5035" t="s">
        <v>13918</v>
      </c>
      <c r="J5035" t="s">
        <v>842</v>
      </c>
      <c r="K5035" t="s">
        <v>55</v>
      </c>
      <c r="L5035" t="s">
        <v>843</v>
      </c>
      <c r="M5035" t="s">
        <v>57</v>
      </c>
      <c r="N5035" t="str">
        <f>"017093"</f>
        <v>017093</v>
      </c>
      <c r="O5035" t="s">
        <v>13664</v>
      </c>
      <c r="P5035" t="s">
        <v>68</v>
      </c>
      <c r="Q5035">
        <v>100</v>
      </c>
      <c r="R5035">
        <v>100</v>
      </c>
      <c r="S5035" t="s">
        <v>69</v>
      </c>
    </row>
    <row r="5036" spans="1:19" x14ac:dyDescent="0.35">
      <c r="A5036">
        <v>13253</v>
      </c>
      <c r="B5036" t="str">
        <f>"013253"</f>
        <v>013253</v>
      </c>
      <c r="C5036" t="s">
        <v>13916</v>
      </c>
      <c r="D5036" t="s">
        <v>12052</v>
      </c>
      <c r="E5036" t="s">
        <v>12048</v>
      </c>
      <c r="F5036" t="s">
        <v>3396</v>
      </c>
      <c r="G5036" t="s">
        <v>63</v>
      </c>
      <c r="H5036" t="s">
        <v>13917</v>
      </c>
      <c r="I5036" t="s">
        <v>13918</v>
      </c>
      <c r="J5036" t="s">
        <v>842</v>
      </c>
      <c r="K5036" t="s">
        <v>55</v>
      </c>
      <c r="L5036" t="s">
        <v>843</v>
      </c>
      <c r="M5036" t="s">
        <v>57</v>
      </c>
      <c r="N5036" t="str">
        <f>"017093"</f>
        <v>017093</v>
      </c>
      <c r="O5036" t="s">
        <v>13664</v>
      </c>
      <c r="P5036" t="s">
        <v>68</v>
      </c>
      <c r="Q5036">
        <v>100</v>
      </c>
      <c r="R5036">
        <v>100</v>
      </c>
      <c r="S5036" t="s">
        <v>69</v>
      </c>
    </row>
    <row r="5037" spans="1:19" x14ac:dyDescent="0.35">
      <c r="A5037">
        <v>13254</v>
      </c>
      <c r="B5037" t="str">
        <f>"013254"</f>
        <v>013254</v>
      </c>
      <c r="C5037" t="s">
        <v>13919</v>
      </c>
      <c r="D5037" t="s">
        <v>3398</v>
      </c>
      <c r="E5037" t="s">
        <v>12048</v>
      </c>
      <c r="F5037" t="s">
        <v>3396</v>
      </c>
      <c r="G5037" t="s">
        <v>264</v>
      </c>
      <c r="H5037" t="s">
        <v>13920</v>
      </c>
      <c r="I5037" t="s">
        <v>13921</v>
      </c>
      <c r="J5037" t="s">
        <v>267</v>
      </c>
      <c r="K5037" t="s">
        <v>55</v>
      </c>
      <c r="L5037" t="s">
        <v>3658</v>
      </c>
      <c r="M5037" t="s">
        <v>57</v>
      </c>
      <c r="N5037" t="str">
        <f>"017091"</f>
        <v>017091</v>
      </c>
      <c r="O5037" t="s">
        <v>13922</v>
      </c>
      <c r="P5037" t="s">
        <v>68</v>
      </c>
      <c r="Q5037">
        <v>99.7</v>
      </c>
      <c r="R5037">
        <v>93.5</v>
      </c>
      <c r="S5037" t="s">
        <v>77</v>
      </c>
    </row>
    <row r="5038" spans="1:19" x14ac:dyDescent="0.35">
      <c r="A5038">
        <v>13254</v>
      </c>
      <c r="B5038" t="str">
        <f>"013254"</f>
        <v>013254</v>
      </c>
      <c r="C5038" t="s">
        <v>13919</v>
      </c>
      <c r="D5038" t="s">
        <v>12052</v>
      </c>
      <c r="E5038" t="s">
        <v>12048</v>
      </c>
      <c r="F5038" t="s">
        <v>3396</v>
      </c>
      <c r="G5038" t="s">
        <v>264</v>
      </c>
      <c r="H5038" t="s">
        <v>13920</v>
      </c>
      <c r="I5038" t="s">
        <v>13921</v>
      </c>
      <c r="J5038" t="s">
        <v>267</v>
      </c>
      <c r="K5038" t="s">
        <v>55</v>
      </c>
      <c r="L5038" t="s">
        <v>3658</v>
      </c>
      <c r="M5038" t="s">
        <v>57</v>
      </c>
      <c r="N5038" t="str">
        <f>"017091"</f>
        <v>017091</v>
      </c>
      <c r="O5038" t="s">
        <v>13922</v>
      </c>
      <c r="P5038" t="s">
        <v>68</v>
      </c>
      <c r="Q5038">
        <v>99.7</v>
      </c>
      <c r="R5038">
        <v>93.5</v>
      </c>
      <c r="S5038" t="s">
        <v>77</v>
      </c>
    </row>
    <row r="5039" spans="1:19" x14ac:dyDescent="0.35">
      <c r="A5039">
        <v>13255</v>
      </c>
      <c r="B5039" t="str">
        <f>"013255"</f>
        <v>013255</v>
      </c>
      <c r="C5039" t="s">
        <v>13923</v>
      </c>
      <c r="D5039" t="s">
        <v>3398</v>
      </c>
      <c r="E5039" t="s">
        <v>12048</v>
      </c>
      <c r="F5039" t="s">
        <v>3396</v>
      </c>
      <c r="G5039" t="s">
        <v>117</v>
      </c>
      <c r="H5039" t="s">
        <v>13924</v>
      </c>
      <c r="I5039" t="s">
        <v>13925</v>
      </c>
      <c r="J5039" t="s">
        <v>1409</v>
      </c>
      <c r="K5039" t="s">
        <v>55</v>
      </c>
      <c r="L5039" t="s">
        <v>2662</v>
      </c>
      <c r="M5039" t="s">
        <v>57</v>
      </c>
      <c r="N5039" t="str">
        <f>"017092"</f>
        <v>017092</v>
      </c>
      <c r="O5039" t="s">
        <v>13926</v>
      </c>
      <c r="P5039" t="s">
        <v>68</v>
      </c>
      <c r="Q5039">
        <v>100</v>
      </c>
      <c r="R5039">
        <v>89.2</v>
      </c>
      <c r="S5039" t="s">
        <v>77</v>
      </c>
    </row>
    <row r="5040" spans="1:19" x14ac:dyDescent="0.35">
      <c r="A5040">
        <v>13255</v>
      </c>
      <c r="B5040" t="str">
        <f>"013255"</f>
        <v>013255</v>
      </c>
      <c r="C5040" t="s">
        <v>13923</v>
      </c>
      <c r="D5040" t="s">
        <v>12052</v>
      </c>
      <c r="E5040" t="s">
        <v>12048</v>
      </c>
      <c r="F5040" t="s">
        <v>3396</v>
      </c>
      <c r="G5040" t="s">
        <v>117</v>
      </c>
      <c r="H5040" t="s">
        <v>13924</v>
      </c>
      <c r="I5040" t="s">
        <v>13925</v>
      </c>
      <c r="J5040" t="s">
        <v>1409</v>
      </c>
      <c r="K5040" t="s">
        <v>55</v>
      </c>
      <c r="L5040" t="s">
        <v>2662</v>
      </c>
      <c r="M5040" t="s">
        <v>57</v>
      </c>
      <c r="N5040" t="str">
        <f>"017092"</f>
        <v>017092</v>
      </c>
      <c r="O5040" t="s">
        <v>13926</v>
      </c>
      <c r="P5040" t="s">
        <v>68</v>
      </c>
      <c r="Q5040">
        <v>100</v>
      </c>
      <c r="R5040">
        <v>89.2</v>
      </c>
      <c r="S5040" t="s">
        <v>77</v>
      </c>
    </row>
    <row r="5041" spans="1:19" x14ac:dyDescent="0.35">
      <c r="A5041">
        <v>13258</v>
      </c>
      <c r="B5041" t="str">
        <f>"013258"</f>
        <v>013258</v>
      </c>
      <c r="C5041" t="s">
        <v>13927</v>
      </c>
      <c r="D5041" t="s">
        <v>3543</v>
      </c>
      <c r="E5041" t="s">
        <v>9538</v>
      </c>
      <c r="F5041" t="s">
        <v>3396</v>
      </c>
      <c r="G5041" t="s">
        <v>543</v>
      </c>
      <c r="H5041" t="s">
        <v>13928</v>
      </c>
      <c r="I5041" t="s">
        <v>13929</v>
      </c>
      <c r="J5041" t="s">
        <v>687</v>
      </c>
      <c r="K5041" t="s">
        <v>55</v>
      </c>
      <c r="L5041" t="s">
        <v>13930</v>
      </c>
      <c r="M5041" t="s">
        <v>57</v>
      </c>
      <c r="N5041" t="str">
        <f>"013258"</f>
        <v>013258</v>
      </c>
      <c r="O5041" t="s">
        <v>13927</v>
      </c>
      <c r="P5041" t="s">
        <v>68</v>
      </c>
      <c r="Q5041" t="s">
        <v>68</v>
      </c>
      <c r="R5041" t="s">
        <v>68</v>
      </c>
      <c r="S5041" t="s">
        <v>180</v>
      </c>
    </row>
    <row r="5042" spans="1:19" x14ac:dyDescent="0.35">
      <c r="A5042">
        <v>13258</v>
      </c>
      <c r="B5042" t="str">
        <f>"013258"</f>
        <v>013258</v>
      </c>
      <c r="C5042" t="s">
        <v>13927</v>
      </c>
      <c r="D5042" t="s">
        <v>9541</v>
      </c>
      <c r="E5042" t="s">
        <v>9538</v>
      </c>
      <c r="F5042" t="s">
        <v>3396</v>
      </c>
      <c r="G5042" t="s">
        <v>543</v>
      </c>
      <c r="H5042" t="s">
        <v>13928</v>
      </c>
      <c r="I5042" t="s">
        <v>13929</v>
      </c>
      <c r="J5042" t="s">
        <v>687</v>
      </c>
      <c r="K5042" t="s">
        <v>55</v>
      </c>
      <c r="L5042" t="s">
        <v>13930</v>
      </c>
      <c r="M5042" t="s">
        <v>57</v>
      </c>
      <c r="N5042" t="str">
        <f>"013258"</f>
        <v>013258</v>
      </c>
      <c r="O5042" t="s">
        <v>13927</v>
      </c>
      <c r="P5042" t="s">
        <v>68</v>
      </c>
      <c r="Q5042" t="s">
        <v>68</v>
      </c>
      <c r="R5042" t="s">
        <v>68</v>
      </c>
      <c r="S5042" t="s">
        <v>180</v>
      </c>
    </row>
    <row r="5043" spans="1:19" x14ac:dyDescent="0.35">
      <c r="A5043">
        <v>13257</v>
      </c>
      <c r="B5043" t="str">
        <f>"013257"</f>
        <v>013257</v>
      </c>
      <c r="C5043" t="s">
        <v>13931</v>
      </c>
      <c r="D5043" t="s">
        <v>3543</v>
      </c>
      <c r="E5043" t="s">
        <v>9538</v>
      </c>
      <c r="F5043" t="s">
        <v>3396</v>
      </c>
      <c r="G5043" t="s">
        <v>543</v>
      </c>
      <c r="H5043" t="s">
        <v>13932</v>
      </c>
      <c r="I5043" t="s">
        <v>13933</v>
      </c>
      <c r="J5043" t="s">
        <v>13934</v>
      </c>
      <c r="K5043" t="s">
        <v>55</v>
      </c>
      <c r="L5043" t="s">
        <v>2547</v>
      </c>
      <c r="M5043" t="s">
        <v>57</v>
      </c>
      <c r="N5043" t="str">
        <f>"013257"</f>
        <v>013257</v>
      </c>
      <c r="O5043" t="s">
        <v>13931</v>
      </c>
      <c r="P5043" t="s">
        <v>68</v>
      </c>
      <c r="Q5043" t="s">
        <v>68</v>
      </c>
      <c r="R5043" t="s">
        <v>68</v>
      </c>
      <c r="S5043" t="s">
        <v>180</v>
      </c>
    </row>
    <row r="5044" spans="1:19" x14ac:dyDescent="0.35">
      <c r="A5044">
        <v>13257</v>
      </c>
      <c r="B5044" t="str">
        <f>"013257"</f>
        <v>013257</v>
      </c>
      <c r="C5044" t="s">
        <v>13931</v>
      </c>
      <c r="D5044" t="s">
        <v>9541</v>
      </c>
      <c r="E5044" t="s">
        <v>9538</v>
      </c>
      <c r="F5044" t="s">
        <v>3396</v>
      </c>
      <c r="G5044" t="s">
        <v>543</v>
      </c>
      <c r="H5044" t="s">
        <v>13932</v>
      </c>
      <c r="I5044" t="s">
        <v>13933</v>
      </c>
      <c r="J5044" t="s">
        <v>13934</v>
      </c>
      <c r="K5044" t="s">
        <v>55</v>
      </c>
      <c r="L5044" t="s">
        <v>2547</v>
      </c>
      <c r="M5044" t="s">
        <v>57</v>
      </c>
      <c r="N5044" t="str">
        <f>"013257"</f>
        <v>013257</v>
      </c>
      <c r="O5044" t="s">
        <v>13931</v>
      </c>
      <c r="P5044" t="s">
        <v>68</v>
      </c>
      <c r="Q5044" t="s">
        <v>68</v>
      </c>
      <c r="R5044" t="s">
        <v>68</v>
      </c>
      <c r="S5044" t="s">
        <v>180</v>
      </c>
    </row>
    <row r="5045" spans="1:19" x14ac:dyDescent="0.35">
      <c r="A5045">
        <v>13298</v>
      </c>
      <c r="B5045" t="str">
        <f>"013298"</f>
        <v>013298</v>
      </c>
      <c r="C5045" t="s">
        <v>13935</v>
      </c>
      <c r="D5045" t="s">
        <v>3394</v>
      </c>
      <c r="E5045" t="s">
        <v>3395</v>
      </c>
      <c r="F5045" t="s">
        <v>3396</v>
      </c>
      <c r="G5045" t="s">
        <v>194</v>
      </c>
      <c r="H5045" t="s">
        <v>3018</v>
      </c>
      <c r="I5045" t="s">
        <v>3019</v>
      </c>
      <c r="J5045" t="s">
        <v>3020</v>
      </c>
      <c r="K5045" t="s">
        <v>55</v>
      </c>
      <c r="L5045" t="s">
        <v>3021</v>
      </c>
      <c r="M5045" t="s">
        <v>57</v>
      </c>
      <c r="N5045" t="str">
        <f>"049155"</f>
        <v>049155</v>
      </c>
      <c r="O5045" t="s">
        <v>3017</v>
      </c>
      <c r="P5045" t="s">
        <v>68</v>
      </c>
      <c r="Q5045">
        <v>100</v>
      </c>
      <c r="R5045">
        <v>2.0999999999999943</v>
      </c>
      <c r="S5045" t="s">
        <v>130</v>
      </c>
    </row>
    <row r="5046" spans="1:19" x14ac:dyDescent="0.35">
      <c r="A5046">
        <v>13322</v>
      </c>
      <c r="B5046" t="str">
        <f>"013322"</f>
        <v>013322</v>
      </c>
      <c r="C5046" t="s">
        <v>13936</v>
      </c>
      <c r="D5046" t="s">
        <v>3394</v>
      </c>
      <c r="E5046" t="s">
        <v>3395</v>
      </c>
      <c r="F5046" t="s">
        <v>3396</v>
      </c>
      <c r="G5046" t="s">
        <v>543</v>
      </c>
      <c r="H5046" t="s">
        <v>13937</v>
      </c>
      <c r="I5046" t="s">
        <v>13938</v>
      </c>
      <c r="J5046" t="s">
        <v>546</v>
      </c>
      <c r="K5046" t="s">
        <v>55</v>
      </c>
      <c r="L5046" t="s">
        <v>547</v>
      </c>
      <c r="M5046" t="s">
        <v>57</v>
      </c>
      <c r="N5046" t="str">
        <f>"048694"</f>
        <v>048694</v>
      </c>
      <c r="O5046" t="s">
        <v>542</v>
      </c>
      <c r="P5046" t="s">
        <v>68</v>
      </c>
      <c r="Q5046">
        <v>84.8</v>
      </c>
      <c r="R5046">
        <v>94.8</v>
      </c>
      <c r="S5046" t="s">
        <v>180</v>
      </c>
    </row>
    <row r="5047" spans="1:19" x14ac:dyDescent="0.35">
      <c r="A5047">
        <v>13572</v>
      </c>
      <c r="B5047" t="str">
        <f>"013572"</f>
        <v>013572</v>
      </c>
      <c r="C5047" t="s">
        <v>13939</v>
      </c>
      <c r="D5047" t="s">
        <v>3394</v>
      </c>
      <c r="E5047" t="s">
        <v>3395</v>
      </c>
      <c r="F5047" t="s">
        <v>3396</v>
      </c>
      <c r="G5047" t="s">
        <v>674</v>
      </c>
      <c r="H5047" t="s">
        <v>925</v>
      </c>
      <c r="I5047" t="s">
        <v>926</v>
      </c>
      <c r="J5047" t="s">
        <v>927</v>
      </c>
      <c r="K5047" t="s">
        <v>55</v>
      </c>
      <c r="L5047" t="s">
        <v>928</v>
      </c>
      <c r="M5047" t="s">
        <v>57</v>
      </c>
      <c r="N5047" t="str">
        <f>"048850"</f>
        <v>048850</v>
      </c>
      <c r="O5047" t="s">
        <v>924</v>
      </c>
      <c r="P5047" t="s">
        <v>68</v>
      </c>
      <c r="Q5047" t="s">
        <v>68</v>
      </c>
      <c r="R5047" t="s">
        <v>68</v>
      </c>
      <c r="S5047" t="s">
        <v>130</v>
      </c>
    </row>
    <row r="5048" spans="1:19" x14ac:dyDescent="0.35">
      <c r="A5048">
        <v>13820</v>
      </c>
      <c r="B5048" t="str">
        <f>"013820"</f>
        <v>013820</v>
      </c>
      <c r="C5048" t="s">
        <v>13940</v>
      </c>
      <c r="D5048" t="s">
        <v>3394</v>
      </c>
      <c r="E5048" t="s">
        <v>3395</v>
      </c>
      <c r="F5048" t="s">
        <v>3396</v>
      </c>
      <c r="G5048" t="s">
        <v>175</v>
      </c>
      <c r="H5048" t="s">
        <v>13941</v>
      </c>
      <c r="I5048" t="s">
        <v>13942</v>
      </c>
      <c r="J5048" t="s">
        <v>597</v>
      </c>
      <c r="K5048" t="s">
        <v>55</v>
      </c>
      <c r="L5048" t="s">
        <v>598</v>
      </c>
      <c r="M5048" t="s">
        <v>57</v>
      </c>
      <c r="N5048" t="str">
        <f>"046631"</f>
        <v>046631</v>
      </c>
      <c r="O5048" t="s">
        <v>1273</v>
      </c>
      <c r="P5048" t="s">
        <v>68</v>
      </c>
      <c r="Q5048" t="s">
        <v>68</v>
      </c>
      <c r="R5048" t="s">
        <v>68</v>
      </c>
      <c r="S5048" t="s">
        <v>180</v>
      </c>
    </row>
    <row r="5049" spans="1:19" x14ac:dyDescent="0.35">
      <c r="A5049">
        <v>13835</v>
      </c>
      <c r="B5049" t="str">
        <f>"013835"</f>
        <v>013835</v>
      </c>
      <c r="C5049" t="s">
        <v>13943</v>
      </c>
      <c r="D5049" t="s">
        <v>3394</v>
      </c>
      <c r="E5049" t="s">
        <v>9538</v>
      </c>
      <c r="F5049" t="s">
        <v>3396</v>
      </c>
      <c r="G5049" t="s">
        <v>600</v>
      </c>
      <c r="H5049" t="s">
        <v>13944</v>
      </c>
      <c r="I5049" t="s">
        <v>13945</v>
      </c>
      <c r="J5049" t="s">
        <v>1348</v>
      </c>
      <c r="K5049" t="s">
        <v>55</v>
      </c>
      <c r="L5049" t="s">
        <v>3462</v>
      </c>
      <c r="M5049" t="s">
        <v>57</v>
      </c>
      <c r="N5049" t="str">
        <f>"013835"</f>
        <v>013835</v>
      </c>
      <c r="O5049" t="s">
        <v>13943</v>
      </c>
      <c r="P5049" t="s">
        <v>68</v>
      </c>
      <c r="Q5049" t="s">
        <v>68</v>
      </c>
      <c r="R5049" t="s">
        <v>68</v>
      </c>
      <c r="S5049" t="s">
        <v>60</v>
      </c>
    </row>
    <row r="5050" spans="1:19" x14ac:dyDescent="0.35">
      <c r="A5050">
        <v>13864</v>
      </c>
      <c r="B5050" t="str">
        <f>"013864"</f>
        <v>013864</v>
      </c>
      <c r="C5050" t="s">
        <v>13946</v>
      </c>
      <c r="D5050" t="s">
        <v>3398</v>
      </c>
      <c r="E5050" t="s">
        <v>12048</v>
      </c>
      <c r="F5050" t="s">
        <v>3396</v>
      </c>
      <c r="G5050" t="s">
        <v>212</v>
      </c>
      <c r="H5050" t="s">
        <v>13947</v>
      </c>
      <c r="I5050" t="s">
        <v>13948</v>
      </c>
      <c r="J5050" t="s">
        <v>215</v>
      </c>
      <c r="K5050" t="s">
        <v>55</v>
      </c>
      <c r="L5050" t="s">
        <v>9621</v>
      </c>
      <c r="M5050" t="s">
        <v>57</v>
      </c>
      <c r="N5050" t="str">
        <f>"019978"</f>
        <v>019978</v>
      </c>
      <c r="O5050" t="s">
        <v>13949</v>
      </c>
      <c r="P5050" t="s">
        <v>68</v>
      </c>
      <c r="Q5050">
        <v>100</v>
      </c>
      <c r="R5050">
        <v>76.2</v>
      </c>
      <c r="S5050" t="s">
        <v>217</v>
      </c>
    </row>
    <row r="5051" spans="1:19" x14ac:dyDescent="0.35">
      <c r="A5051">
        <v>13864</v>
      </c>
      <c r="B5051" t="str">
        <f>"013864"</f>
        <v>013864</v>
      </c>
      <c r="C5051" t="s">
        <v>13946</v>
      </c>
      <c r="D5051" t="s">
        <v>12052</v>
      </c>
      <c r="E5051" t="s">
        <v>12048</v>
      </c>
      <c r="F5051" t="s">
        <v>3396</v>
      </c>
      <c r="G5051" t="s">
        <v>212</v>
      </c>
      <c r="H5051" t="s">
        <v>13947</v>
      </c>
      <c r="I5051" t="s">
        <v>13948</v>
      </c>
      <c r="J5051" t="s">
        <v>215</v>
      </c>
      <c r="K5051" t="s">
        <v>55</v>
      </c>
      <c r="L5051" t="s">
        <v>9621</v>
      </c>
      <c r="M5051" t="s">
        <v>57</v>
      </c>
      <c r="N5051" t="str">
        <f>"019978"</f>
        <v>019978</v>
      </c>
      <c r="O5051" t="s">
        <v>13949</v>
      </c>
      <c r="P5051" t="s">
        <v>68</v>
      </c>
      <c r="Q5051">
        <v>100</v>
      </c>
      <c r="R5051">
        <v>76.2</v>
      </c>
      <c r="S5051" t="s">
        <v>217</v>
      </c>
    </row>
    <row r="5052" spans="1:19" x14ac:dyDescent="0.35">
      <c r="A5052">
        <v>13903</v>
      </c>
      <c r="B5052" t="str">
        <f>"013903"</f>
        <v>013903</v>
      </c>
      <c r="C5052" t="s">
        <v>13950</v>
      </c>
      <c r="D5052" t="s">
        <v>3394</v>
      </c>
      <c r="E5052" t="s">
        <v>3395</v>
      </c>
      <c r="F5052" t="s">
        <v>3396</v>
      </c>
      <c r="G5052" t="s">
        <v>600</v>
      </c>
      <c r="H5052" t="s">
        <v>13951</v>
      </c>
      <c r="I5052" t="s">
        <v>13952</v>
      </c>
      <c r="J5052" t="s">
        <v>1348</v>
      </c>
      <c r="K5052" t="s">
        <v>55</v>
      </c>
      <c r="L5052" t="s">
        <v>4810</v>
      </c>
      <c r="M5052" t="s">
        <v>57</v>
      </c>
      <c r="N5052" t="str">
        <f>"043802"</f>
        <v>043802</v>
      </c>
      <c r="O5052" t="s">
        <v>3171</v>
      </c>
      <c r="P5052" t="s">
        <v>68</v>
      </c>
      <c r="Q5052" t="s">
        <v>68</v>
      </c>
      <c r="R5052" t="s">
        <v>68</v>
      </c>
      <c r="S5052" t="s">
        <v>60</v>
      </c>
    </row>
    <row r="5053" spans="1:19" x14ac:dyDescent="0.35">
      <c r="A5053">
        <v>13929</v>
      </c>
      <c r="B5053" t="str">
        <f>"013929"</f>
        <v>013929</v>
      </c>
      <c r="C5053" t="s">
        <v>13953</v>
      </c>
      <c r="D5053" t="s">
        <v>3394</v>
      </c>
      <c r="E5053" t="s">
        <v>3395</v>
      </c>
      <c r="F5053" t="s">
        <v>3396</v>
      </c>
      <c r="G5053" t="s">
        <v>642</v>
      </c>
      <c r="H5053" t="s">
        <v>13954</v>
      </c>
      <c r="I5053" t="s">
        <v>13955</v>
      </c>
      <c r="J5053" t="s">
        <v>1469</v>
      </c>
      <c r="K5053" t="s">
        <v>55</v>
      </c>
      <c r="L5053" t="s">
        <v>1470</v>
      </c>
      <c r="M5053" t="s">
        <v>57</v>
      </c>
      <c r="N5053" t="str">
        <f>"047241"</f>
        <v>047241</v>
      </c>
      <c r="O5053" t="s">
        <v>2444</v>
      </c>
      <c r="P5053" t="s">
        <v>68</v>
      </c>
      <c r="Q5053">
        <v>5.0999999999999996</v>
      </c>
      <c r="R5053">
        <v>19.5</v>
      </c>
      <c r="S5053" t="s">
        <v>180</v>
      </c>
    </row>
    <row r="5054" spans="1:19" x14ac:dyDescent="0.35">
      <c r="A5054">
        <v>13930</v>
      </c>
      <c r="B5054" t="str">
        <f>"013930"</f>
        <v>013930</v>
      </c>
      <c r="C5054" t="s">
        <v>13956</v>
      </c>
      <c r="D5054" t="s">
        <v>3398</v>
      </c>
      <c r="E5054" t="s">
        <v>13608</v>
      </c>
      <c r="F5054" t="s">
        <v>3396</v>
      </c>
      <c r="G5054" t="s">
        <v>777</v>
      </c>
      <c r="H5054" t="s">
        <v>13957</v>
      </c>
      <c r="I5054" t="s">
        <v>13958</v>
      </c>
      <c r="J5054" t="s">
        <v>780</v>
      </c>
      <c r="K5054" t="s">
        <v>55</v>
      </c>
      <c r="L5054" t="s">
        <v>894</v>
      </c>
      <c r="M5054" t="s">
        <v>57</v>
      </c>
      <c r="N5054" t="str">
        <f>"013930"</f>
        <v>013930</v>
      </c>
      <c r="O5054" t="s">
        <v>13956</v>
      </c>
      <c r="P5054" t="s">
        <v>68</v>
      </c>
      <c r="Q5054">
        <v>28</v>
      </c>
      <c r="R5054">
        <v>21.700000000000003</v>
      </c>
      <c r="S5054" t="s">
        <v>180</v>
      </c>
    </row>
    <row r="5055" spans="1:19" x14ac:dyDescent="0.35">
      <c r="A5055">
        <v>13930</v>
      </c>
      <c r="B5055" t="str">
        <f>"013930"</f>
        <v>013930</v>
      </c>
      <c r="C5055" t="s">
        <v>13956</v>
      </c>
      <c r="D5055" t="s">
        <v>3929</v>
      </c>
      <c r="E5055" t="s">
        <v>13608</v>
      </c>
      <c r="F5055" t="s">
        <v>3396</v>
      </c>
      <c r="G5055" t="s">
        <v>777</v>
      </c>
      <c r="H5055" t="s">
        <v>13957</v>
      </c>
      <c r="I5055" t="s">
        <v>13958</v>
      </c>
      <c r="J5055" t="s">
        <v>780</v>
      </c>
      <c r="K5055" t="s">
        <v>55</v>
      </c>
      <c r="L5055" t="s">
        <v>894</v>
      </c>
      <c r="M5055" t="s">
        <v>57</v>
      </c>
      <c r="N5055" t="str">
        <f>"013930"</f>
        <v>013930</v>
      </c>
      <c r="O5055" t="s">
        <v>13956</v>
      </c>
      <c r="P5055" t="s">
        <v>68</v>
      </c>
      <c r="Q5055">
        <v>28</v>
      </c>
      <c r="R5055">
        <v>21.700000000000003</v>
      </c>
      <c r="S5055" t="s">
        <v>180</v>
      </c>
    </row>
    <row r="5056" spans="1:19" x14ac:dyDescent="0.35">
      <c r="A5056">
        <v>13957</v>
      </c>
      <c r="B5056" t="str">
        <f>"013957"</f>
        <v>013957</v>
      </c>
      <c r="C5056" t="s">
        <v>13959</v>
      </c>
      <c r="D5056" t="s">
        <v>3400</v>
      </c>
      <c r="E5056" t="s">
        <v>3395</v>
      </c>
      <c r="F5056" t="s">
        <v>3396</v>
      </c>
      <c r="G5056" t="s">
        <v>543</v>
      </c>
      <c r="H5056" t="s">
        <v>13960</v>
      </c>
      <c r="I5056" t="s">
        <v>13961</v>
      </c>
      <c r="J5056" t="s">
        <v>546</v>
      </c>
      <c r="K5056" t="s">
        <v>55</v>
      </c>
      <c r="L5056" t="s">
        <v>547</v>
      </c>
      <c r="M5056" t="s">
        <v>57</v>
      </c>
      <c r="N5056" t="str">
        <f>"048694"</f>
        <v>048694</v>
      </c>
      <c r="O5056" t="s">
        <v>542</v>
      </c>
      <c r="P5056" t="s">
        <v>68</v>
      </c>
      <c r="Q5056">
        <v>83.5</v>
      </c>
      <c r="R5056">
        <v>93.3</v>
      </c>
      <c r="S5056" t="s">
        <v>180</v>
      </c>
    </row>
    <row r="5057" spans="1:19" x14ac:dyDescent="0.35">
      <c r="A5057">
        <v>13962</v>
      </c>
      <c r="B5057" t="str">
        <f>"013962"</f>
        <v>013962</v>
      </c>
      <c r="C5057" t="s">
        <v>13962</v>
      </c>
      <c r="D5057" t="s">
        <v>3398</v>
      </c>
      <c r="E5057" t="s">
        <v>12048</v>
      </c>
      <c r="F5057" t="s">
        <v>3396</v>
      </c>
      <c r="G5057" t="s">
        <v>187</v>
      </c>
      <c r="H5057" t="s">
        <v>13963</v>
      </c>
      <c r="I5057" t="s">
        <v>13964</v>
      </c>
      <c r="J5057" t="s">
        <v>397</v>
      </c>
      <c r="K5057" t="s">
        <v>55</v>
      </c>
      <c r="L5057" t="s">
        <v>398</v>
      </c>
      <c r="M5057" t="s">
        <v>57</v>
      </c>
      <c r="N5057" t="str">
        <f>"N/A"</f>
        <v>N/A</v>
      </c>
      <c r="O5057" t="s">
        <v>49</v>
      </c>
      <c r="P5057" t="s">
        <v>68</v>
      </c>
      <c r="Q5057">
        <v>81.099999999999994</v>
      </c>
      <c r="R5057">
        <v>24.5</v>
      </c>
      <c r="S5057" t="s">
        <v>77</v>
      </c>
    </row>
    <row r="5058" spans="1:19" x14ac:dyDescent="0.35">
      <c r="A5058">
        <v>13962</v>
      </c>
      <c r="B5058" t="str">
        <f>"013962"</f>
        <v>013962</v>
      </c>
      <c r="C5058" t="s">
        <v>13962</v>
      </c>
      <c r="D5058" t="s">
        <v>12052</v>
      </c>
      <c r="E5058" t="s">
        <v>12048</v>
      </c>
      <c r="F5058" t="s">
        <v>3396</v>
      </c>
      <c r="G5058" t="s">
        <v>187</v>
      </c>
      <c r="H5058" t="s">
        <v>13963</v>
      </c>
      <c r="I5058" t="s">
        <v>13964</v>
      </c>
      <c r="J5058" t="s">
        <v>397</v>
      </c>
      <c r="K5058" t="s">
        <v>55</v>
      </c>
      <c r="L5058" t="s">
        <v>398</v>
      </c>
      <c r="M5058" t="s">
        <v>57</v>
      </c>
      <c r="N5058" t="str">
        <f>"N/A"</f>
        <v>N/A</v>
      </c>
      <c r="O5058" t="s">
        <v>49</v>
      </c>
      <c r="P5058" t="s">
        <v>68</v>
      </c>
      <c r="Q5058">
        <v>81.099999999999994</v>
      </c>
      <c r="R5058">
        <v>24.5</v>
      </c>
      <c r="S5058" t="s">
        <v>77</v>
      </c>
    </row>
    <row r="5059" spans="1:19" x14ac:dyDescent="0.35">
      <c r="A5059">
        <v>13962</v>
      </c>
      <c r="B5059" t="str">
        <f>"013962"</f>
        <v>013962</v>
      </c>
      <c r="C5059" t="s">
        <v>13962</v>
      </c>
      <c r="D5059" t="s">
        <v>12063</v>
      </c>
      <c r="E5059" t="s">
        <v>12048</v>
      </c>
      <c r="F5059" t="s">
        <v>3396</v>
      </c>
      <c r="G5059" t="s">
        <v>187</v>
      </c>
      <c r="H5059" t="s">
        <v>13963</v>
      </c>
      <c r="I5059" t="s">
        <v>13964</v>
      </c>
      <c r="J5059" t="s">
        <v>397</v>
      </c>
      <c r="K5059" t="s">
        <v>55</v>
      </c>
      <c r="L5059" t="s">
        <v>398</v>
      </c>
      <c r="M5059" t="s">
        <v>57</v>
      </c>
      <c r="N5059" t="str">
        <f>"N/A"</f>
        <v>N/A</v>
      </c>
      <c r="O5059" t="s">
        <v>49</v>
      </c>
      <c r="P5059" t="s">
        <v>68</v>
      </c>
      <c r="Q5059">
        <v>81.099999999999994</v>
      </c>
      <c r="R5059">
        <v>24.5</v>
      </c>
      <c r="S5059" t="s">
        <v>77</v>
      </c>
    </row>
    <row r="5060" spans="1:19" x14ac:dyDescent="0.35">
      <c r="A5060">
        <v>13962</v>
      </c>
      <c r="B5060" t="str">
        <f>"013962"</f>
        <v>013962</v>
      </c>
      <c r="C5060" t="s">
        <v>13962</v>
      </c>
      <c r="D5060" t="s">
        <v>12677</v>
      </c>
      <c r="E5060" t="s">
        <v>12048</v>
      </c>
      <c r="F5060" t="s">
        <v>3396</v>
      </c>
      <c r="G5060" t="s">
        <v>187</v>
      </c>
      <c r="H5060" t="s">
        <v>13963</v>
      </c>
      <c r="I5060" t="s">
        <v>13964</v>
      </c>
      <c r="J5060" t="s">
        <v>397</v>
      </c>
      <c r="K5060" t="s">
        <v>55</v>
      </c>
      <c r="L5060" t="s">
        <v>398</v>
      </c>
      <c r="M5060" t="s">
        <v>57</v>
      </c>
      <c r="N5060" t="str">
        <f>"N/A"</f>
        <v>N/A</v>
      </c>
      <c r="O5060" t="s">
        <v>49</v>
      </c>
      <c r="P5060" t="s">
        <v>68</v>
      </c>
      <c r="Q5060">
        <v>81.099999999999994</v>
      </c>
      <c r="R5060">
        <v>24.5</v>
      </c>
      <c r="S5060" t="s">
        <v>77</v>
      </c>
    </row>
    <row r="5061" spans="1:19" x14ac:dyDescent="0.35">
      <c r="A5061">
        <v>13994</v>
      </c>
      <c r="B5061" t="str">
        <f>"013994"</f>
        <v>013994</v>
      </c>
      <c r="C5061" t="s">
        <v>13965</v>
      </c>
      <c r="D5061" t="s">
        <v>3398</v>
      </c>
      <c r="E5061" t="s">
        <v>12048</v>
      </c>
      <c r="F5061" t="s">
        <v>3396</v>
      </c>
      <c r="G5061" t="s">
        <v>63</v>
      </c>
      <c r="H5061" t="s">
        <v>13966</v>
      </c>
      <c r="I5061" t="s">
        <v>13967</v>
      </c>
      <c r="J5061" t="s">
        <v>1834</v>
      </c>
      <c r="K5061" t="s">
        <v>55</v>
      </c>
      <c r="L5061" t="s">
        <v>7164</v>
      </c>
      <c r="M5061" t="s">
        <v>57</v>
      </c>
      <c r="N5061" t="str">
        <f>"045930"</f>
        <v>045930</v>
      </c>
      <c r="O5061" t="s">
        <v>559</v>
      </c>
      <c r="P5061" t="s">
        <v>68</v>
      </c>
      <c r="Q5061">
        <v>27.9</v>
      </c>
      <c r="R5061">
        <v>37.700000000000003</v>
      </c>
      <c r="S5061" t="s">
        <v>69</v>
      </c>
    </row>
    <row r="5062" spans="1:19" x14ac:dyDescent="0.35">
      <c r="A5062">
        <v>13994</v>
      </c>
      <c r="B5062" t="str">
        <f>"013994"</f>
        <v>013994</v>
      </c>
      <c r="C5062" t="s">
        <v>13965</v>
      </c>
      <c r="D5062" t="s">
        <v>12471</v>
      </c>
      <c r="E5062" t="s">
        <v>12048</v>
      </c>
      <c r="F5062" t="s">
        <v>3396</v>
      </c>
      <c r="G5062" t="s">
        <v>63</v>
      </c>
      <c r="H5062" t="s">
        <v>13966</v>
      </c>
      <c r="I5062" t="s">
        <v>13967</v>
      </c>
      <c r="J5062" t="s">
        <v>1834</v>
      </c>
      <c r="K5062" t="s">
        <v>55</v>
      </c>
      <c r="L5062" t="s">
        <v>7164</v>
      </c>
      <c r="M5062" t="s">
        <v>57</v>
      </c>
      <c r="N5062" t="str">
        <f>"045930"</f>
        <v>045930</v>
      </c>
      <c r="O5062" t="s">
        <v>559</v>
      </c>
      <c r="P5062" t="s">
        <v>68</v>
      </c>
      <c r="Q5062">
        <v>27.9</v>
      </c>
      <c r="R5062">
        <v>37.700000000000003</v>
      </c>
      <c r="S5062" t="s">
        <v>69</v>
      </c>
    </row>
    <row r="5063" spans="1:19" x14ac:dyDescent="0.35">
      <c r="A5063">
        <v>13999</v>
      </c>
      <c r="B5063" t="str">
        <f>"013999"</f>
        <v>013999</v>
      </c>
      <c r="C5063" t="s">
        <v>13968</v>
      </c>
      <c r="D5063" t="s">
        <v>3394</v>
      </c>
      <c r="E5063" t="s">
        <v>12048</v>
      </c>
      <c r="F5063" t="s">
        <v>3396</v>
      </c>
      <c r="G5063" t="s">
        <v>200</v>
      </c>
      <c r="H5063" t="s">
        <v>13969</v>
      </c>
      <c r="I5063" t="s">
        <v>13970</v>
      </c>
      <c r="J5063" t="s">
        <v>304</v>
      </c>
      <c r="K5063" t="s">
        <v>55</v>
      </c>
      <c r="L5063" t="s">
        <v>4360</v>
      </c>
      <c r="M5063" t="s">
        <v>57</v>
      </c>
      <c r="N5063" t="str">
        <f>"N/A"</f>
        <v>N/A</v>
      </c>
      <c r="O5063" t="s">
        <v>49</v>
      </c>
      <c r="P5063" t="s">
        <v>68</v>
      </c>
      <c r="Q5063">
        <v>53.8</v>
      </c>
      <c r="R5063">
        <v>100</v>
      </c>
      <c r="S5063" t="s">
        <v>156</v>
      </c>
    </row>
    <row r="5064" spans="1:19" x14ac:dyDescent="0.35">
      <c r="A5064">
        <v>13999</v>
      </c>
      <c r="B5064" t="str">
        <f>"013999"</f>
        <v>013999</v>
      </c>
      <c r="C5064" t="s">
        <v>13968</v>
      </c>
      <c r="D5064" t="s">
        <v>12471</v>
      </c>
      <c r="E5064" t="s">
        <v>12048</v>
      </c>
      <c r="F5064" t="s">
        <v>3396</v>
      </c>
      <c r="G5064" t="s">
        <v>200</v>
      </c>
      <c r="H5064" t="s">
        <v>13969</v>
      </c>
      <c r="I5064" t="s">
        <v>13970</v>
      </c>
      <c r="J5064" t="s">
        <v>304</v>
      </c>
      <c r="K5064" t="s">
        <v>55</v>
      </c>
      <c r="L5064" t="s">
        <v>4360</v>
      </c>
      <c r="M5064" t="s">
        <v>57</v>
      </c>
      <c r="N5064" t="str">
        <f>"N/A"</f>
        <v>N/A</v>
      </c>
      <c r="O5064" t="s">
        <v>49</v>
      </c>
      <c r="P5064" t="s">
        <v>68</v>
      </c>
      <c r="Q5064">
        <v>53.8</v>
      </c>
      <c r="R5064">
        <v>100</v>
      </c>
      <c r="S5064" t="s">
        <v>156</v>
      </c>
    </row>
    <row r="5065" spans="1:19" x14ac:dyDescent="0.35">
      <c r="A5065">
        <v>14040</v>
      </c>
      <c r="B5065" t="str">
        <f>"014040"</f>
        <v>014040</v>
      </c>
      <c r="C5065" t="s">
        <v>13971</v>
      </c>
      <c r="D5065" t="s">
        <v>3398</v>
      </c>
      <c r="E5065" t="s">
        <v>9538</v>
      </c>
      <c r="F5065" t="s">
        <v>3396</v>
      </c>
      <c r="G5065" t="s">
        <v>600</v>
      </c>
      <c r="H5065" t="s">
        <v>13972</v>
      </c>
      <c r="I5065" t="s">
        <v>13973</v>
      </c>
      <c r="J5065" t="s">
        <v>1348</v>
      </c>
      <c r="K5065" t="s">
        <v>55</v>
      </c>
      <c r="L5065" t="s">
        <v>1516</v>
      </c>
      <c r="M5065" t="s">
        <v>57</v>
      </c>
      <c r="N5065" t="str">
        <f>"052530"</f>
        <v>052530</v>
      </c>
      <c r="O5065" t="s">
        <v>2009</v>
      </c>
      <c r="P5065" t="s">
        <v>68</v>
      </c>
      <c r="Q5065" t="s">
        <v>68</v>
      </c>
      <c r="R5065" t="s">
        <v>68</v>
      </c>
      <c r="S5065" t="s">
        <v>60</v>
      </c>
    </row>
    <row r="5066" spans="1:19" x14ac:dyDescent="0.35">
      <c r="A5066">
        <v>14054</v>
      </c>
      <c r="B5066" t="str">
        <f>"014054"</f>
        <v>014054</v>
      </c>
      <c r="C5066" t="s">
        <v>13974</v>
      </c>
      <c r="D5066" t="s">
        <v>3400</v>
      </c>
      <c r="E5066" t="s">
        <v>3395</v>
      </c>
      <c r="F5066" t="s">
        <v>3396</v>
      </c>
      <c r="G5066" t="s">
        <v>543</v>
      </c>
      <c r="H5066" t="s">
        <v>13975</v>
      </c>
      <c r="I5066" t="s">
        <v>13976</v>
      </c>
      <c r="J5066" t="s">
        <v>687</v>
      </c>
      <c r="K5066" t="s">
        <v>55</v>
      </c>
      <c r="L5066" t="s">
        <v>2578</v>
      </c>
      <c r="M5066" t="s">
        <v>57</v>
      </c>
      <c r="N5066" t="str">
        <f>"044958"</f>
        <v>044958</v>
      </c>
      <c r="O5066" t="s">
        <v>3058</v>
      </c>
      <c r="P5066" t="s">
        <v>68</v>
      </c>
      <c r="Q5066">
        <v>32.6</v>
      </c>
      <c r="R5066">
        <v>26</v>
      </c>
      <c r="S5066" t="s">
        <v>180</v>
      </c>
    </row>
    <row r="5067" spans="1:19" x14ac:dyDescent="0.35">
      <c r="A5067">
        <v>14065</v>
      </c>
      <c r="B5067" t="str">
        <f>"014065"</f>
        <v>014065</v>
      </c>
      <c r="C5067" t="s">
        <v>13977</v>
      </c>
      <c r="D5067" t="s">
        <v>3400</v>
      </c>
      <c r="E5067" t="s">
        <v>12048</v>
      </c>
      <c r="F5067" t="s">
        <v>3396</v>
      </c>
      <c r="G5067" t="s">
        <v>63</v>
      </c>
      <c r="H5067" t="s">
        <v>13978</v>
      </c>
      <c r="I5067" t="s">
        <v>13979</v>
      </c>
      <c r="J5067" t="s">
        <v>285</v>
      </c>
      <c r="K5067" t="s">
        <v>55</v>
      </c>
      <c r="L5067" t="s">
        <v>3798</v>
      </c>
      <c r="M5067" t="s">
        <v>57</v>
      </c>
      <c r="N5067" t="str">
        <f>"015427"</f>
        <v>015427</v>
      </c>
      <c r="O5067" t="s">
        <v>12157</v>
      </c>
      <c r="P5067" t="s">
        <v>68</v>
      </c>
      <c r="Q5067">
        <v>99.7</v>
      </c>
      <c r="R5067">
        <v>78.5</v>
      </c>
      <c r="S5067" t="s">
        <v>69</v>
      </c>
    </row>
    <row r="5068" spans="1:19" x14ac:dyDescent="0.35">
      <c r="A5068">
        <v>14065</v>
      </c>
      <c r="B5068" t="str">
        <f>"014065"</f>
        <v>014065</v>
      </c>
      <c r="C5068" t="s">
        <v>13977</v>
      </c>
      <c r="D5068" t="s">
        <v>12052</v>
      </c>
      <c r="E5068" t="s">
        <v>12048</v>
      </c>
      <c r="F5068" t="s">
        <v>3396</v>
      </c>
      <c r="G5068" t="s">
        <v>63</v>
      </c>
      <c r="H5068" t="s">
        <v>13978</v>
      </c>
      <c r="I5068" t="s">
        <v>13979</v>
      </c>
      <c r="J5068" t="s">
        <v>285</v>
      </c>
      <c r="K5068" t="s">
        <v>55</v>
      </c>
      <c r="L5068" t="s">
        <v>3798</v>
      </c>
      <c r="M5068" t="s">
        <v>57</v>
      </c>
      <c r="N5068" t="str">
        <f>"015427"</f>
        <v>015427</v>
      </c>
      <c r="O5068" t="s">
        <v>12157</v>
      </c>
      <c r="P5068" t="s">
        <v>68</v>
      </c>
      <c r="Q5068">
        <v>99.7</v>
      </c>
      <c r="R5068">
        <v>78.5</v>
      </c>
      <c r="S5068" t="s">
        <v>69</v>
      </c>
    </row>
    <row r="5069" spans="1:19" x14ac:dyDescent="0.35">
      <c r="A5069">
        <v>14066</v>
      </c>
      <c r="B5069" t="str">
        <f>"014066"</f>
        <v>014066</v>
      </c>
      <c r="C5069" t="s">
        <v>13980</v>
      </c>
      <c r="D5069" t="s">
        <v>3394</v>
      </c>
      <c r="E5069" t="s">
        <v>12048</v>
      </c>
      <c r="F5069" t="s">
        <v>3396</v>
      </c>
      <c r="G5069" t="s">
        <v>264</v>
      </c>
      <c r="H5069" t="s">
        <v>13981</v>
      </c>
      <c r="I5069" t="s">
        <v>13982</v>
      </c>
      <c r="J5069" t="s">
        <v>267</v>
      </c>
      <c r="K5069" t="s">
        <v>55</v>
      </c>
      <c r="L5069" t="s">
        <v>5223</v>
      </c>
      <c r="M5069" t="s">
        <v>57</v>
      </c>
      <c r="N5069" t="str">
        <f>"020337"</f>
        <v>020337</v>
      </c>
      <c r="O5069" t="s">
        <v>13983</v>
      </c>
      <c r="P5069" t="s">
        <v>68</v>
      </c>
      <c r="Q5069">
        <v>100</v>
      </c>
      <c r="R5069">
        <v>100</v>
      </c>
      <c r="S5069" t="s">
        <v>77</v>
      </c>
    </row>
    <row r="5070" spans="1:19" x14ac:dyDescent="0.35">
      <c r="A5070">
        <v>14066</v>
      </c>
      <c r="B5070" t="str">
        <f>"014066"</f>
        <v>014066</v>
      </c>
      <c r="C5070" t="s">
        <v>13980</v>
      </c>
      <c r="D5070" t="s">
        <v>12052</v>
      </c>
      <c r="E5070" t="s">
        <v>12048</v>
      </c>
      <c r="F5070" t="s">
        <v>3396</v>
      </c>
      <c r="G5070" t="s">
        <v>264</v>
      </c>
      <c r="H5070" t="s">
        <v>13981</v>
      </c>
      <c r="I5070" t="s">
        <v>13982</v>
      </c>
      <c r="J5070" t="s">
        <v>267</v>
      </c>
      <c r="K5070" t="s">
        <v>55</v>
      </c>
      <c r="L5070" t="s">
        <v>5223</v>
      </c>
      <c r="M5070" t="s">
        <v>57</v>
      </c>
      <c r="N5070" t="str">
        <f>"020337"</f>
        <v>020337</v>
      </c>
      <c r="O5070" t="s">
        <v>13983</v>
      </c>
      <c r="P5070" t="s">
        <v>68</v>
      </c>
      <c r="Q5070">
        <v>100</v>
      </c>
      <c r="R5070">
        <v>100</v>
      </c>
      <c r="S5070" t="s">
        <v>77</v>
      </c>
    </row>
    <row r="5071" spans="1:19" x14ac:dyDescent="0.35">
      <c r="A5071">
        <v>14067</v>
      </c>
      <c r="B5071" t="str">
        <f>"014067"</f>
        <v>014067</v>
      </c>
      <c r="C5071" t="s">
        <v>13984</v>
      </c>
      <c r="D5071" t="s">
        <v>3398</v>
      </c>
      <c r="E5071" t="s">
        <v>12048</v>
      </c>
      <c r="F5071" t="s">
        <v>3396</v>
      </c>
      <c r="G5071" t="s">
        <v>600</v>
      </c>
      <c r="H5071" t="s">
        <v>13985</v>
      </c>
      <c r="I5071" t="s">
        <v>13986</v>
      </c>
      <c r="J5071" t="s">
        <v>1348</v>
      </c>
      <c r="K5071" t="s">
        <v>55</v>
      </c>
      <c r="L5071" t="s">
        <v>4810</v>
      </c>
      <c r="M5071" t="s">
        <v>57</v>
      </c>
      <c r="N5071" t="str">
        <f>"017320"</f>
        <v>017320</v>
      </c>
      <c r="O5071" t="s">
        <v>13987</v>
      </c>
      <c r="P5071" t="s">
        <v>68</v>
      </c>
      <c r="Q5071">
        <v>100</v>
      </c>
      <c r="R5071">
        <v>85.9</v>
      </c>
      <c r="S5071" t="s">
        <v>60</v>
      </c>
    </row>
    <row r="5072" spans="1:19" x14ac:dyDescent="0.35">
      <c r="A5072">
        <v>14067</v>
      </c>
      <c r="B5072" t="str">
        <f>"014067"</f>
        <v>014067</v>
      </c>
      <c r="C5072" t="s">
        <v>13984</v>
      </c>
      <c r="D5072" t="s">
        <v>12052</v>
      </c>
      <c r="E5072" t="s">
        <v>12048</v>
      </c>
      <c r="F5072" t="s">
        <v>3396</v>
      </c>
      <c r="G5072" t="s">
        <v>600</v>
      </c>
      <c r="H5072" t="s">
        <v>13985</v>
      </c>
      <c r="I5072" t="s">
        <v>13986</v>
      </c>
      <c r="J5072" t="s">
        <v>1348</v>
      </c>
      <c r="K5072" t="s">
        <v>55</v>
      </c>
      <c r="L5072" t="s">
        <v>4810</v>
      </c>
      <c r="M5072" t="s">
        <v>57</v>
      </c>
      <c r="N5072" t="str">
        <f>"017320"</f>
        <v>017320</v>
      </c>
      <c r="O5072" t="s">
        <v>13987</v>
      </c>
      <c r="P5072" t="s">
        <v>68</v>
      </c>
      <c r="Q5072">
        <v>100</v>
      </c>
      <c r="R5072">
        <v>85.9</v>
      </c>
      <c r="S5072" t="s">
        <v>60</v>
      </c>
    </row>
    <row r="5073" spans="1:19" x14ac:dyDescent="0.35">
      <c r="A5073">
        <v>14067</v>
      </c>
      <c r="B5073" t="str">
        <f>"014067"</f>
        <v>014067</v>
      </c>
      <c r="C5073" t="s">
        <v>13984</v>
      </c>
      <c r="D5073" t="s">
        <v>12063</v>
      </c>
      <c r="E5073" t="s">
        <v>12048</v>
      </c>
      <c r="F5073" t="s">
        <v>3396</v>
      </c>
      <c r="G5073" t="s">
        <v>600</v>
      </c>
      <c r="H5073" t="s">
        <v>13985</v>
      </c>
      <c r="I5073" t="s">
        <v>13986</v>
      </c>
      <c r="J5073" t="s">
        <v>1348</v>
      </c>
      <c r="K5073" t="s">
        <v>55</v>
      </c>
      <c r="L5073" t="s">
        <v>4810</v>
      </c>
      <c r="M5073" t="s">
        <v>57</v>
      </c>
      <c r="N5073" t="str">
        <f>"017320"</f>
        <v>017320</v>
      </c>
      <c r="O5073" t="s">
        <v>13987</v>
      </c>
      <c r="P5073" t="s">
        <v>68</v>
      </c>
      <c r="Q5073">
        <v>100</v>
      </c>
      <c r="R5073">
        <v>85.9</v>
      </c>
      <c r="S5073" t="s">
        <v>60</v>
      </c>
    </row>
    <row r="5074" spans="1:19" x14ac:dyDescent="0.35">
      <c r="A5074">
        <v>14089</v>
      </c>
      <c r="B5074" t="str">
        <f>"014089"</f>
        <v>014089</v>
      </c>
      <c r="C5074" t="s">
        <v>13988</v>
      </c>
      <c r="D5074" t="s">
        <v>3400</v>
      </c>
      <c r="E5074" t="s">
        <v>3395</v>
      </c>
      <c r="F5074" t="s">
        <v>3396</v>
      </c>
      <c r="G5074" t="s">
        <v>135</v>
      </c>
      <c r="H5074" t="s">
        <v>13989</v>
      </c>
      <c r="I5074" t="s">
        <v>13990</v>
      </c>
      <c r="J5074" t="s">
        <v>5843</v>
      </c>
      <c r="K5074" t="s">
        <v>55</v>
      </c>
      <c r="L5074" t="s">
        <v>5844</v>
      </c>
      <c r="M5074" t="s">
        <v>57</v>
      </c>
      <c r="N5074" t="str">
        <f>"047803"</f>
        <v>047803</v>
      </c>
      <c r="O5074" t="s">
        <v>648</v>
      </c>
      <c r="P5074" t="s">
        <v>68</v>
      </c>
      <c r="Q5074">
        <v>69.7</v>
      </c>
      <c r="R5074">
        <v>16.299999999999997</v>
      </c>
      <c r="S5074" t="s">
        <v>130</v>
      </c>
    </row>
    <row r="5075" spans="1:19" x14ac:dyDescent="0.35">
      <c r="A5075">
        <v>14090</v>
      </c>
      <c r="B5075" t="str">
        <f>"014090"</f>
        <v>014090</v>
      </c>
      <c r="C5075" t="s">
        <v>13991</v>
      </c>
      <c r="D5075" t="s">
        <v>3398</v>
      </c>
      <c r="E5075" t="s">
        <v>12048</v>
      </c>
      <c r="F5075" t="s">
        <v>3396</v>
      </c>
      <c r="G5075" t="s">
        <v>600</v>
      </c>
      <c r="H5075" t="s">
        <v>13992</v>
      </c>
      <c r="I5075" t="s">
        <v>13993</v>
      </c>
      <c r="J5075" t="s">
        <v>1348</v>
      </c>
      <c r="K5075" t="s">
        <v>55</v>
      </c>
      <c r="L5075" t="s">
        <v>3568</v>
      </c>
      <c r="M5075" t="s">
        <v>57</v>
      </c>
      <c r="N5075" t="str">
        <f>"015427"</f>
        <v>015427</v>
      </c>
      <c r="O5075" t="s">
        <v>12157</v>
      </c>
      <c r="P5075" t="s">
        <v>68</v>
      </c>
      <c r="Q5075">
        <v>100</v>
      </c>
      <c r="R5075">
        <v>90.1</v>
      </c>
      <c r="S5075" t="s">
        <v>60</v>
      </c>
    </row>
    <row r="5076" spans="1:19" x14ac:dyDescent="0.35">
      <c r="A5076">
        <v>14090</v>
      </c>
      <c r="B5076" t="str">
        <f>"014090"</f>
        <v>014090</v>
      </c>
      <c r="C5076" t="s">
        <v>13991</v>
      </c>
      <c r="D5076" t="s">
        <v>12471</v>
      </c>
      <c r="E5076" t="s">
        <v>12048</v>
      </c>
      <c r="F5076" t="s">
        <v>3396</v>
      </c>
      <c r="G5076" t="s">
        <v>600</v>
      </c>
      <c r="H5076" t="s">
        <v>13992</v>
      </c>
      <c r="I5076" t="s">
        <v>13993</v>
      </c>
      <c r="J5076" t="s">
        <v>1348</v>
      </c>
      <c r="K5076" t="s">
        <v>55</v>
      </c>
      <c r="L5076" t="s">
        <v>3568</v>
      </c>
      <c r="M5076" t="s">
        <v>57</v>
      </c>
      <c r="N5076" t="str">
        <f>"015427"</f>
        <v>015427</v>
      </c>
      <c r="O5076" t="s">
        <v>12157</v>
      </c>
      <c r="P5076" t="s">
        <v>68</v>
      </c>
      <c r="Q5076">
        <v>100</v>
      </c>
      <c r="R5076">
        <v>90.1</v>
      </c>
      <c r="S5076" t="s">
        <v>60</v>
      </c>
    </row>
    <row r="5077" spans="1:19" x14ac:dyDescent="0.35">
      <c r="A5077">
        <v>14090</v>
      </c>
      <c r="B5077" t="str">
        <f>"014090"</f>
        <v>014090</v>
      </c>
      <c r="C5077" t="s">
        <v>13991</v>
      </c>
      <c r="D5077" t="s">
        <v>4572</v>
      </c>
      <c r="E5077" t="s">
        <v>12048</v>
      </c>
      <c r="F5077" t="s">
        <v>3396</v>
      </c>
      <c r="G5077" t="s">
        <v>600</v>
      </c>
      <c r="H5077" t="s">
        <v>13992</v>
      </c>
      <c r="I5077" t="s">
        <v>13993</v>
      </c>
      <c r="J5077" t="s">
        <v>1348</v>
      </c>
      <c r="K5077" t="s">
        <v>55</v>
      </c>
      <c r="L5077" t="s">
        <v>3568</v>
      </c>
      <c r="M5077" t="s">
        <v>57</v>
      </c>
      <c r="N5077" t="str">
        <f>"015427"</f>
        <v>015427</v>
      </c>
      <c r="O5077" t="s">
        <v>12157</v>
      </c>
      <c r="P5077" t="s">
        <v>68</v>
      </c>
      <c r="Q5077">
        <v>100</v>
      </c>
      <c r="R5077">
        <v>90.1</v>
      </c>
      <c r="S5077" t="s">
        <v>60</v>
      </c>
    </row>
    <row r="5078" spans="1:19" x14ac:dyDescent="0.35">
      <c r="A5078">
        <v>14091</v>
      </c>
      <c r="B5078" t="str">
        <f>"014091"</f>
        <v>014091</v>
      </c>
      <c r="C5078" t="s">
        <v>13994</v>
      </c>
      <c r="D5078" t="s">
        <v>3398</v>
      </c>
      <c r="E5078" t="s">
        <v>12048</v>
      </c>
      <c r="F5078" t="s">
        <v>3396</v>
      </c>
      <c r="G5078" t="s">
        <v>200</v>
      </c>
      <c r="H5078" t="s">
        <v>13995</v>
      </c>
      <c r="I5078" t="s">
        <v>13996</v>
      </c>
      <c r="J5078" t="s">
        <v>304</v>
      </c>
      <c r="K5078" t="s">
        <v>55</v>
      </c>
      <c r="L5078" t="s">
        <v>305</v>
      </c>
      <c r="M5078" t="s">
        <v>57</v>
      </c>
      <c r="N5078" t="str">
        <f>"N/A"</f>
        <v>N/A</v>
      </c>
      <c r="O5078" t="s">
        <v>49</v>
      </c>
      <c r="P5078" t="s">
        <v>68</v>
      </c>
      <c r="Q5078">
        <v>64.900000000000006</v>
      </c>
      <c r="R5078">
        <v>66.7</v>
      </c>
      <c r="S5078" t="s">
        <v>156</v>
      </c>
    </row>
    <row r="5079" spans="1:19" x14ac:dyDescent="0.35">
      <c r="A5079">
        <v>14091</v>
      </c>
      <c r="B5079" t="str">
        <f>"014091"</f>
        <v>014091</v>
      </c>
      <c r="C5079" t="s">
        <v>13994</v>
      </c>
      <c r="D5079" t="s">
        <v>12471</v>
      </c>
      <c r="E5079" t="s">
        <v>12048</v>
      </c>
      <c r="F5079" t="s">
        <v>3396</v>
      </c>
      <c r="G5079" t="s">
        <v>200</v>
      </c>
      <c r="H5079" t="s">
        <v>13995</v>
      </c>
      <c r="I5079" t="s">
        <v>13996</v>
      </c>
      <c r="J5079" t="s">
        <v>304</v>
      </c>
      <c r="K5079" t="s">
        <v>55</v>
      </c>
      <c r="L5079" t="s">
        <v>305</v>
      </c>
      <c r="M5079" t="s">
        <v>57</v>
      </c>
      <c r="N5079" t="str">
        <f>"N/A"</f>
        <v>N/A</v>
      </c>
      <c r="O5079" t="s">
        <v>49</v>
      </c>
      <c r="P5079" t="s">
        <v>68</v>
      </c>
      <c r="Q5079">
        <v>64.900000000000006</v>
      </c>
      <c r="R5079">
        <v>66.7</v>
      </c>
      <c r="S5079" t="s">
        <v>156</v>
      </c>
    </row>
    <row r="5080" spans="1:19" x14ac:dyDescent="0.35">
      <c r="A5080">
        <v>14110</v>
      </c>
      <c r="B5080" t="str">
        <f>"014110"</f>
        <v>014110</v>
      </c>
      <c r="C5080" t="s">
        <v>13997</v>
      </c>
      <c r="D5080" t="s">
        <v>3394</v>
      </c>
      <c r="E5080" t="s">
        <v>9538</v>
      </c>
      <c r="F5080" t="s">
        <v>3396</v>
      </c>
      <c r="G5080" t="s">
        <v>143</v>
      </c>
      <c r="H5080" t="s">
        <v>13998</v>
      </c>
      <c r="I5080" t="s">
        <v>13999</v>
      </c>
      <c r="J5080" t="s">
        <v>143</v>
      </c>
      <c r="K5080" t="s">
        <v>55</v>
      </c>
      <c r="L5080" t="s">
        <v>1033</v>
      </c>
      <c r="M5080" t="s">
        <v>57</v>
      </c>
      <c r="N5080" t="str">
        <f>"014110"</f>
        <v>014110</v>
      </c>
      <c r="O5080" t="s">
        <v>13997</v>
      </c>
      <c r="P5080" t="s">
        <v>68</v>
      </c>
      <c r="Q5080" t="s">
        <v>68</v>
      </c>
      <c r="R5080" t="s">
        <v>68</v>
      </c>
      <c r="S5080" t="s">
        <v>69</v>
      </c>
    </row>
    <row r="5081" spans="1:19" x14ac:dyDescent="0.35">
      <c r="A5081">
        <v>14110</v>
      </c>
      <c r="B5081" t="str">
        <f>"014110"</f>
        <v>014110</v>
      </c>
      <c r="C5081" t="s">
        <v>13997</v>
      </c>
      <c r="D5081" t="s">
        <v>9541</v>
      </c>
      <c r="E5081" t="s">
        <v>9538</v>
      </c>
      <c r="F5081" t="s">
        <v>3396</v>
      </c>
      <c r="G5081" t="s">
        <v>143</v>
      </c>
      <c r="H5081" t="s">
        <v>13998</v>
      </c>
      <c r="I5081" t="s">
        <v>13999</v>
      </c>
      <c r="J5081" t="s">
        <v>143</v>
      </c>
      <c r="K5081" t="s">
        <v>55</v>
      </c>
      <c r="L5081" t="s">
        <v>1033</v>
      </c>
      <c r="M5081" t="s">
        <v>57</v>
      </c>
      <c r="N5081" t="str">
        <f>"014110"</f>
        <v>014110</v>
      </c>
      <c r="O5081" t="s">
        <v>13997</v>
      </c>
      <c r="P5081" t="s">
        <v>68</v>
      </c>
      <c r="Q5081" t="s">
        <v>68</v>
      </c>
      <c r="R5081" t="s">
        <v>68</v>
      </c>
      <c r="S5081" t="s">
        <v>69</v>
      </c>
    </row>
    <row r="5082" spans="1:19" x14ac:dyDescent="0.35">
      <c r="A5082">
        <v>14121</v>
      </c>
      <c r="B5082" t="str">
        <f>"014121"</f>
        <v>014121</v>
      </c>
      <c r="C5082" t="s">
        <v>14000</v>
      </c>
      <c r="D5082" t="s">
        <v>3394</v>
      </c>
      <c r="E5082" t="s">
        <v>12048</v>
      </c>
      <c r="F5082" t="s">
        <v>3396</v>
      </c>
      <c r="G5082" t="s">
        <v>264</v>
      </c>
      <c r="H5082" t="s">
        <v>13673</v>
      </c>
      <c r="I5082" t="s">
        <v>13674</v>
      </c>
      <c r="J5082" t="s">
        <v>267</v>
      </c>
      <c r="K5082" t="s">
        <v>55</v>
      </c>
      <c r="L5082" t="s">
        <v>4045</v>
      </c>
      <c r="M5082" t="s">
        <v>57</v>
      </c>
      <c r="N5082" t="str">
        <f>"014995"</f>
        <v>014995</v>
      </c>
      <c r="O5082" t="s">
        <v>12501</v>
      </c>
      <c r="P5082" t="s">
        <v>68</v>
      </c>
      <c r="Q5082">
        <v>99.2</v>
      </c>
      <c r="R5082">
        <v>100</v>
      </c>
      <c r="S5082" t="s">
        <v>77</v>
      </c>
    </row>
    <row r="5083" spans="1:19" x14ac:dyDescent="0.35">
      <c r="A5083">
        <v>14121</v>
      </c>
      <c r="B5083" t="str">
        <f>"014121"</f>
        <v>014121</v>
      </c>
      <c r="C5083" t="s">
        <v>14000</v>
      </c>
      <c r="D5083" t="s">
        <v>12471</v>
      </c>
      <c r="E5083" t="s">
        <v>12048</v>
      </c>
      <c r="F5083" t="s">
        <v>3396</v>
      </c>
      <c r="G5083" t="s">
        <v>264</v>
      </c>
      <c r="H5083" t="s">
        <v>13673</v>
      </c>
      <c r="I5083" t="s">
        <v>13674</v>
      </c>
      <c r="J5083" t="s">
        <v>267</v>
      </c>
      <c r="K5083" t="s">
        <v>55</v>
      </c>
      <c r="L5083" t="s">
        <v>4045</v>
      </c>
      <c r="M5083" t="s">
        <v>57</v>
      </c>
      <c r="N5083" t="str">
        <f>"014995"</f>
        <v>014995</v>
      </c>
      <c r="O5083" t="s">
        <v>12501</v>
      </c>
      <c r="P5083" t="s">
        <v>68</v>
      </c>
      <c r="Q5083">
        <v>99.2</v>
      </c>
      <c r="R5083">
        <v>100</v>
      </c>
      <c r="S5083" t="s">
        <v>77</v>
      </c>
    </row>
    <row r="5084" spans="1:19" x14ac:dyDescent="0.35">
      <c r="A5084">
        <v>14139</v>
      </c>
      <c r="B5084" t="str">
        <f>"014139"</f>
        <v>014139</v>
      </c>
      <c r="C5084" t="s">
        <v>14001</v>
      </c>
      <c r="D5084" t="s">
        <v>3394</v>
      </c>
      <c r="E5084" t="s">
        <v>12048</v>
      </c>
      <c r="F5084" t="s">
        <v>3396</v>
      </c>
      <c r="G5084" t="s">
        <v>600</v>
      </c>
      <c r="H5084" t="s">
        <v>14002</v>
      </c>
      <c r="I5084" t="s">
        <v>14003</v>
      </c>
      <c r="J5084" t="s">
        <v>1348</v>
      </c>
      <c r="K5084" t="s">
        <v>55</v>
      </c>
      <c r="L5084" t="s">
        <v>3462</v>
      </c>
      <c r="M5084" t="s">
        <v>57</v>
      </c>
      <c r="N5084" t="str">
        <f>"014995"</f>
        <v>014995</v>
      </c>
      <c r="O5084" t="s">
        <v>12501</v>
      </c>
      <c r="P5084" t="s">
        <v>68</v>
      </c>
      <c r="Q5084">
        <v>99.5</v>
      </c>
      <c r="R5084">
        <v>100</v>
      </c>
      <c r="S5084" t="s">
        <v>60</v>
      </c>
    </row>
    <row r="5085" spans="1:19" x14ac:dyDescent="0.35">
      <c r="A5085">
        <v>14139</v>
      </c>
      <c r="B5085" t="str">
        <f>"014139"</f>
        <v>014139</v>
      </c>
      <c r="C5085" t="s">
        <v>14001</v>
      </c>
      <c r="D5085" t="s">
        <v>12471</v>
      </c>
      <c r="E5085" t="s">
        <v>12048</v>
      </c>
      <c r="F5085" t="s">
        <v>3396</v>
      </c>
      <c r="G5085" t="s">
        <v>600</v>
      </c>
      <c r="H5085" t="s">
        <v>14002</v>
      </c>
      <c r="I5085" t="s">
        <v>14003</v>
      </c>
      <c r="J5085" t="s">
        <v>1348</v>
      </c>
      <c r="K5085" t="s">
        <v>55</v>
      </c>
      <c r="L5085" t="s">
        <v>3462</v>
      </c>
      <c r="M5085" t="s">
        <v>57</v>
      </c>
      <c r="N5085" t="str">
        <f>"014995"</f>
        <v>014995</v>
      </c>
      <c r="O5085" t="s">
        <v>12501</v>
      </c>
      <c r="P5085" t="s">
        <v>68</v>
      </c>
      <c r="Q5085">
        <v>99.5</v>
      </c>
      <c r="R5085">
        <v>100</v>
      </c>
      <c r="S5085" t="s">
        <v>60</v>
      </c>
    </row>
    <row r="5086" spans="1:19" x14ac:dyDescent="0.35">
      <c r="A5086">
        <v>14147</v>
      </c>
      <c r="B5086" t="str">
        <f>"014147"</f>
        <v>014147</v>
      </c>
      <c r="C5086" t="s">
        <v>14004</v>
      </c>
      <c r="D5086" t="s">
        <v>3400</v>
      </c>
      <c r="E5086" t="s">
        <v>12048</v>
      </c>
      <c r="F5086" t="s">
        <v>3396</v>
      </c>
      <c r="G5086" t="s">
        <v>63</v>
      </c>
      <c r="H5086" t="s">
        <v>14005</v>
      </c>
      <c r="I5086" t="s">
        <v>14006</v>
      </c>
      <c r="J5086" t="s">
        <v>285</v>
      </c>
      <c r="K5086" t="s">
        <v>55</v>
      </c>
      <c r="L5086" t="s">
        <v>5437</v>
      </c>
      <c r="M5086" t="s">
        <v>57</v>
      </c>
      <c r="N5086" t="str">
        <f>"017759"</f>
        <v>017759</v>
      </c>
      <c r="O5086" t="s">
        <v>14007</v>
      </c>
      <c r="P5086" t="s">
        <v>68</v>
      </c>
      <c r="Q5086">
        <v>100</v>
      </c>
      <c r="R5086">
        <v>100</v>
      </c>
      <c r="S5086" t="s">
        <v>69</v>
      </c>
    </row>
    <row r="5087" spans="1:19" x14ac:dyDescent="0.35">
      <c r="A5087">
        <v>14147</v>
      </c>
      <c r="B5087" t="str">
        <f>"014147"</f>
        <v>014147</v>
      </c>
      <c r="C5087" t="s">
        <v>14004</v>
      </c>
      <c r="D5087" t="s">
        <v>12052</v>
      </c>
      <c r="E5087" t="s">
        <v>12048</v>
      </c>
      <c r="F5087" t="s">
        <v>3396</v>
      </c>
      <c r="G5087" t="s">
        <v>63</v>
      </c>
      <c r="H5087" t="s">
        <v>14005</v>
      </c>
      <c r="I5087" t="s">
        <v>14006</v>
      </c>
      <c r="J5087" t="s">
        <v>285</v>
      </c>
      <c r="K5087" t="s">
        <v>55</v>
      </c>
      <c r="L5087" t="s">
        <v>5437</v>
      </c>
      <c r="M5087" t="s">
        <v>57</v>
      </c>
      <c r="N5087" t="str">
        <f>"017759"</f>
        <v>017759</v>
      </c>
      <c r="O5087" t="s">
        <v>14007</v>
      </c>
      <c r="P5087" t="s">
        <v>68</v>
      </c>
      <c r="Q5087">
        <v>100</v>
      </c>
      <c r="R5087">
        <v>100</v>
      </c>
      <c r="S5087" t="s">
        <v>69</v>
      </c>
    </row>
    <row r="5088" spans="1:19" x14ac:dyDescent="0.35">
      <c r="A5088">
        <v>14149</v>
      </c>
      <c r="B5088" t="str">
        <f>"014149"</f>
        <v>014149</v>
      </c>
      <c r="C5088" t="s">
        <v>14008</v>
      </c>
      <c r="D5088" t="s">
        <v>3394</v>
      </c>
      <c r="E5088" t="s">
        <v>12048</v>
      </c>
      <c r="F5088" t="s">
        <v>3396</v>
      </c>
      <c r="G5088" t="s">
        <v>543</v>
      </c>
      <c r="H5088" t="s">
        <v>14009</v>
      </c>
      <c r="I5088" t="s">
        <v>14010</v>
      </c>
      <c r="J5088" t="s">
        <v>687</v>
      </c>
      <c r="K5088" t="s">
        <v>55</v>
      </c>
      <c r="L5088" t="s">
        <v>9900</v>
      </c>
      <c r="M5088" t="s">
        <v>57</v>
      </c>
      <c r="N5088" t="str">
        <f>"016011"</f>
        <v>016011</v>
      </c>
      <c r="O5088" t="s">
        <v>14011</v>
      </c>
      <c r="P5088" t="s">
        <v>68</v>
      </c>
      <c r="Q5088">
        <v>100</v>
      </c>
      <c r="R5088">
        <v>100</v>
      </c>
      <c r="S5088" t="s">
        <v>180</v>
      </c>
    </row>
    <row r="5089" spans="1:19" x14ac:dyDescent="0.35">
      <c r="A5089">
        <v>14149</v>
      </c>
      <c r="B5089" t="str">
        <f>"014149"</f>
        <v>014149</v>
      </c>
      <c r="C5089" t="s">
        <v>14008</v>
      </c>
      <c r="D5089" t="s">
        <v>12052</v>
      </c>
      <c r="E5089" t="s">
        <v>12048</v>
      </c>
      <c r="F5089" t="s">
        <v>3396</v>
      </c>
      <c r="G5089" t="s">
        <v>543</v>
      </c>
      <c r="H5089" t="s">
        <v>14009</v>
      </c>
      <c r="I5089" t="s">
        <v>14010</v>
      </c>
      <c r="J5089" t="s">
        <v>687</v>
      </c>
      <c r="K5089" t="s">
        <v>55</v>
      </c>
      <c r="L5089" t="s">
        <v>9900</v>
      </c>
      <c r="M5089" t="s">
        <v>57</v>
      </c>
      <c r="N5089" t="str">
        <f>"016011"</f>
        <v>016011</v>
      </c>
      <c r="O5089" t="s">
        <v>14011</v>
      </c>
      <c r="P5089" t="s">
        <v>68</v>
      </c>
      <c r="Q5089">
        <v>100</v>
      </c>
      <c r="R5089">
        <v>100</v>
      </c>
      <c r="S5089" t="s">
        <v>180</v>
      </c>
    </row>
    <row r="5090" spans="1:19" x14ac:dyDescent="0.35">
      <c r="A5090">
        <v>14173</v>
      </c>
      <c r="B5090" t="str">
        <f>"014173"</f>
        <v>014173</v>
      </c>
      <c r="C5090" t="s">
        <v>14012</v>
      </c>
      <c r="D5090" t="s">
        <v>3394</v>
      </c>
      <c r="E5090" t="s">
        <v>9538</v>
      </c>
      <c r="F5090" t="s">
        <v>3396</v>
      </c>
      <c r="G5090" t="s">
        <v>642</v>
      </c>
      <c r="H5090" t="s">
        <v>14013</v>
      </c>
      <c r="I5090" t="s">
        <v>14014</v>
      </c>
      <c r="J5090" t="s">
        <v>2447</v>
      </c>
      <c r="K5090" t="s">
        <v>55</v>
      </c>
      <c r="L5090" t="s">
        <v>4925</v>
      </c>
      <c r="M5090" t="s">
        <v>57</v>
      </c>
      <c r="N5090" t="str">
        <f>"014173"</f>
        <v>014173</v>
      </c>
      <c r="O5090" t="s">
        <v>14012</v>
      </c>
      <c r="P5090" t="s">
        <v>68</v>
      </c>
      <c r="Q5090" t="s">
        <v>68</v>
      </c>
      <c r="R5090" t="s">
        <v>68</v>
      </c>
      <c r="S5090" t="s">
        <v>180</v>
      </c>
    </row>
    <row r="5091" spans="1:19" x14ac:dyDescent="0.35">
      <c r="A5091">
        <v>14173</v>
      </c>
      <c r="B5091" t="str">
        <f>"014173"</f>
        <v>014173</v>
      </c>
      <c r="C5091" t="s">
        <v>14012</v>
      </c>
      <c r="D5091" t="s">
        <v>9541</v>
      </c>
      <c r="E5091" t="s">
        <v>9538</v>
      </c>
      <c r="F5091" t="s">
        <v>3396</v>
      </c>
      <c r="G5091" t="s">
        <v>642</v>
      </c>
      <c r="H5091" t="s">
        <v>14013</v>
      </c>
      <c r="I5091" t="s">
        <v>14014</v>
      </c>
      <c r="J5091" t="s">
        <v>2447</v>
      </c>
      <c r="K5091" t="s">
        <v>55</v>
      </c>
      <c r="L5091" t="s">
        <v>4925</v>
      </c>
      <c r="M5091" t="s">
        <v>57</v>
      </c>
      <c r="N5091" t="str">
        <f>"014173"</f>
        <v>014173</v>
      </c>
      <c r="O5091" t="s">
        <v>14012</v>
      </c>
      <c r="P5091" t="s">
        <v>68</v>
      </c>
      <c r="Q5091" t="s">
        <v>68</v>
      </c>
      <c r="R5091" t="s">
        <v>68</v>
      </c>
      <c r="S5091" t="s">
        <v>180</v>
      </c>
    </row>
    <row r="5092" spans="1:19" x14ac:dyDescent="0.35">
      <c r="A5092">
        <v>14187</v>
      </c>
      <c r="B5092" t="str">
        <f>"014187"</f>
        <v>014187</v>
      </c>
      <c r="C5092" t="s">
        <v>14015</v>
      </c>
      <c r="D5092" t="s">
        <v>3398</v>
      </c>
      <c r="E5092" t="s">
        <v>12048</v>
      </c>
      <c r="F5092" t="s">
        <v>3396</v>
      </c>
      <c r="G5092" t="s">
        <v>63</v>
      </c>
      <c r="H5092" t="s">
        <v>14016</v>
      </c>
      <c r="I5092" t="s">
        <v>14017</v>
      </c>
      <c r="J5092" t="s">
        <v>285</v>
      </c>
      <c r="K5092" t="s">
        <v>55</v>
      </c>
      <c r="L5092" t="s">
        <v>4491</v>
      </c>
      <c r="M5092" t="s">
        <v>57</v>
      </c>
      <c r="N5092" t="str">
        <f>"015427"</f>
        <v>015427</v>
      </c>
      <c r="O5092" t="s">
        <v>12157</v>
      </c>
      <c r="P5092" t="s">
        <v>68</v>
      </c>
      <c r="Q5092">
        <v>99.6</v>
      </c>
      <c r="R5092">
        <v>100</v>
      </c>
      <c r="S5092" t="s">
        <v>69</v>
      </c>
    </row>
    <row r="5093" spans="1:19" x14ac:dyDescent="0.35">
      <c r="A5093">
        <v>14187</v>
      </c>
      <c r="B5093" t="str">
        <f>"014187"</f>
        <v>014187</v>
      </c>
      <c r="C5093" t="s">
        <v>14015</v>
      </c>
      <c r="D5093" t="s">
        <v>12052</v>
      </c>
      <c r="E5093" t="s">
        <v>12048</v>
      </c>
      <c r="F5093" t="s">
        <v>3396</v>
      </c>
      <c r="G5093" t="s">
        <v>63</v>
      </c>
      <c r="H5093" t="s">
        <v>14016</v>
      </c>
      <c r="I5093" t="s">
        <v>14017</v>
      </c>
      <c r="J5093" t="s">
        <v>285</v>
      </c>
      <c r="K5093" t="s">
        <v>55</v>
      </c>
      <c r="L5093" t="s">
        <v>4491</v>
      </c>
      <c r="M5093" t="s">
        <v>57</v>
      </c>
      <c r="N5093" t="str">
        <f>"015427"</f>
        <v>015427</v>
      </c>
      <c r="O5093" t="s">
        <v>12157</v>
      </c>
      <c r="P5093" t="s">
        <v>68</v>
      </c>
      <c r="Q5093">
        <v>99.6</v>
      </c>
      <c r="R5093">
        <v>100</v>
      </c>
      <c r="S5093" t="s">
        <v>69</v>
      </c>
    </row>
    <row r="5094" spans="1:19" x14ac:dyDescent="0.35">
      <c r="A5094">
        <v>14188</v>
      </c>
      <c r="B5094" t="str">
        <f>"014188"</f>
        <v>014188</v>
      </c>
      <c r="C5094" t="s">
        <v>14018</v>
      </c>
      <c r="D5094" t="s">
        <v>3394</v>
      </c>
      <c r="E5094" t="s">
        <v>12048</v>
      </c>
      <c r="F5094" t="s">
        <v>3396</v>
      </c>
      <c r="G5094" t="s">
        <v>200</v>
      </c>
      <c r="H5094" t="s">
        <v>14019</v>
      </c>
      <c r="I5094" t="s">
        <v>14020</v>
      </c>
      <c r="J5094" t="s">
        <v>304</v>
      </c>
      <c r="K5094" t="s">
        <v>55</v>
      </c>
      <c r="L5094" t="s">
        <v>305</v>
      </c>
      <c r="M5094" t="s">
        <v>57</v>
      </c>
      <c r="N5094" t="str">
        <f>"014977"</f>
        <v>014977</v>
      </c>
      <c r="O5094" t="s">
        <v>12803</v>
      </c>
      <c r="P5094" t="s">
        <v>68</v>
      </c>
      <c r="Q5094">
        <v>99.7</v>
      </c>
      <c r="R5094">
        <v>67.599999999999994</v>
      </c>
      <c r="S5094" t="s">
        <v>156</v>
      </c>
    </row>
    <row r="5095" spans="1:19" x14ac:dyDescent="0.35">
      <c r="A5095">
        <v>14188</v>
      </c>
      <c r="B5095" t="str">
        <f>"014188"</f>
        <v>014188</v>
      </c>
      <c r="C5095" t="s">
        <v>14018</v>
      </c>
      <c r="D5095" t="s">
        <v>12052</v>
      </c>
      <c r="E5095" t="s">
        <v>12048</v>
      </c>
      <c r="F5095" t="s">
        <v>3396</v>
      </c>
      <c r="G5095" t="s">
        <v>200</v>
      </c>
      <c r="H5095" t="s">
        <v>14019</v>
      </c>
      <c r="I5095" t="s">
        <v>14020</v>
      </c>
      <c r="J5095" t="s">
        <v>304</v>
      </c>
      <c r="K5095" t="s">
        <v>55</v>
      </c>
      <c r="L5095" t="s">
        <v>305</v>
      </c>
      <c r="M5095" t="s">
        <v>57</v>
      </c>
      <c r="N5095" t="str">
        <f>"014977"</f>
        <v>014977</v>
      </c>
      <c r="O5095" t="s">
        <v>12803</v>
      </c>
      <c r="P5095" t="s">
        <v>68</v>
      </c>
      <c r="Q5095">
        <v>99.7</v>
      </c>
      <c r="R5095">
        <v>67.599999999999994</v>
      </c>
      <c r="S5095" t="s">
        <v>156</v>
      </c>
    </row>
    <row r="5096" spans="1:19" x14ac:dyDescent="0.35">
      <c r="A5096">
        <v>14189</v>
      </c>
      <c r="B5096" t="str">
        <f>"014189"</f>
        <v>014189</v>
      </c>
      <c r="C5096" t="s">
        <v>14021</v>
      </c>
      <c r="D5096" t="s">
        <v>3394</v>
      </c>
      <c r="E5096" t="s">
        <v>12048</v>
      </c>
      <c r="F5096" t="s">
        <v>3396</v>
      </c>
      <c r="G5096" t="s">
        <v>63</v>
      </c>
      <c r="H5096" t="s">
        <v>14022</v>
      </c>
      <c r="I5096" t="s">
        <v>14023</v>
      </c>
      <c r="J5096" t="s">
        <v>285</v>
      </c>
      <c r="K5096" t="s">
        <v>55</v>
      </c>
      <c r="L5096" t="s">
        <v>3561</v>
      </c>
      <c r="M5096" t="s">
        <v>57</v>
      </c>
      <c r="N5096" t="str">
        <f>"015427"</f>
        <v>015427</v>
      </c>
      <c r="O5096" t="s">
        <v>12157</v>
      </c>
      <c r="P5096" t="s">
        <v>68</v>
      </c>
      <c r="Q5096">
        <v>100</v>
      </c>
      <c r="R5096">
        <v>82.9</v>
      </c>
      <c r="S5096" t="s">
        <v>69</v>
      </c>
    </row>
    <row r="5097" spans="1:19" x14ac:dyDescent="0.35">
      <c r="A5097">
        <v>14189</v>
      </c>
      <c r="B5097" t="str">
        <f>"014189"</f>
        <v>014189</v>
      </c>
      <c r="C5097" t="s">
        <v>14021</v>
      </c>
      <c r="D5097" t="s">
        <v>12052</v>
      </c>
      <c r="E5097" t="s">
        <v>12048</v>
      </c>
      <c r="F5097" t="s">
        <v>3396</v>
      </c>
      <c r="G5097" t="s">
        <v>63</v>
      </c>
      <c r="H5097" t="s">
        <v>14022</v>
      </c>
      <c r="I5097" t="s">
        <v>14023</v>
      </c>
      <c r="J5097" t="s">
        <v>285</v>
      </c>
      <c r="K5097" t="s">
        <v>55</v>
      </c>
      <c r="L5097" t="s">
        <v>3561</v>
      </c>
      <c r="M5097" t="s">
        <v>57</v>
      </c>
      <c r="N5097" t="str">
        <f>"015427"</f>
        <v>015427</v>
      </c>
      <c r="O5097" t="s">
        <v>12157</v>
      </c>
      <c r="P5097" t="s">
        <v>68</v>
      </c>
      <c r="Q5097">
        <v>100</v>
      </c>
      <c r="R5097">
        <v>82.9</v>
      </c>
      <c r="S5097" t="s">
        <v>69</v>
      </c>
    </row>
    <row r="5098" spans="1:19" x14ac:dyDescent="0.35">
      <c r="A5098">
        <v>14231</v>
      </c>
      <c r="B5098" t="str">
        <f>"014231"</f>
        <v>014231</v>
      </c>
      <c r="C5098" t="s">
        <v>14024</v>
      </c>
      <c r="D5098" t="s">
        <v>3398</v>
      </c>
      <c r="E5098" t="s">
        <v>13608</v>
      </c>
      <c r="F5098" t="s">
        <v>3396</v>
      </c>
      <c r="G5098" t="s">
        <v>295</v>
      </c>
      <c r="H5098" t="s">
        <v>14025</v>
      </c>
      <c r="I5098" t="s">
        <v>14026</v>
      </c>
      <c r="J5098" t="s">
        <v>1598</v>
      </c>
      <c r="K5098" t="s">
        <v>55</v>
      </c>
      <c r="L5098" t="s">
        <v>1599</v>
      </c>
      <c r="M5098" t="s">
        <v>57</v>
      </c>
      <c r="N5098" t="str">
        <f>"014231"</f>
        <v>014231</v>
      </c>
      <c r="O5098" t="s">
        <v>14024</v>
      </c>
      <c r="P5098" t="s">
        <v>68</v>
      </c>
      <c r="Q5098">
        <v>19.899999999999999</v>
      </c>
      <c r="R5098">
        <v>9</v>
      </c>
      <c r="S5098" t="s">
        <v>77</v>
      </c>
    </row>
    <row r="5099" spans="1:19" x14ac:dyDescent="0.35">
      <c r="A5099">
        <v>14231</v>
      </c>
      <c r="B5099" t="str">
        <f>"014231"</f>
        <v>014231</v>
      </c>
      <c r="C5099" t="s">
        <v>14024</v>
      </c>
      <c r="D5099" t="s">
        <v>3929</v>
      </c>
      <c r="E5099" t="s">
        <v>13608</v>
      </c>
      <c r="F5099" t="s">
        <v>3396</v>
      </c>
      <c r="G5099" t="s">
        <v>295</v>
      </c>
      <c r="H5099" t="s">
        <v>14025</v>
      </c>
      <c r="I5099" t="s">
        <v>14026</v>
      </c>
      <c r="J5099" t="s">
        <v>1598</v>
      </c>
      <c r="K5099" t="s">
        <v>55</v>
      </c>
      <c r="L5099" t="s">
        <v>1599</v>
      </c>
      <c r="M5099" t="s">
        <v>57</v>
      </c>
      <c r="N5099" t="str">
        <f>"014231"</f>
        <v>014231</v>
      </c>
      <c r="O5099" t="s">
        <v>14024</v>
      </c>
      <c r="P5099" t="s">
        <v>68</v>
      </c>
      <c r="Q5099">
        <v>19.899999999999999</v>
      </c>
      <c r="R5099">
        <v>9</v>
      </c>
      <c r="S5099" t="s">
        <v>77</v>
      </c>
    </row>
    <row r="5100" spans="1:19" x14ac:dyDescent="0.35">
      <c r="A5100">
        <v>14259</v>
      </c>
      <c r="B5100" t="str">
        <f>"014259"</f>
        <v>014259</v>
      </c>
      <c r="C5100" t="s">
        <v>14027</v>
      </c>
      <c r="D5100" t="s">
        <v>3400</v>
      </c>
      <c r="E5100" t="s">
        <v>3395</v>
      </c>
      <c r="F5100" t="s">
        <v>3396</v>
      </c>
      <c r="G5100" t="s">
        <v>200</v>
      </c>
      <c r="H5100" t="s">
        <v>14028</v>
      </c>
      <c r="I5100" t="s">
        <v>14029</v>
      </c>
      <c r="J5100" t="s">
        <v>2685</v>
      </c>
      <c r="K5100" t="s">
        <v>55</v>
      </c>
      <c r="L5100" t="s">
        <v>2686</v>
      </c>
      <c r="M5100" t="s">
        <v>57</v>
      </c>
      <c r="N5100" t="str">
        <f>"044602"</f>
        <v>044602</v>
      </c>
      <c r="O5100" t="s">
        <v>2682</v>
      </c>
      <c r="P5100" t="s">
        <v>68</v>
      </c>
      <c r="Q5100">
        <v>43.3</v>
      </c>
      <c r="R5100">
        <v>22.900000000000006</v>
      </c>
      <c r="S5100" t="s">
        <v>156</v>
      </c>
    </row>
    <row r="5101" spans="1:19" x14ac:dyDescent="0.35">
      <c r="A5101">
        <v>14260</v>
      </c>
      <c r="B5101" t="str">
        <f>"014260"</f>
        <v>014260</v>
      </c>
      <c r="C5101" t="s">
        <v>14030</v>
      </c>
      <c r="D5101" t="s">
        <v>3543</v>
      </c>
      <c r="E5101" t="s">
        <v>3395</v>
      </c>
      <c r="F5101" t="s">
        <v>3396</v>
      </c>
      <c r="G5101" t="s">
        <v>821</v>
      </c>
      <c r="H5101" t="s">
        <v>14031</v>
      </c>
      <c r="I5101" t="s">
        <v>14032</v>
      </c>
      <c r="J5101" t="s">
        <v>1427</v>
      </c>
      <c r="K5101" t="s">
        <v>55</v>
      </c>
      <c r="L5101" t="s">
        <v>1428</v>
      </c>
      <c r="M5101" t="s">
        <v>57</v>
      </c>
      <c r="N5101" t="str">
        <f>"043984"</f>
        <v>043984</v>
      </c>
      <c r="O5101" t="s">
        <v>1424</v>
      </c>
      <c r="P5101" t="s">
        <v>68</v>
      </c>
      <c r="Q5101" t="s">
        <v>68</v>
      </c>
      <c r="R5101" t="s">
        <v>68</v>
      </c>
      <c r="S5101" t="s">
        <v>156</v>
      </c>
    </row>
    <row r="5102" spans="1:19" x14ac:dyDescent="0.35">
      <c r="A5102">
        <v>14260</v>
      </c>
      <c r="B5102" t="str">
        <f>"014260"</f>
        <v>014260</v>
      </c>
      <c r="C5102" t="s">
        <v>14030</v>
      </c>
      <c r="D5102" t="s">
        <v>12677</v>
      </c>
      <c r="E5102" t="s">
        <v>3395</v>
      </c>
      <c r="F5102" t="s">
        <v>3396</v>
      </c>
      <c r="G5102" t="s">
        <v>821</v>
      </c>
      <c r="H5102" t="s">
        <v>14031</v>
      </c>
      <c r="I5102" t="s">
        <v>14032</v>
      </c>
      <c r="J5102" t="s">
        <v>1427</v>
      </c>
      <c r="K5102" t="s">
        <v>55</v>
      </c>
      <c r="L5102" t="s">
        <v>1428</v>
      </c>
      <c r="M5102" t="s">
        <v>57</v>
      </c>
      <c r="N5102" t="str">
        <f>"043984"</f>
        <v>043984</v>
      </c>
      <c r="O5102" t="s">
        <v>1424</v>
      </c>
      <c r="P5102" t="s">
        <v>68</v>
      </c>
      <c r="Q5102" t="s">
        <v>68</v>
      </c>
      <c r="R5102" t="s">
        <v>68</v>
      </c>
      <c r="S5102" t="s">
        <v>156</v>
      </c>
    </row>
    <row r="5103" spans="1:19" x14ac:dyDescent="0.35">
      <c r="A5103">
        <v>14260</v>
      </c>
      <c r="B5103" t="str">
        <f>"014260"</f>
        <v>014260</v>
      </c>
      <c r="C5103" t="s">
        <v>14030</v>
      </c>
      <c r="D5103" t="s">
        <v>4572</v>
      </c>
      <c r="E5103" t="s">
        <v>3395</v>
      </c>
      <c r="F5103" t="s">
        <v>3396</v>
      </c>
      <c r="G5103" t="s">
        <v>821</v>
      </c>
      <c r="H5103" t="s">
        <v>14031</v>
      </c>
      <c r="I5103" t="s">
        <v>14032</v>
      </c>
      <c r="J5103" t="s">
        <v>1427</v>
      </c>
      <c r="K5103" t="s">
        <v>55</v>
      </c>
      <c r="L5103" t="s">
        <v>1428</v>
      </c>
      <c r="M5103" t="s">
        <v>57</v>
      </c>
      <c r="N5103" t="str">
        <f>"043984"</f>
        <v>043984</v>
      </c>
      <c r="O5103" t="s">
        <v>1424</v>
      </c>
      <c r="P5103" t="s">
        <v>68</v>
      </c>
      <c r="Q5103" t="s">
        <v>68</v>
      </c>
      <c r="R5103" t="s">
        <v>68</v>
      </c>
      <c r="S5103" t="s">
        <v>156</v>
      </c>
    </row>
    <row r="5104" spans="1:19" x14ac:dyDescent="0.35">
      <c r="A5104">
        <v>14467</v>
      </c>
      <c r="B5104" t="str">
        <f>"014467"</f>
        <v>014467</v>
      </c>
      <c r="C5104" t="s">
        <v>14033</v>
      </c>
      <c r="D5104" t="s">
        <v>3394</v>
      </c>
      <c r="E5104" t="s">
        <v>12048</v>
      </c>
      <c r="F5104" t="s">
        <v>3396</v>
      </c>
      <c r="G5104" t="s">
        <v>600</v>
      </c>
      <c r="H5104" t="s">
        <v>14034</v>
      </c>
      <c r="I5104" t="s">
        <v>14035</v>
      </c>
      <c r="J5104" t="s">
        <v>1348</v>
      </c>
      <c r="K5104" t="s">
        <v>55</v>
      </c>
      <c r="L5104" t="s">
        <v>1516</v>
      </c>
      <c r="M5104" t="s">
        <v>57</v>
      </c>
      <c r="N5104" t="str">
        <f>"015079"</f>
        <v>015079</v>
      </c>
      <c r="O5104" t="s">
        <v>14036</v>
      </c>
      <c r="P5104" t="s">
        <v>68</v>
      </c>
      <c r="Q5104">
        <v>100</v>
      </c>
      <c r="R5104">
        <v>87.9</v>
      </c>
      <c r="S5104" t="s">
        <v>60</v>
      </c>
    </row>
    <row r="5105" spans="1:19" x14ac:dyDescent="0.35">
      <c r="A5105">
        <v>14467</v>
      </c>
      <c r="B5105" t="str">
        <f>"014467"</f>
        <v>014467</v>
      </c>
      <c r="C5105" t="s">
        <v>14033</v>
      </c>
      <c r="D5105" t="s">
        <v>12052</v>
      </c>
      <c r="E5105" t="s">
        <v>12048</v>
      </c>
      <c r="F5105" t="s">
        <v>3396</v>
      </c>
      <c r="G5105" t="s">
        <v>600</v>
      </c>
      <c r="H5105" t="s">
        <v>14034</v>
      </c>
      <c r="I5105" t="s">
        <v>14035</v>
      </c>
      <c r="J5105" t="s">
        <v>1348</v>
      </c>
      <c r="K5105" t="s">
        <v>55</v>
      </c>
      <c r="L5105" t="s">
        <v>1516</v>
      </c>
      <c r="M5105" t="s">
        <v>57</v>
      </c>
      <c r="N5105" t="str">
        <f>"015079"</f>
        <v>015079</v>
      </c>
      <c r="O5105" t="s">
        <v>14036</v>
      </c>
      <c r="P5105" t="s">
        <v>68</v>
      </c>
      <c r="Q5105">
        <v>100</v>
      </c>
      <c r="R5105">
        <v>87.9</v>
      </c>
      <c r="S5105" t="s">
        <v>60</v>
      </c>
    </row>
    <row r="5106" spans="1:19" x14ac:dyDescent="0.35">
      <c r="A5106">
        <v>14904</v>
      </c>
      <c r="B5106" t="str">
        <f>"014904"</f>
        <v>014904</v>
      </c>
      <c r="C5106" t="s">
        <v>14037</v>
      </c>
      <c r="D5106" t="s">
        <v>3398</v>
      </c>
      <c r="E5106" t="s">
        <v>12048</v>
      </c>
      <c r="F5106" t="s">
        <v>3396</v>
      </c>
      <c r="G5106" t="s">
        <v>63</v>
      </c>
      <c r="H5106" t="s">
        <v>14038</v>
      </c>
      <c r="I5106" t="s">
        <v>14039</v>
      </c>
      <c r="J5106" t="s">
        <v>1710</v>
      </c>
      <c r="K5106" t="s">
        <v>55</v>
      </c>
      <c r="L5106" t="s">
        <v>1711</v>
      </c>
      <c r="M5106" t="s">
        <v>57</v>
      </c>
      <c r="N5106" t="str">
        <f>"N/A"</f>
        <v>N/A</v>
      </c>
      <c r="O5106" t="s">
        <v>49</v>
      </c>
      <c r="P5106" t="s">
        <v>68</v>
      </c>
      <c r="Q5106">
        <v>99</v>
      </c>
      <c r="R5106">
        <v>100</v>
      </c>
      <c r="S5106" t="s">
        <v>69</v>
      </c>
    </row>
    <row r="5107" spans="1:19" x14ac:dyDescent="0.35">
      <c r="A5107">
        <v>14904</v>
      </c>
      <c r="B5107" t="str">
        <f>"014904"</f>
        <v>014904</v>
      </c>
      <c r="C5107" t="s">
        <v>14037</v>
      </c>
      <c r="D5107" t="s">
        <v>12052</v>
      </c>
      <c r="E5107" t="s">
        <v>12048</v>
      </c>
      <c r="F5107" t="s">
        <v>3396</v>
      </c>
      <c r="G5107" t="s">
        <v>63</v>
      </c>
      <c r="H5107" t="s">
        <v>14038</v>
      </c>
      <c r="I5107" t="s">
        <v>14039</v>
      </c>
      <c r="J5107" t="s">
        <v>1710</v>
      </c>
      <c r="K5107" t="s">
        <v>55</v>
      </c>
      <c r="L5107" t="s">
        <v>1711</v>
      </c>
      <c r="M5107" t="s">
        <v>57</v>
      </c>
      <c r="N5107" t="str">
        <f>"N/A"</f>
        <v>N/A</v>
      </c>
      <c r="O5107" t="s">
        <v>49</v>
      </c>
      <c r="P5107" t="s">
        <v>68</v>
      </c>
      <c r="Q5107">
        <v>99</v>
      </c>
      <c r="R5107">
        <v>100</v>
      </c>
      <c r="S5107" t="s">
        <v>69</v>
      </c>
    </row>
    <row r="5108" spans="1:19" x14ac:dyDescent="0.35">
      <c r="A5108">
        <v>14678</v>
      </c>
      <c r="B5108" t="str">
        <f>"014678"</f>
        <v>014678</v>
      </c>
      <c r="C5108" t="s">
        <v>14040</v>
      </c>
      <c r="D5108" t="s">
        <v>3400</v>
      </c>
      <c r="E5108" t="s">
        <v>3395</v>
      </c>
      <c r="F5108" t="s">
        <v>3396</v>
      </c>
      <c r="G5108" t="s">
        <v>206</v>
      </c>
      <c r="H5108" t="s">
        <v>531</v>
      </c>
      <c r="I5108" t="s">
        <v>532</v>
      </c>
      <c r="J5108" t="s">
        <v>533</v>
      </c>
      <c r="K5108" t="s">
        <v>55</v>
      </c>
      <c r="L5108" t="s">
        <v>534</v>
      </c>
      <c r="M5108" t="s">
        <v>57</v>
      </c>
      <c r="N5108" t="str">
        <f>"045484"</f>
        <v>045484</v>
      </c>
      <c r="O5108" t="s">
        <v>530</v>
      </c>
      <c r="P5108" t="s">
        <v>68</v>
      </c>
      <c r="Q5108">
        <v>34.799999999999997</v>
      </c>
      <c r="R5108">
        <v>7.2000000000000028</v>
      </c>
      <c r="S5108" t="s">
        <v>180</v>
      </c>
    </row>
    <row r="5109" spans="1:19" x14ac:dyDescent="0.35">
      <c r="A5109">
        <v>14691</v>
      </c>
      <c r="B5109" t="str">
        <f>"014691"</f>
        <v>014691</v>
      </c>
      <c r="C5109" t="s">
        <v>14041</v>
      </c>
      <c r="D5109" t="s">
        <v>3398</v>
      </c>
      <c r="E5109" t="s">
        <v>3395</v>
      </c>
      <c r="F5109" t="s">
        <v>3396</v>
      </c>
      <c r="G5109" t="s">
        <v>1948</v>
      </c>
      <c r="H5109" t="s">
        <v>14042</v>
      </c>
      <c r="I5109" t="s">
        <v>14043</v>
      </c>
      <c r="J5109" t="s">
        <v>1951</v>
      </c>
      <c r="K5109" t="s">
        <v>55</v>
      </c>
      <c r="L5109" t="s">
        <v>1952</v>
      </c>
      <c r="M5109" t="s">
        <v>57</v>
      </c>
      <c r="N5109" t="str">
        <f>"045476"</f>
        <v>045476</v>
      </c>
      <c r="O5109" t="s">
        <v>1947</v>
      </c>
      <c r="P5109" t="s">
        <v>68</v>
      </c>
      <c r="Q5109">
        <v>9</v>
      </c>
      <c r="R5109">
        <v>11.400000000000006</v>
      </c>
      <c r="S5109" t="s">
        <v>60</v>
      </c>
    </row>
    <row r="5110" spans="1:19" x14ac:dyDescent="0.35">
      <c r="A5110">
        <v>14691</v>
      </c>
      <c r="B5110" t="str">
        <f>"014691"</f>
        <v>014691</v>
      </c>
      <c r="C5110" t="s">
        <v>14041</v>
      </c>
      <c r="D5110" t="s">
        <v>3929</v>
      </c>
      <c r="E5110" t="s">
        <v>3395</v>
      </c>
      <c r="F5110" t="s">
        <v>3396</v>
      </c>
      <c r="G5110" t="s">
        <v>1948</v>
      </c>
      <c r="H5110" t="s">
        <v>14042</v>
      </c>
      <c r="I5110" t="s">
        <v>14043</v>
      </c>
      <c r="J5110" t="s">
        <v>1951</v>
      </c>
      <c r="K5110" t="s">
        <v>55</v>
      </c>
      <c r="L5110" t="s">
        <v>1952</v>
      </c>
      <c r="M5110" t="s">
        <v>57</v>
      </c>
      <c r="N5110" t="str">
        <f>"045476"</f>
        <v>045476</v>
      </c>
      <c r="O5110" t="s">
        <v>1947</v>
      </c>
      <c r="P5110" t="s">
        <v>68</v>
      </c>
      <c r="Q5110">
        <v>9</v>
      </c>
      <c r="R5110">
        <v>11.400000000000006</v>
      </c>
      <c r="S5110" t="s">
        <v>60</v>
      </c>
    </row>
    <row r="5111" spans="1:19" x14ac:dyDescent="0.35">
      <c r="A5111">
        <v>14927</v>
      </c>
      <c r="B5111" t="str">
        <f>"014927"</f>
        <v>014927</v>
      </c>
      <c r="C5111" t="s">
        <v>14044</v>
      </c>
      <c r="D5111" t="s">
        <v>3398</v>
      </c>
      <c r="E5111" t="s">
        <v>12048</v>
      </c>
      <c r="F5111" t="s">
        <v>3396</v>
      </c>
      <c r="G5111" t="s">
        <v>264</v>
      </c>
      <c r="H5111" t="s">
        <v>14045</v>
      </c>
      <c r="I5111" t="s">
        <v>14046</v>
      </c>
      <c r="J5111" t="s">
        <v>267</v>
      </c>
      <c r="K5111" t="s">
        <v>55</v>
      </c>
      <c r="L5111" t="s">
        <v>5205</v>
      </c>
      <c r="M5111" t="s">
        <v>57</v>
      </c>
      <c r="N5111" t="str">
        <f>"017321"</f>
        <v>017321</v>
      </c>
      <c r="O5111" t="s">
        <v>14047</v>
      </c>
      <c r="P5111" t="s">
        <v>68</v>
      </c>
      <c r="Q5111">
        <v>100</v>
      </c>
      <c r="R5111">
        <v>69.7</v>
      </c>
      <c r="S5111" t="s">
        <v>77</v>
      </c>
    </row>
    <row r="5112" spans="1:19" x14ac:dyDescent="0.35">
      <c r="A5112">
        <v>14927</v>
      </c>
      <c r="B5112" t="str">
        <f>"014927"</f>
        <v>014927</v>
      </c>
      <c r="C5112" t="s">
        <v>14044</v>
      </c>
      <c r="D5112" t="s">
        <v>12052</v>
      </c>
      <c r="E5112" t="s">
        <v>12048</v>
      </c>
      <c r="F5112" t="s">
        <v>3396</v>
      </c>
      <c r="G5112" t="s">
        <v>264</v>
      </c>
      <c r="H5112" t="s">
        <v>14045</v>
      </c>
      <c r="I5112" t="s">
        <v>14046</v>
      </c>
      <c r="J5112" t="s">
        <v>267</v>
      </c>
      <c r="K5112" t="s">
        <v>55</v>
      </c>
      <c r="L5112" t="s">
        <v>5205</v>
      </c>
      <c r="M5112" t="s">
        <v>57</v>
      </c>
      <c r="N5112" t="str">
        <f>"017321"</f>
        <v>017321</v>
      </c>
      <c r="O5112" t="s">
        <v>14047</v>
      </c>
      <c r="P5112" t="s">
        <v>68</v>
      </c>
      <c r="Q5112">
        <v>100</v>
      </c>
      <c r="R5112">
        <v>69.7</v>
      </c>
      <c r="S5112" t="s">
        <v>77</v>
      </c>
    </row>
    <row r="5113" spans="1:19" x14ac:dyDescent="0.35">
      <c r="A5113">
        <v>14830</v>
      </c>
      <c r="B5113" t="str">
        <f>"014830"</f>
        <v>014830</v>
      </c>
      <c r="C5113" t="s">
        <v>14048</v>
      </c>
      <c r="D5113" t="s">
        <v>3398</v>
      </c>
      <c r="E5113" t="s">
        <v>12048</v>
      </c>
      <c r="F5113" t="s">
        <v>3396</v>
      </c>
      <c r="G5113" t="s">
        <v>536</v>
      </c>
      <c r="H5113" t="s">
        <v>2358</v>
      </c>
      <c r="I5113" t="s">
        <v>2359</v>
      </c>
      <c r="J5113" t="s">
        <v>2360</v>
      </c>
      <c r="K5113" t="s">
        <v>55</v>
      </c>
      <c r="L5113" t="s">
        <v>2361</v>
      </c>
      <c r="M5113" t="s">
        <v>57</v>
      </c>
      <c r="N5113" t="str">
        <f>"046441"</f>
        <v>046441</v>
      </c>
      <c r="O5113" t="s">
        <v>2238</v>
      </c>
      <c r="P5113" t="s">
        <v>68</v>
      </c>
      <c r="Q5113">
        <v>100</v>
      </c>
      <c r="R5113">
        <v>5.2999999999999972</v>
      </c>
      <c r="S5113" t="s">
        <v>77</v>
      </c>
    </row>
    <row r="5114" spans="1:19" x14ac:dyDescent="0.35">
      <c r="A5114">
        <v>14830</v>
      </c>
      <c r="B5114" t="str">
        <f>"014830"</f>
        <v>014830</v>
      </c>
      <c r="C5114" t="s">
        <v>14048</v>
      </c>
      <c r="D5114" t="s">
        <v>12052</v>
      </c>
      <c r="E5114" t="s">
        <v>12048</v>
      </c>
      <c r="F5114" t="s">
        <v>3396</v>
      </c>
      <c r="G5114" t="s">
        <v>536</v>
      </c>
      <c r="H5114" t="s">
        <v>2358</v>
      </c>
      <c r="I5114" t="s">
        <v>2359</v>
      </c>
      <c r="J5114" t="s">
        <v>2360</v>
      </c>
      <c r="K5114" t="s">
        <v>55</v>
      </c>
      <c r="L5114" t="s">
        <v>2361</v>
      </c>
      <c r="M5114" t="s">
        <v>57</v>
      </c>
      <c r="N5114" t="str">
        <f>"046441"</f>
        <v>046441</v>
      </c>
      <c r="O5114" t="s">
        <v>2238</v>
      </c>
      <c r="P5114" t="s">
        <v>68</v>
      </c>
      <c r="Q5114">
        <v>100</v>
      </c>
      <c r="R5114">
        <v>5.2999999999999972</v>
      </c>
      <c r="S5114" t="s">
        <v>77</v>
      </c>
    </row>
    <row r="5115" spans="1:19" x14ac:dyDescent="0.35">
      <c r="A5115">
        <v>14830</v>
      </c>
      <c r="B5115" t="str">
        <f>"014830"</f>
        <v>014830</v>
      </c>
      <c r="C5115" t="s">
        <v>14048</v>
      </c>
      <c r="D5115" t="s">
        <v>12063</v>
      </c>
      <c r="E5115" t="s">
        <v>12048</v>
      </c>
      <c r="F5115" t="s">
        <v>3396</v>
      </c>
      <c r="G5115" t="s">
        <v>536</v>
      </c>
      <c r="H5115" t="s">
        <v>2358</v>
      </c>
      <c r="I5115" t="s">
        <v>2359</v>
      </c>
      <c r="J5115" t="s">
        <v>2360</v>
      </c>
      <c r="K5115" t="s">
        <v>55</v>
      </c>
      <c r="L5115" t="s">
        <v>2361</v>
      </c>
      <c r="M5115" t="s">
        <v>57</v>
      </c>
      <c r="N5115" t="str">
        <f>"046441"</f>
        <v>046441</v>
      </c>
      <c r="O5115" t="s">
        <v>2238</v>
      </c>
      <c r="P5115" t="s">
        <v>68</v>
      </c>
      <c r="Q5115">
        <v>100</v>
      </c>
      <c r="R5115">
        <v>5.2999999999999972</v>
      </c>
      <c r="S5115" t="s">
        <v>77</v>
      </c>
    </row>
    <row r="5116" spans="1:19" x14ac:dyDescent="0.35">
      <c r="A5116">
        <v>14830</v>
      </c>
      <c r="B5116" t="str">
        <f>"014830"</f>
        <v>014830</v>
      </c>
      <c r="C5116" t="s">
        <v>14048</v>
      </c>
      <c r="D5116" t="s">
        <v>12677</v>
      </c>
      <c r="E5116" t="s">
        <v>12048</v>
      </c>
      <c r="F5116" t="s">
        <v>3396</v>
      </c>
      <c r="G5116" t="s">
        <v>536</v>
      </c>
      <c r="H5116" t="s">
        <v>2358</v>
      </c>
      <c r="I5116" t="s">
        <v>2359</v>
      </c>
      <c r="J5116" t="s">
        <v>2360</v>
      </c>
      <c r="K5116" t="s">
        <v>55</v>
      </c>
      <c r="L5116" t="s">
        <v>2361</v>
      </c>
      <c r="M5116" t="s">
        <v>57</v>
      </c>
      <c r="N5116" t="str">
        <f>"046441"</f>
        <v>046441</v>
      </c>
      <c r="O5116" t="s">
        <v>2238</v>
      </c>
      <c r="P5116" t="s">
        <v>68</v>
      </c>
      <c r="Q5116">
        <v>100</v>
      </c>
      <c r="R5116">
        <v>5.2999999999999972</v>
      </c>
      <c r="S5116" t="s">
        <v>77</v>
      </c>
    </row>
    <row r="5117" spans="1:19" x14ac:dyDescent="0.35">
      <c r="A5117">
        <v>14913</v>
      </c>
      <c r="B5117" t="str">
        <f>"014913"</f>
        <v>014913</v>
      </c>
      <c r="C5117" t="s">
        <v>14049</v>
      </c>
      <c r="D5117" t="s">
        <v>3394</v>
      </c>
      <c r="E5117" t="s">
        <v>12048</v>
      </c>
      <c r="F5117" t="s">
        <v>3396</v>
      </c>
      <c r="G5117" t="s">
        <v>63</v>
      </c>
      <c r="H5117" t="s">
        <v>14050</v>
      </c>
      <c r="I5117" t="s">
        <v>14051</v>
      </c>
      <c r="J5117" t="s">
        <v>285</v>
      </c>
      <c r="K5117" t="s">
        <v>55</v>
      </c>
      <c r="L5117" t="s">
        <v>6421</v>
      </c>
      <c r="M5117" t="s">
        <v>57</v>
      </c>
      <c r="N5117" t="str">
        <f>"N/A"</f>
        <v>N/A</v>
      </c>
      <c r="O5117" t="s">
        <v>49</v>
      </c>
      <c r="P5117" t="s">
        <v>68</v>
      </c>
      <c r="Q5117">
        <v>100</v>
      </c>
      <c r="R5117">
        <v>100</v>
      </c>
      <c r="S5117" t="s">
        <v>69</v>
      </c>
    </row>
    <row r="5118" spans="1:19" x14ac:dyDescent="0.35">
      <c r="A5118">
        <v>14913</v>
      </c>
      <c r="B5118" t="str">
        <f>"014913"</f>
        <v>014913</v>
      </c>
      <c r="C5118" t="s">
        <v>14049</v>
      </c>
      <c r="D5118" t="s">
        <v>12052</v>
      </c>
      <c r="E5118" t="s">
        <v>12048</v>
      </c>
      <c r="F5118" t="s">
        <v>3396</v>
      </c>
      <c r="G5118" t="s">
        <v>63</v>
      </c>
      <c r="H5118" t="s">
        <v>14050</v>
      </c>
      <c r="I5118" t="s">
        <v>14051</v>
      </c>
      <c r="J5118" t="s">
        <v>285</v>
      </c>
      <c r="K5118" t="s">
        <v>55</v>
      </c>
      <c r="L5118" t="s">
        <v>6421</v>
      </c>
      <c r="M5118" t="s">
        <v>57</v>
      </c>
      <c r="N5118" t="str">
        <f>"N/A"</f>
        <v>N/A</v>
      </c>
      <c r="O5118" t="s">
        <v>49</v>
      </c>
      <c r="P5118" t="s">
        <v>68</v>
      </c>
      <c r="Q5118">
        <v>100</v>
      </c>
      <c r="R5118">
        <v>100</v>
      </c>
      <c r="S5118" t="s">
        <v>69</v>
      </c>
    </row>
    <row r="5119" spans="1:19" x14ac:dyDescent="0.35">
      <c r="A5119">
        <v>14913</v>
      </c>
      <c r="B5119" t="str">
        <f>"014913"</f>
        <v>014913</v>
      </c>
      <c r="C5119" t="s">
        <v>14049</v>
      </c>
      <c r="D5119" t="s">
        <v>12126</v>
      </c>
      <c r="E5119" t="s">
        <v>12048</v>
      </c>
      <c r="F5119" t="s">
        <v>3396</v>
      </c>
      <c r="G5119" t="s">
        <v>63</v>
      </c>
      <c r="H5119" t="s">
        <v>14050</v>
      </c>
      <c r="I5119" t="s">
        <v>14051</v>
      </c>
      <c r="J5119" t="s">
        <v>285</v>
      </c>
      <c r="K5119" t="s">
        <v>55</v>
      </c>
      <c r="L5119" t="s">
        <v>6421</v>
      </c>
      <c r="M5119" t="s">
        <v>57</v>
      </c>
      <c r="N5119" t="str">
        <f>"N/A"</f>
        <v>N/A</v>
      </c>
      <c r="O5119" t="s">
        <v>49</v>
      </c>
      <c r="P5119" t="s">
        <v>68</v>
      </c>
      <c r="Q5119">
        <v>100</v>
      </c>
      <c r="R5119">
        <v>100</v>
      </c>
      <c r="S5119" t="s">
        <v>69</v>
      </c>
    </row>
    <row r="5120" spans="1:19" x14ac:dyDescent="0.35">
      <c r="A5120">
        <v>14918</v>
      </c>
      <c r="B5120" t="str">
        <f>"014918"</f>
        <v>014918</v>
      </c>
      <c r="C5120" t="s">
        <v>14052</v>
      </c>
      <c r="D5120" t="s">
        <v>3398</v>
      </c>
      <c r="E5120" t="s">
        <v>3395</v>
      </c>
      <c r="F5120" t="s">
        <v>3396</v>
      </c>
      <c r="G5120" t="s">
        <v>63</v>
      </c>
      <c r="H5120" t="s">
        <v>14053</v>
      </c>
      <c r="I5120" t="s">
        <v>14054</v>
      </c>
      <c r="J5120" t="s">
        <v>285</v>
      </c>
      <c r="K5120" t="s">
        <v>55</v>
      </c>
      <c r="L5120" t="s">
        <v>609</v>
      </c>
      <c r="M5120" t="s">
        <v>57</v>
      </c>
      <c r="N5120" t="str">
        <f>"043786"</f>
        <v>043786</v>
      </c>
      <c r="O5120" t="s">
        <v>1340</v>
      </c>
      <c r="P5120" t="s">
        <v>68</v>
      </c>
      <c r="Q5120">
        <v>100</v>
      </c>
      <c r="R5120">
        <v>91.4</v>
      </c>
      <c r="S5120" t="s">
        <v>69</v>
      </c>
    </row>
    <row r="5121" spans="1:19" x14ac:dyDescent="0.35">
      <c r="A5121">
        <v>14919</v>
      </c>
      <c r="B5121" t="str">
        <f>"014919"</f>
        <v>014919</v>
      </c>
      <c r="C5121" t="s">
        <v>14055</v>
      </c>
      <c r="D5121" t="s">
        <v>3398</v>
      </c>
      <c r="E5121" t="s">
        <v>3395</v>
      </c>
      <c r="F5121" t="s">
        <v>3396</v>
      </c>
      <c r="G5121" t="s">
        <v>63</v>
      </c>
      <c r="H5121" t="s">
        <v>14056</v>
      </c>
      <c r="I5121" t="s">
        <v>14057</v>
      </c>
      <c r="J5121" t="s">
        <v>285</v>
      </c>
      <c r="K5121" t="s">
        <v>55</v>
      </c>
      <c r="L5121" t="s">
        <v>1711</v>
      </c>
      <c r="M5121" t="s">
        <v>57</v>
      </c>
      <c r="N5121" t="str">
        <f>"043786"</f>
        <v>043786</v>
      </c>
      <c r="O5121" t="s">
        <v>1340</v>
      </c>
      <c r="P5121" t="s">
        <v>68</v>
      </c>
      <c r="Q5121">
        <v>100</v>
      </c>
      <c r="R5121">
        <v>100</v>
      </c>
      <c r="S5121" t="s">
        <v>69</v>
      </c>
    </row>
    <row r="5122" spans="1:19" x14ac:dyDescent="0.35">
      <c r="A5122">
        <v>14920</v>
      </c>
      <c r="B5122" t="str">
        <f>"014920"</f>
        <v>014920</v>
      </c>
      <c r="C5122" t="s">
        <v>14058</v>
      </c>
      <c r="D5122" t="s">
        <v>3398</v>
      </c>
      <c r="E5122" t="s">
        <v>3395</v>
      </c>
      <c r="F5122" t="s">
        <v>3396</v>
      </c>
      <c r="G5122" t="s">
        <v>63</v>
      </c>
      <c r="H5122" t="s">
        <v>14059</v>
      </c>
      <c r="I5122" t="s">
        <v>14060</v>
      </c>
      <c r="J5122" t="s">
        <v>285</v>
      </c>
      <c r="K5122" t="s">
        <v>55</v>
      </c>
      <c r="L5122" t="s">
        <v>3561</v>
      </c>
      <c r="M5122" t="s">
        <v>57</v>
      </c>
      <c r="N5122" t="str">
        <f>"043786"</f>
        <v>043786</v>
      </c>
      <c r="O5122" t="s">
        <v>1340</v>
      </c>
      <c r="P5122" t="s">
        <v>68</v>
      </c>
      <c r="Q5122">
        <v>100</v>
      </c>
      <c r="R5122">
        <v>75.5</v>
      </c>
      <c r="S5122" t="s">
        <v>69</v>
      </c>
    </row>
    <row r="5123" spans="1:19" x14ac:dyDescent="0.35">
      <c r="A5123">
        <v>14943</v>
      </c>
      <c r="B5123" t="str">
        <f>"014943"</f>
        <v>014943</v>
      </c>
      <c r="C5123" t="s">
        <v>14061</v>
      </c>
      <c r="D5123" t="s">
        <v>3398</v>
      </c>
      <c r="E5123" t="s">
        <v>13608</v>
      </c>
      <c r="F5123" t="s">
        <v>3396</v>
      </c>
      <c r="G5123" t="s">
        <v>383</v>
      </c>
      <c r="H5123" t="s">
        <v>2075</v>
      </c>
      <c r="I5123" t="s">
        <v>2076</v>
      </c>
      <c r="J5123" t="s">
        <v>1069</v>
      </c>
      <c r="K5123" t="s">
        <v>55</v>
      </c>
      <c r="L5123" t="s">
        <v>1070</v>
      </c>
      <c r="M5123" t="s">
        <v>57</v>
      </c>
      <c r="N5123" t="str">
        <f>"014943"</f>
        <v>014943</v>
      </c>
      <c r="O5123" t="s">
        <v>14061</v>
      </c>
      <c r="P5123" t="s">
        <v>68</v>
      </c>
      <c r="Q5123">
        <v>52</v>
      </c>
      <c r="R5123">
        <v>13.700000000000003</v>
      </c>
      <c r="S5123" t="s">
        <v>77</v>
      </c>
    </row>
    <row r="5124" spans="1:19" x14ac:dyDescent="0.35">
      <c r="A5124">
        <v>14943</v>
      </c>
      <c r="B5124" t="str">
        <f>"014943"</f>
        <v>014943</v>
      </c>
      <c r="C5124" t="s">
        <v>14061</v>
      </c>
      <c r="D5124" t="s">
        <v>3929</v>
      </c>
      <c r="E5124" t="s">
        <v>13608</v>
      </c>
      <c r="F5124" t="s">
        <v>3396</v>
      </c>
      <c r="G5124" t="s">
        <v>383</v>
      </c>
      <c r="H5124" t="s">
        <v>2075</v>
      </c>
      <c r="I5124" t="s">
        <v>2076</v>
      </c>
      <c r="J5124" t="s">
        <v>1069</v>
      </c>
      <c r="K5124" t="s">
        <v>55</v>
      </c>
      <c r="L5124" t="s">
        <v>1070</v>
      </c>
      <c r="M5124" t="s">
        <v>57</v>
      </c>
      <c r="N5124" t="str">
        <f>"014943"</f>
        <v>014943</v>
      </c>
      <c r="O5124" t="s">
        <v>14061</v>
      </c>
      <c r="P5124" t="s">
        <v>68</v>
      </c>
      <c r="Q5124">
        <v>52</v>
      </c>
      <c r="R5124">
        <v>13.700000000000003</v>
      </c>
      <c r="S5124" t="s">
        <v>77</v>
      </c>
    </row>
    <row r="5125" spans="1:19" x14ac:dyDescent="0.35">
      <c r="A5125">
        <v>15038</v>
      </c>
      <c r="B5125" t="str">
        <f>"015038"</f>
        <v>015038</v>
      </c>
      <c r="C5125" t="s">
        <v>14062</v>
      </c>
      <c r="D5125" t="s">
        <v>3394</v>
      </c>
      <c r="E5125" t="s">
        <v>3395</v>
      </c>
      <c r="F5125" t="s">
        <v>3396</v>
      </c>
      <c r="G5125" t="s">
        <v>543</v>
      </c>
      <c r="H5125" t="s">
        <v>14063</v>
      </c>
      <c r="I5125" t="s">
        <v>14064</v>
      </c>
      <c r="J5125" t="s">
        <v>687</v>
      </c>
      <c r="K5125" t="s">
        <v>55</v>
      </c>
      <c r="L5125" t="s">
        <v>5155</v>
      </c>
      <c r="M5125" t="s">
        <v>57</v>
      </c>
      <c r="N5125" t="str">
        <f>"043844"</f>
        <v>043844</v>
      </c>
      <c r="O5125" t="s">
        <v>985</v>
      </c>
      <c r="P5125" t="s">
        <v>68</v>
      </c>
      <c r="Q5125" t="s">
        <v>68</v>
      </c>
      <c r="R5125" t="s">
        <v>68</v>
      </c>
      <c r="S5125" t="s">
        <v>180</v>
      </c>
    </row>
    <row r="5126" spans="1:19" x14ac:dyDescent="0.35">
      <c r="A5126">
        <v>15069</v>
      </c>
      <c r="B5126" t="str">
        <f>"015069"</f>
        <v>015069</v>
      </c>
      <c r="C5126" t="s">
        <v>14065</v>
      </c>
      <c r="D5126" t="s">
        <v>3394</v>
      </c>
      <c r="E5126" t="s">
        <v>3395</v>
      </c>
      <c r="F5126" t="s">
        <v>3396</v>
      </c>
      <c r="G5126" t="s">
        <v>423</v>
      </c>
      <c r="H5126" t="s">
        <v>14066</v>
      </c>
      <c r="I5126" t="s">
        <v>14067</v>
      </c>
      <c r="J5126" t="s">
        <v>1328</v>
      </c>
      <c r="K5126" t="s">
        <v>55</v>
      </c>
      <c r="L5126" t="s">
        <v>1329</v>
      </c>
      <c r="M5126" t="s">
        <v>57</v>
      </c>
      <c r="N5126" t="str">
        <f>"043729"</f>
        <v>043729</v>
      </c>
      <c r="O5126" t="s">
        <v>1485</v>
      </c>
      <c r="P5126" t="s">
        <v>68</v>
      </c>
      <c r="Q5126" t="s">
        <v>68</v>
      </c>
      <c r="R5126" t="s">
        <v>68</v>
      </c>
      <c r="S5126" t="s">
        <v>156</v>
      </c>
    </row>
    <row r="5127" spans="1:19" x14ac:dyDescent="0.35">
      <c r="A5127">
        <v>15086</v>
      </c>
      <c r="B5127" t="str">
        <f>"015086"</f>
        <v>015086</v>
      </c>
      <c r="C5127" t="s">
        <v>14068</v>
      </c>
      <c r="D5127" t="s">
        <v>3394</v>
      </c>
      <c r="E5127" t="s">
        <v>3395</v>
      </c>
      <c r="F5127" t="s">
        <v>3396</v>
      </c>
      <c r="G5127" t="s">
        <v>264</v>
      </c>
      <c r="H5127" t="s">
        <v>14069</v>
      </c>
      <c r="I5127" t="s">
        <v>14070</v>
      </c>
      <c r="J5127" t="s">
        <v>267</v>
      </c>
      <c r="K5127" t="s">
        <v>55</v>
      </c>
      <c r="L5127" t="s">
        <v>4206</v>
      </c>
      <c r="M5127" t="s">
        <v>57</v>
      </c>
      <c r="N5127" t="str">
        <f>"043489"</f>
        <v>043489</v>
      </c>
      <c r="O5127" t="s">
        <v>3176</v>
      </c>
      <c r="P5127" t="s">
        <v>68</v>
      </c>
      <c r="Q5127" t="s">
        <v>68</v>
      </c>
      <c r="R5127" t="s">
        <v>68</v>
      </c>
      <c r="S5127" t="s">
        <v>77</v>
      </c>
    </row>
    <row r="5128" spans="1:19" x14ac:dyDescent="0.35">
      <c r="A5128">
        <v>15105</v>
      </c>
      <c r="B5128" t="str">
        <f>"015105"</f>
        <v>015105</v>
      </c>
      <c r="C5128" t="s">
        <v>14071</v>
      </c>
      <c r="D5128" t="s">
        <v>3394</v>
      </c>
      <c r="E5128" t="s">
        <v>3395</v>
      </c>
      <c r="F5128" t="s">
        <v>3396</v>
      </c>
      <c r="G5128" t="s">
        <v>1099</v>
      </c>
      <c r="H5128" t="s">
        <v>14072</v>
      </c>
      <c r="I5128" t="s">
        <v>14073</v>
      </c>
      <c r="J5128" t="s">
        <v>14074</v>
      </c>
      <c r="K5128" t="s">
        <v>55</v>
      </c>
      <c r="L5128" t="s">
        <v>1103</v>
      </c>
      <c r="M5128" t="s">
        <v>57</v>
      </c>
      <c r="N5128" t="str">
        <f>"048777"</f>
        <v>048777</v>
      </c>
      <c r="O5128" t="s">
        <v>1766</v>
      </c>
      <c r="P5128" t="s">
        <v>68</v>
      </c>
      <c r="Q5128" t="s">
        <v>68</v>
      </c>
      <c r="R5128" t="s">
        <v>68</v>
      </c>
      <c r="S5128" t="s">
        <v>130</v>
      </c>
    </row>
    <row r="5129" spans="1:19" x14ac:dyDescent="0.35">
      <c r="A5129">
        <v>15137</v>
      </c>
      <c r="B5129" t="str">
        <f>"015137"</f>
        <v>015137</v>
      </c>
      <c r="C5129" t="s">
        <v>14075</v>
      </c>
      <c r="D5129" t="s">
        <v>3394</v>
      </c>
      <c r="E5129" t="s">
        <v>3395</v>
      </c>
      <c r="F5129" t="s">
        <v>3396</v>
      </c>
      <c r="G5129" t="s">
        <v>481</v>
      </c>
      <c r="H5129" t="s">
        <v>14076</v>
      </c>
      <c r="I5129" t="s">
        <v>14077</v>
      </c>
      <c r="J5129" t="s">
        <v>4970</v>
      </c>
      <c r="K5129" t="s">
        <v>55</v>
      </c>
      <c r="L5129" t="s">
        <v>1822</v>
      </c>
      <c r="M5129" t="s">
        <v>57</v>
      </c>
      <c r="N5129" t="str">
        <f>"045104"</f>
        <v>045104</v>
      </c>
      <c r="O5129" t="s">
        <v>771</v>
      </c>
      <c r="P5129" t="s">
        <v>68</v>
      </c>
      <c r="Q5129">
        <v>17.3</v>
      </c>
      <c r="R5129">
        <v>20.299999999999997</v>
      </c>
      <c r="S5129" t="s">
        <v>69</v>
      </c>
    </row>
    <row r="5130" spans="1:19" x14ac:dyDescent="0.35">
      <c r="A5130">
        <v>15137</v>
      </c>
      <c r="B5130" t="str">
        <f>"015137"</f>
        <v>015137</v>
      </c>
      <c r="C5130" t="s">
        <v>14075</v>
      </c>
      <c r="D5130" t="s">
        <v>3929</v>
      </c>
      <c r="E5130" t="s">
        <v>3395</v>
      </c>
      <c r="F5130" t="s">
        <v>3396</v>
      </c>
      <c r="G5130" t="s">
        <v>481</v>
      </c>
      <c r="H5130" t="s">
        <v>14076</v>
      </c>
      <c r="I5130" t="s">
        <v>14077</v>
      </c>
      <c r="J5130" t="s">
        <v>4970</v>
      </c>
      <c r="K5130" t="s">
        <v>55</v>
      </c>
      <c r="L5130" t="s">
        <v>1822</v>
      </c>
      <c r="M5130" t="s">
        <v>57</v>
      </c>
      <c r="N5130" t="str">
        <f>"045104"</f>
        <v>045104</v>
      </c>
      <c r="O5130" t="s">
        <v>771</v>
      </c>
      <c r="P5130" t="s">
        <v>68</v>
      </c>
      <c r="Q5130">
        <v>17.3</v>
      </c>
      <c r="R5130">
        <v>20.299999999999997</v>
      </c>
      <c r="S5130" t="s">
        <v>69</v>
      </c>
    </row>
    <row r="5131" spans="1:19" x14ac:dyDescent="0.35">
      <c r="A5131">
        <v>15142</v>
      </c>
      <c r="B5131" t="str">
        <f>"015142"</f>
        <v>015142</v>
      </c>
      <c r="C5131" t="s">
        <v>14078</v>
      </c>
      <c r="D5131" t="s">
        <v>3394</v>
      </c>
      <c r="E5131" t="s">
        <v>3395</v>
      </c>
      <c r="F5131" t="s">
        <v>3396</v>
      </c>
      <c r="G5131" t="s">
        <v>600</v>
      </c>
      <c r="H5131" t="s">
        <v>14079</v>
      </c>
      <c r="I5131" t="s">
        <v>14080</v>
      </c>
      <c r="J5131" t="s">
        <v>2339</v>
      </c>
      <c r="K5131" t="s">
        <v>55</v>
      </c>
      <c r="L5131" t="s">
        <v>2340</v>
      </c>
      <c r="M5131" t="s">
        <v>57</v>
      </c>
      <c r="N5131" t="str">
        <f>"046995"</f>
        <v>046995</v>
      </c>
      <c r="O5131" t="s">
        <v>2336</v>
      </c>
      <c r="P5131" t="s">
        <v>68</v>
      </c>
      <c r="Q5131">
        <v>11.3</v>
      </c>
      <c r="R5131">
        <v>38.700000000000003</v>
      </c>
      <c r="S5131" t="s">
        <v>60</v>
      </c>
    </row>
    <row r="5132" spans="1:19" x14ac:dyDescent="0.35">
      <c r="A5132">
        <v>15151</v>
      </c>
      <c r="B5132" t="str">
        <f>"015151"</f>
        <v>015151</v>
      </c>
      <c r="C5132" t="s">
        <v>14081</v>
      </c>
      <c r="D5132" t="s">
        <v>3400</v>
      </c>
      <c r="E5132" t="s">
        <v>3395</v>
      </c>
      <c r="F5132" t="s">
        <v>3396</v>
      </c>
      <c r="G5132" t="s">
        <v>257</v>
      </c>
      <c r="H5132" t="s">
        <v>9364</v>
      </c>
      <c r="I5132" t="s">
        <v>9365</v>
      </c>
      <c r="J5132" t="s">
        <v>9366</v>
      </c>
      <c r="K5132" t="s">
        <v>55</v>
      </c>
      <c r="L5132" t="s">
        <v>9367</v>
      </c>
      <c r="M5132" t="s">
        <v>57</v>
      </c>
      <c r="N5132" t="str">
        <f>"049577"</f>
        <v>049577</v>
      </c>
      <c r="O5132" t="s">
        <v>960</v>
      </c>
      <c r="P5132" t="s">
        <v>68</v>
      </c>
      <c r="Q5132">
        <v>26</v>
      </c>
      <c r="R5132">
        <v>13.200000000000003</v>
      </c>
      <c r="S5132" t="s">
        <v>156</v>
      </c>
    </row>
    <row r="5133" spans="1:19" x14ac:dyDescent="0.35">
      <c r="A5133">
        <v>15179</v>
      </c>
      <c r="B5133" t="str">
        <f>"015179"</f>
        <v>015179</v>
      </c>
      <c r="C5133" t="s">
        <v>14082</v>
      </c>
      <c r="D5133" t="s">
        <v>3400</v>
      </c>
      <c r="E5133" t="s">
        <v>9538</v>
      </c>
      <c r="F5133" t="s">
        <v>3396</v>
      </c>
      <c r="G5133" t="s">
        <v>63</v>
      </c>
      <c r="H5133" t="s">
        <v>14083</v>
      </c>
      <c r="I5133" t="s">
        <v>14084</v>
      </c>
      <c r="J5133" t="s">
        <v>285</v>
      </c>
      <c r="K5133" t="s">
        <v>55</v>
      </c>
      <c r="L5133" t="s">
        <v>3798</v>
      </c>
      <c r="M5133" t="s">
        <v>57</v>
      </c>
      <c r="N5133" t="str">
        <f>"015179"</f>
        <v>015179</v>
      </c>
      <c r="O5133" t="s">
        <v>14082</v>
      </c>
      <c r="P5133" t="s">
        <v>68</v>
      </c>
      <c r="Q5133" t="s">
        <v>68</v>
      </c>
      <c r="R5133" t="s">
        <v>68</v>
      </c>
      <c r="S5133" t="s">
        <v>69</v>
      </c>
    </row>
    <row r="5134" spans="1:19" x14ac:dyDescent="0.35">
      <c r="A5134">
        <v>15189</v>
      </c>
      <c r="B5134" t="str">
        <f>"015189"</f>
        <v>015189</v>
      </c>
      <c r="C5134" t="s">
        <v>14085</v>
      </c>
      <c r="D5134" t="s">
        <v>3394</v>
      </c>
      <c r="E5134" t="s">
        <v>3395</v>
      </c>
      <c r="F5134" t="s">
        <v>3396</v>
      </c>
      <c r="G5134" t="s">
        <v>642</v>
      </c>
      <c r="H5134" t="s">
        <v>14086</v>
      </c>
      <c r="I5134" t="s">
        <v>14087</v>
      </c>
      <c r="J5134" t="s">
        <v>2447</v>
      </c>
      <c r="K5134" t="s">
        <v>55</v>
      </c>
      <c r="L5134" t="s">
        <v>688</v>
      </c>
      <c r="M5134" t="s">
        <v>57</v>
      </c>
      <c r="N5134" t="str">
        <f>"047241"</f>
        <v>047241</v>
      </c>
      <c r="O5134" t="s">
        <v>2444</v>
      </c>
      <c r="P5134" t="s">
        <v>68</v>
      </c>
      <c r="Q5134" t="s">
        <v>68</v>
      </c>
      <c r="R5134" t="s">
        <v>68</v>
      </c>
      <c r="S5134" t="s">
        <v>180</v>
      </c>
    </row>
    <row r="5135" spans="1:19" x14ac:dyDescent="0.35">
      <c r="A5135">
        <v>15195</v>
      </c>
      <c r="B5135" t="str">
        <f>"015195"</f>
        <v>015195</v>
      </c>
      <c r="C5135" t="s">
        <v>14088</v>
      </c>
      <c r="D5135" t="s">
        <v>3394</v>
      </c>
      <c r="E5135" t="s">
        <v>3395</v>
      </c>
      <c r="F5135" t="s">
        <v>3396</v>
      </c>
      <c r="G5135" t="s">
        <v>200</v>
      </c>
      <c r="H5135" t="s">
        <v>14089</v>
      </c>
      <c r="I5135" t="s">
        <v>14090</v>
      </c>
      <c r="J5135" t="s">
        <v>304</v>
      </c>
      <c r="K5135" t="s">
        <v>55</v>
      </c>
      <c r="L5135" t="s">
        <v>6329</v>
      </c>
      <c r="M5135" t="s">
        <v>57</v>
      </c>
      <c r="N5135" t="str">
        <f>"044909"</f>
        <v>044909</v>
      </c>
      <c r="O5135" t="s">
        <v>3318</v>
      </c>
      <c r="P5135" t="s">
        <v>68</v>
      </c>
      <c r="Q5135" t="s">
        <v>68</v>
      </c>
      <c r="R5135" t="s">
        <v>68</v>
      </c>
      <c r="S5135" t="s">
        <v>156</v>
      </c>
    </row>
    <row r="5136" spans="1:19" x14ac:dyDescent="0.35">
      <c r="A5136">
        <v>15196</v>
      </c>
      <c r="B5136" t="str">
        <f>"015196"</f>
        <v>015196</v>
      </c>
      <c r="C5136" t="s">
        <v>264</v>
      </c>
      <c r="D5136" t="s">
        <v>3394</v>
      </c>
      <c r="E5136" t="s">
        <v>3395</v>
      </c>
      <c r="F5136" t="s">
        <v>3396</v>
      </c>
      <c r="G5136" t="s">
        <v>200</v>
      </c>
      <c r="H5136" t="s">
        <v>14091</v>
      </c>
      <c r="I5136" t="s">
        <v>14092</v>
      </c>
      <c r="J5136" t="s">
        <v>304</v>
      </c>
      <c r="K5136" t="s">
        <v>55</v>
      </c>
      <c r="L5136" t="s">
        <v>3170</v>
      </c>
      <c r="M5136" t="s">
        <v>57</v>
      </c>
      <c r="N5136" t="str">
        <f>"044909"</f>
        <v>044909</v>
      </c>
      <c r="O5136" t="s">
        <v>3318</v>
      </c>
      <c r="P5136" t="s">
        <v>68</v>
      </c>
      <c r="Q5136" t="s">
        <v>68</v>
      </c>
      <c r="R5136" t="s">
        <v>68</v>
      </c>
      <c r="S5136" t="s">
        <v>156</v>
      </c>
    </row>
    <row r="5137" spans="1:19" x14ac:dyDescent="0.35">
      <c r="A5137">
        <v>15221</v>
      </c>
      <c r="B5137" t="str">
        <f>"015221"</f>
        <v>015221</v>
      </c>
      <c r="C5137" t="s">
        <v>14093</v>
      </c>
      <c r="D5137" t="s">
        <v>3394</v>
      </c>
      <c r="E5137" t="s">
        <v>3395</v>
      </c>
      <c r="F5137" t="s">
        <v>3396</v>
      </c>
      <c r="G5137" t="s">
        <v>1296</v>
      </c>
      <c r="H5137" t="s">
        <v>14094</v>
      </c>
      <c r="I5137" t="s">
        <v>14095</v>
      </c>
      <c r="J5137" t="s">
        <v>1299</v>
      </c>
      <c r="K5137" t="s">
        <v>55</v>
      </c>
      <c r="L5137" t="s">
        <v>1300</v>
      </c>
      <c r="M5137" t="s">
        <v>57</v>
      </c>
      <c r="N5137" t="str">
        <f>"044891"</f>
        <v>044891</v>
      </c>
      <c r="O5137" t="s">
        <v>3295</v>
      </c>
      <c r="P5137" t="s">
        <v>68</v>
      </c>
      <c r="Q5137" t="s">
        <v>68</v>
      </c>
      <c r="R5137" t="s">
        <v>68</v>
      </c>
      <c r="S5137" t="s">
        <v>156</v>
      </c>
    </row>
    <row r="5138" spans="1:19" x14ac:dyDescent="0.35">
      <c r="A5138">
        <v>15331</v>
      </c>
      <c r="B5138" t="str">
        <f>"015331"</f>
        <v>015331</v>
      </c>
      <c r="C5138" t="s">
        <v>14096</v>
      </c>
      <c r="D5138" t="s">
        <v>3394</v>
      </c>
      <c r="E5138" t="s">
        <v>9538</v>
      </c>
      <c r="F5138" t="s">
        <v>3396</v>
      </c>
      <c r="G5138" t="s">
        <v>219</v>
      </c>
      <c r="H5138" t="s">
        <v>14097</v>
      </c>
      <c r="I5138" t="s">
        <v>14098</v>
      </c>
      <c r="J5138" t="s">
        <v>222</v>
      </c>
      <c r="K5138" t="s">
        <v>55</v>
      </c>
      <c r="L5138" t="s">
        <v>223</v>
      </c>
      <c r="M5138" t="s">
        <v>57</v>
      </c>
      <c r="N5138" t="str">
        <f>"015331"</f>
        <v>015331</v>
      </c>
      <c r="O5138" t="s">
        <v>14096</v>
      </c>
      <c r="P5138" t="s">
        <v>68</v>
      </c>
      <c r="Q5138" t="s">
        <v>68</v>
      </c>
      <c r="R5138" t="s">
        <v>68</v>
      </c>
      <c r="S5138" t="s">
        <v>130</v>
      </c>
    </row>
    <row r="5139" spans="1:19" x14ac:dyDescent="0.35">
      <c r="A5139">
        <v>15331</v>
      </c>
      <c r="B5139" t="str">
        <f>"015331"</f>
        <v>015331</v>
      </c>
      <c r="C5139" t="s">
        <v>14096</v>
      </c>
      <c r="D5139" t="s">
        <v>9541</v>
      </c>
      <c r="E5139" t="s">
        <v>9538</v>
      </c>
      <c r="F5139" t="s">
        <v>3396</v>
      </c>
      <c r="G5139" t="s">
        <v>219</v>
      </c>
      <c r="H5139" t="s">
        <v>14097</v>
      </c>
      <c r="I5139" t="s">
        <v>14098</v>
      </c>
      <c r="J5139" t="s">
        <v>222</v>
      </c>
      <c r="K5139" t="s">
        <v>55</v>
      </c>
      <c r="L5139" t="s">
        <v>223</v>
      </c>
      <c r="M5139" t="s">
        <v>57</v>
      </c>
      <c r="N5139" t="str">
        <f>"015331"</f>
        <v>015331</v>
      </c>
      <c r="O5139" t="s">
        <v>14096</v>
      </c>
      <c r="P5139" t="s">
        <v>68</v>
      </c>
      <c r="Q5139" t="s">
        <v>68</v>
      </c>
      <c r="R5139" t="s">
        <v>68</v>
      </c>
      <c r="S5139" t="s">
        <v>130</v>
      </c>
    </row>
    <row r="5140" spans="1:19" x14ac:dyDescent="0.35">
      <c r="A5140">
        <v>15234</v>
      </c>
      <c r="B5140" t="str">
        <f>"015234"</f>
        <v>015234</v>
      </c>
      <c r="C5140" t="s">
        <v>14099</v>
      </c>
      <c r="D5140" t="s">
        <v>3394</v>
      </c>
      <c r="E5140" t="s">
        <v>12048</v>
      </c>
      <c r="F5140" t="s">
        <v>3396</v>
      </c>
      <c r="G5140" t="s">
        <v>600</v>
      </c>
      <c r="H5140" t="s">
        <v>14100</v>
      </c>
      <c r="I5140" t="s">
        <v>14101</v>
      </c>
      <c r="J5140" t="s">
        <v>1348</v>
      </c>
      <c r="K5140" t="s">
        <v>55</v>
      </c>
      <c r="L5140" t="s">
        <v>3854</v>
      </c>
      <c r="M5140" t="s">
        <v>57</v>
      </c>
      <c r="N5140" t="str">
        <f>"015667"</f>
        <v>015667</v>
      </c>
      <c r="O5140" t="s">
        <v>13062</v>
      </c>
      <c r="P5140" t="s">
        <v>68</v>
      </c>
      <c r="Q5140">
        <v>100</v>
      </c>
      <c r="R5140">
        <v>100</v>
      </c>
      <c r="S5140" t="s">
        <v>60</v>
      </c>
    </row>
    <row r="5141" spans="1:19" x14ac:dyDescent="0.35">
      <c r="A5141">
        <v>15234</v>
      </c>
      <c r="B5141" t="str">
        <f>"015234"</f>
        <v>015234</v>
      </c>
      <c r="C5141" t="s">
        <v>14099</v>
      </c>
      <c r="D5141" t="s">
        <v>12052</v>
      </c>
      <c r="E5141" t="s">
        <v>12048</v>
      </c>
      <c r="F5141" t="s">
        <v>3396</v>
      </c>
      <c r="G5141" t="s">
        <v>600</v>
      </c>
      <c r="H5141" t="s">
        <v>14100</v>
      </c>
      <c r="I5141" t="s">
        <v>14101</v>
      </c>
      <c r="J5141" t="s">
        <v>1348</v>
      </c>
      <c r="K5141" t="s">
        <v>55</v>
      </c>
      <c r="L5141" t="s">
        <v>3854</v>
      </c>
      <c r="M5141" t="s">
        <v>57</v>
      </c>
      <c r="N5141" t="str">
        <f>"015667"</f>
        <v>015667</v>
      </c>
      <c r="O5141" t="s">
        <v>13062</v>
      </c>
      <c r="P5141" t="s">
        <v>68</v>
      </c>
      <c r="Q5141">
        <v>100</v>
      </c>
      <c r="R5141">
        <v>100</v>
      </c>
      <c r="S5141" t="s">
        <v>60</v>
      </c>
    </row>
    <row r="5142" spans="1:19" x14ac:dyDescent="0.35">
      <c r="A5142">
        <v>15237</v>
      </c>
      <c r="B5142" t="str">
        <f>"015237"</f>
        <v>015237</v>
      </c>
      <c r="C5142" t="s">
        <v>14102</v>
      </c>
      <c r="D5142" t="s">
        <v>3398</v>
      </c>
      <c r="E5142" t="s">
        <v>12048</v>
      </c>
      <c r="F5142" t="s">
        <v>3396</v>
      </c>
      <c r="G5142" t="s">
        <v>600</v>
      </c>
      <c r="H5142" t="s">
        <v>14103</v>
      </c>
      <c r="I5142" t="s">
        <v>14104</v>
      </c>
      <c r="J5142" t="s">
        <v>1348</v>
      </c>
      <c r="K5142" t="s">
        <v>55</v>
      </c>
      <c r="L5142" t="s">
        <v>1516</v>
      </c>
      <c r="M5142" t="s">
        <v>57</v>
      </c>
      <c r="N5142" t="str">
        <f>"016462"</f>
        <v>016462</v>
      </c>
      <c r="O5142" t="s">
        <v>14105</v>
      </c>
      <c r="P5142" t="s">
        <v>68</v>
      </c>
      <c r="Q5142">
        <v>100</v>
      </c>
      <c r="R5142">
        <v>56.9</v>
      </c>
      <c r="S5142" t="s">
        <v>60</v>
      </c>
    </row>
    <row r="5143" spans="1:19" x14ac:dyDescent="0.35">
      <c r="A5143">
        <v>15237</v>
      </c>
      <c r="B5143" t="str">
        <f>"015237"</f>
        <v>015237</v>
      </c>
      <c r="C5143" t="s">
        <v>14102</v>
      </c>
      <c r="D5143" t="s">
        <v>12052</v>
      </c>
      <c r="E5143" t="s">
        <v>12048</v>
      </c>
      <c r="F5143" t="s">
        <v>3396</v>
      </c>
      <c r="G5143" t="s">
        <v>600</v>
      </c>
      <c r="H5143" t="s">
        <v>14103</v>
      </c>
      <c r="I5143" t="s">
        <v>14104</v>
      </c>
      <c r="J5143" t="s">
        <v>1348</v>
      </c>
      <c r="K5143" t="s">
        <v>55</v>
      </c>
      <c r="L5143" t="s">
        <v>1516</v>
      </c>
      <c r="M5143" t="s">
        <v>57</v>
      </c>
      <c r="N5143" t="str">
        <f>"016462"</f>
        <v>016462</v>
      </c>
      <c r="O5143" t="s">
        <v>14105</v>
      </c>
      <c r="P5143" t="s">
        <v>68</v>
      </c>
      <c r="Q5143">
        <v>100</v>
      </c>
      <c r="R5143">
        <v>56.9</v>
      </c>
      <c r="S5143" t="s">
        <v>60</v>
      </c>
    </row>
    <row r="5144" spans="1:19" x14ac:dyDescent="0.35">
      <c r="A5144">
        <v>15237</v>
      </c>
      <c r="B5144" t="str">
        <f>"015237"</f>
        <v>015237</v>
      </c>
      <c r="C5144" t="s">
        <v>14102</v>
      </c>
      <c r="D5144" t="s">
        <v>12063</v>
      </c>
      <c r="E5144" t="s">
        <v>12048</v>
      </c>
      <c r="F5144" t="s">
        <v>3396</v>
      </c>
      <c r="G5144" t="s">
        <v>600</v>
      </c>
      <c r="H5144" t="s">
        <v>14103</v>
      </c>
      <c r="I5144" t="s">
        <v>14104</v>
      </c>
      <c r="J5144" t="s">
        <v>1348</v>
      </c>
      <c r="K5144" t="s">
        <v>55</v>
      </c>
      <c r="L5144" t="s">
        <v>1516</v>
      </c>
      <c r="M5144" t="s">
        <v>57</v>
      </c>
      <c r="N5144" t="str">
        <f>"016462"</f>
        <v>016462</v>
      </c>
      <c r="O5144" t="s">
        <v>14105</v>
      </c>
      <c r="P5144" t="s">
        <v>68</v>
      </c>
      <c r="Q5144">
        <v>100</v>
      </c>
      <c r="R5144">
        <v>56.9</v>
      </c>
      <c r="S5144" t="s">
        <v>60</v>
      </c>
    </row>
    <row r="5145" spans="1:19" x14ac:dyDescent="0.35">
      <c r="A5145">
        <v>15237</v>
      </c>
      <c r="B5145" t="str">
        <f>"015237"</f>
        <v>015237</v>
      </c>
      <c r="C5145" t="s">
        <v>14102</v>
      </c>
      <c r="D5145" t="s">
        <v>12677</v>
      </c>
      <c r="E5145" t="s">
        <v>12048</v>
      </c>
      <c r="F5145" t="s">
        <v>3396</v>
      </c>
      <c r="G5145" t="s">
        <v>600</v>
      </c>
      <c r="H5145" t="s">
        <v>14103</v>
      </c>
      <c r="I5145" t="s">
        <v>14104</v>
      </c>
      <c r="J5145" t="s">
        <v>1348</v>
      </c>
      <c r="K5145" t="s">
        <v>55</v>
      </c>
      <c r="L5145" t="s">
        <v>1516</v>
      </c>
      <c r="M5145" t="s">
        <v>57</v>
      </c>
      <c r="N5145" t="str">
        <f>"016462"</f>
        <v>016462</v>
      </c>
      <c r="O5145" t="s">
        <v>14105</v>
      </c>
      <c r="P5145" t="s">
        <v>68</v>
      </c>
      <c r="Q5145">
        <v>100</v>
      </c>
      <c r="R5145">
        <v>56.9</v>
      </c>
      <c r="S5145" t="s">
        <v>60</v>
      </c>
    </row>
    <row r="5146" spans="1:19" x14ac:dyDescent="0.35">
      <c r="A5146">
        <v>15261</v>
      </c>
      <c r="B5146" t="str">
        <f>"015261"</f>
        <v>015261</v>
      </c>
      <c r="C5146" t="s">
        <v>14106</v>
      </c>
      <c r="D5146" t="s">
        <v>3400</v>
      </c>
      <c r="E5146" t="s">
        <v>12048</v>
      </c>
      <c r="F5146" t="s">
        <v>3396</v>
      </c>
      <c r="G5146" t="s">
        <v>63</v>
      </c>
      <c r="H5146" t="s">
        <v>14107</v>
      </c>
      <c r="I5146" t="s">
        <v>14108</v>
      </c>
      <c r="J5146" t="s">
        <v>285</v>
      </c>
      <c r="K5146" t="s">
        <v>55</v>
      </c>
      <c r="L5146" t="s">
        <v>1711</v>
      </c>
      <c r="M5146" t="s">
        <v>57</v>
      </c>
      <c r="N5146" t="str">
        <f>"015013"</f>
        <v>015013</v>
      </c>
      <c r="O5146" t="s">
        <v>13546</v>
      </c>
      <c r="P5146" t="s">
        <v>68</v>
      </c>
      <c r="Q5146">
        <v>100</v>
      </c>
      <c r="R5146">
        <v>100</v>
      </c>
      <c r="S5146" t="s">
        <v>69</v>
      </c>
    </row>
    <row r="5147" spans="1:19" x14ac:dyDescent="0.35">
      <c r="A5147">
        <v>15261</v>
      </c>
      <c r="B5147" t="str">
        <f>"015261"</f>
        <v>015261</v>
      </c>
      <c r="C5147" t="s">
        <v>14106</v>
      </c>
      <c r="D5147" t="s">
        <v>12052</v>
      </c>
      <c r="E5147" t="s">
        <v>12048</v>
      </c>
      <c r="F5147" t="s">
        <v>3396</v>
      </c>
      <c r="G5147" t="s">
        <v>63</v>
      </c>
      <c r="H5147" t="s">
        <v>14107</v>
      </c>
      <c r="I5147" t="s">
        <v>14108</v>
      </c>
      <c r="J5147" t="s">
        <v>285</v>
      </c>
      <c r="K5147" t="s">
        <v>55</v>
      </c>
      <c r="L5147" t="s">
        <v>1711</v>
      </c>
      <c r="M5147" t="s">
        <v>57</v>
      </c>
      <c r="N5147" t="str">
        <f>"015013"</f>
        <v>015013</v>
      </c>
      <c r="O5147" t="s">
        <v>13546</v>
      </c>
      <c r="P5147" t="s">
        <v>68</v>
      </c>
      <c r="Q5147">
        <v>100</v>
      </c>
      <c r="R5147">
        <v>100</v>
      </c>
      <c r="S5147" t="s">
        <v>69</v>
      </c>
    </row>
    <row r="5148" spans="1:19" x14ac:dyDescent="0.35">
      <c r="A5148">
        <v>15261</v>
      </c>
      <c r="B5148" t="str">
        <f>"015261"</f>
        <v>015261</v>
      </c>
      <c r="C5148" t="s">
        <v>14106</v>
      </c>
      <c r="D5148" t="s">
        <v>12126</v>
      </c>
      <c r="E5148" t="s">
        <v>12048</v>
      </c>
      <c r="F5148" t="s">
        <v>3396</v>
      </c>
      <c r="G5148" t="s">
        <v>63</v>
      </c>
      <c r="H5148" t="s">
        <v>14107</v>
      </c>
      <c r="I5148" t="s">
        <v>14108</v>
      </c>
      <c r="J5148" t="s">
        <v>285</v>
      </c>
      <c r="K5148" t="s">
        <v>55</v>
      </c>
      <c r="L5148" t="s">
        <v>1711</v>
      </c>
      <c r="M5148" t="s">
        <v>57</v>
      </c>
      <c r="N5148" t="str">
        <f>"015013"</f>
        <v>015013</v>
      </c>
      <c r="O5148" t="s">
        <v>13546</v>
      </c>
      <c r="P5148" t="s">
        <v>68</v>
      </c>
      <c r="Q5148">
        <v>100</v>
      </c>
      <c r="R5148">
        <v>100</v>
      </c>
      <c r="S5148" t="s">
        <v>69</v>
      </c>
    </row>
    <row r="5149" spans="1:19" x14ac:dyDescent="0.35">
      <c r="A5149">
        <v>15327</v>
      </c>
      <c r="B5149" t="str">
        <f>"015327"</f>
        <v>015327</v>
      </c>
      <c r="C5149" t="s">
        <v>14109</v>
      </c>
      <c r="D5149" t="s">
        <v>3394</v>
      </c>
      <c r="E5149" t="s">
        <v>3395</v>
      </c>
      <c r="F5149" t="s">
        <v>3396</v>
      </c>
      <c r="G5149" t="s">
        <v>511</v>
      </c>
      <c r="H5149" t="s">
        <v>637</v>
      </c>
      <c r="I5149" t="s">
        <v>638</v>
      </c>
      <c r="J5149" t="s">
        <v>639</v>
      </c>
      <c r="K5149" t="s">
        <v>55</v>
      </c>
      <c r="L5149" t="s">
        <v>640</v>
      </c>
      <c r="M5149" t="s">
        <v>57</v>
      </c>
      <c r="N5149" t="str">
        <f>"047167"</f>
        <v>047167</v>
      </c>
      <c r="O5149" t="s">
        <v>636</v>
      </c>
      <c r="P5149" t="s">
        <v>68</v>
      </c>
      <c r="Q5149">
        <v>19.3</v>
      </c>
      <c r="R5149">
        <v>6.5999999999999943</v>
      </c>
      <c r="S5149" t="s">
        <v>69</v>
      </c>
    </row>
    <row r="5150" spans="1:19" x14ac:dyDescent="0.35">
      <c r="A5150">
        <v>15327</v>
      </c>
      <c r="B5150" t="str">
        <f>"015327"</f>
        <v>015327</v>
      </c>
      <c r="C5150" t="s">
        <v>14109</v>
      </c>
      <c r="D5150" t="s">
        <v>2188</v>
      </c>
      <c r="E5150" t="s">
        <v>3395</v>
      </c>
      <c r="F5150" t="s">
        <v>3396</v>
      </c>
      <c r="G5150" t="s">
        <v>511</v>
      </c>
      <c r="H5150" t="s">
        <v>637</v>
      </c>
      <c r="I5150" t="s">
        <v>638</v>
      </c>
      <c r="J5150" t="s">
        <v>639</v>
      </c>
      <c r="K5150" t="s">
        <v>55</v>
      </c>
      <c r="L5150" t="s">
        <v>640</v>
      </c>
      <c r="M5150" t="s">
        <v>57</v>
      </c>
      <c r="N5150" t="str">
        <f>"047167"</f>
        <v>047167</v>
      </c>
      <c r="O5150" t="s">
        <v>636</v>
      </c>
      <c r="P5150" t="s">
        <v>68</v>
      </c>
      <c r="Q5150">
        <v>19.3</v>
      </c>
      <c r="R5150">
        <v>6.5999999999999943</v>
      </c>
      <c r="S5150" t="s">
        <v>69</v>
      </c>
    </row>
    <row r="5151" spans="1:19" x14ac:dyDescent="0.35">
      <c r="A5151">
        <v>15327</v>
      </c>
      <c r="B5151" t="str">
        <f>"015327"</f>
        <v>015327</v>
      </c>
      <c r="C5151" t="s">
        <v>14109</v>
      </c>
      <c r="D5151" t="s">
        <v>4572</v>
      </c>
      <c r="E5151" t="s">
        <v>3395</v>
      </c>
      <c r="F5151" t="s">
        <v>3396</v>
      </c>
      <c r="G5151" t="s">
        <v>511</v>
      </c>
      <c r="H5151" t="s">
        <v>637</v>
      </c>
      <c r="I5151" t="s">
        <v>638</v>
      </c>
      <c r="J5151" t="s">
        <v>639</v>
      </c>
      <c r="K5151" t="s">
        <v>55</v>
      </c>
      <c r="L5151" t="s">
        <v>640</v>
      </c>
      <c r="M5151" t="s">
        <v>57</v>
      </c>
      <c r="N5151" t="str">
        <f>"047167"</f>
        <v>047167</v>
      </c>
      <c r="O5151" t="s">
        <v>636</v>
      </c>
      <c r="P5151" t="s">
        <v>68</v>
      </c>
      <c r="Q5151">
        <v>19.3</v>
      </c>
      <c r="R5151">
        <v>6.5999999999999943</v>
      </c>
      <c r="S5151" t="s">
        <v>69</v>
      </c>
    </row>
    <row r="5152" spans="1:19" x14ac:dyDescent="0.35">
      <c r="A5152">
        <v>15329</v>
      </c>
      <c r="B5152" t="str">
        <f>"015329"</f>
        <v>015329</v>
      </c>
      <c r="C5152" t="s">
        <v>14110</v>
      </c>
      <c r="D5152" t="s">
        <v>3398</v>
      </c>
      <c r="E5152" t="s">
        <v>13608</v>
      </c>
      <c r="F5152" t="s">
        <v>3396</v>
      </c>
      <c r="G5152" t="s">
        <v>481</v>
      </c>
      <c r="H5152" t="s">
        <v>14111</v>
      </c>
      <c r="I5152" t="s">
        <v>14112</v>
      </c>
      <c r="J5152" t="s">
        <v>876</v>
      </c>
      <c r="K5152" t="s">
        <v>55</v>
      </c>
      <c r="L5152" t="s">
        <v>819</v>
      </c>
      <c r="M5152" t="s">
        <v>57</v>
      </c>
      <c r="N5152" t="str">
        <f>"015329"</f>
        <v>015329</v>
      </c>
      <c r="O5152" t="s">
        <v>14110</v>
      </c>
      <c r="P5152" t="s">
        <v>68</v>
      </c>
      <c r="Q5152">
        <v>16</v>
      </c>
      <c r="R5152">
        <v>15.400000000000006</v>
      </c>
      <c r="S5152" t="s">
        <v>69</v>
      </c>
    </row>
    <row r="5153" spans="1:19" x14ac:dyDescent="0.35">
      <c r="A5153">
        <v>15329</v>
      </c>
      <c r="B5153" t="str">
        <f>"015329"</f>
        <v>015329</v>
      </c>
      <c r="C5153" t="s">
        <v>14110</v>
      </c>
      <c r="D5153" t="s">
        <v>3929</v>
      </c>
      <c r="E5153" t="s">
        <v>13608</v>
      </c>
      <c r="F5153" t="s">
        <v>3396</v>
      </c>
      <c r="G5153" t="s">
        <v>481</v>
      </c>
      <c r="H5153" t="s">
        <v>14111</v>
      </c>
      <c r="I5153" t="s">
        <v>14112</v>
      </c>
      <c r="J5153" t="s">
        <v>876</v>
      </c>
      <c r="K5153" t="s">
        <v>55</v>
      </c>
      <c r="L5153" t="s">
        <v>819</v>
      </c>
      <c r="M5153" t="s">
        <v>57</v>
      </c>
      <c r="N5153" t="str">
        <f>"015329"</f>
        <v>015329</v>
      </c>
      <c r="O5153" t="s">
        <v>14110</v>
      </c>
      <c r="P5153" t="s">
        <v>68</v>
      </c>
      <c r="Q5153">
        <v>16</v>
      </c>
      <c r="R5153">
        <v>15.400000000000006</v>
      </c>
      <c r="S5153" t="s">
        <v>69</v>
      </c>
    </row>
    <row r="5154" spans="1:19" x14ac:dyDescent="0.35">
      <c r="A5154">
        <v>15344</v>
      </c>
      <c r="B5154" t="str">
        <f>"015344"</f>
        <v>015344</v>
      </c>
      <c r="C5154" t="s">
        <v>14113</v>
      </c>
      <c r="D5154" t="s">
        <v>3398</v>
      </c>
      <c r="E5154" t="s">
        <v>13608</v>
      </c>
      <c r="F5154" t="s">
        <v>3396</v>
      </c>
      <c r="G5154" t="s">
        <v>1335</v>
      </c>
      <c r="H5154" t="s">
        <v>14114</v>
      </c>
      <c r="I5154" t="s">
        <v>14115</v>
      </c>
      <c r="J5154" t="s">
        <v>2859</v>
      </c>
      <c r="K5154" t="s">
        <v>55</v>
      </c>
      <c r="L5154" t="s">
        <v>2860</v>
      </c>
      <c r="M5154" t="s">
        <v>57</v>
      </c>
      <c r="N5154" t="str">
        <f>"015344"</f>
        <v>015344</v>
      </c>
      <c r="O5154" t="s">
        <v>14113</v>
      </c>
      <c r="P5154" t="s">
        <v>68</v>
      </c>
      <c r="Q5154">
        <v>40</v>
      </c>
      <c r="R5154">
        <v>1.4000000000000057</v>
      </c>
      <c r="S5154" t="s">
        <v>130</v>
      </c>
    </row>
    <row r="5155" spans="1:19" x14ac:dyDescent="0.35">
      <c r="A5155">
        <v>15344</v>
      </c>
      <c r="B5155" t="str">
        <f>"015344"</f>
        <v>015344</v>
      </c>
      <c r="C5155" t="s">
        <v>14113</v>
      </c>
      <c r="D5155" t="s">
        <v>3929</v>
      </c>
      <c r="E5155" t="s">
        <v>13608</v>
      </c>
      <c r="F5155" t="s">
        <v>3396</v>
      </c>
      <c r="G5155" t="s">
        <v>1335</v>
      </c>
      <c r="H5155" t="s">
        <v>14114</v>
      </c>
      <c r="I5155" t="s">
        <v>14115</v>
      </c>
      <c r="J5155" t="s">
        <v>2859</v>
      </c>
      <c r="K5155" t="s">
        <v>55</v>
      </c>
      <c r="L5155" t="s">
        <v>2860</v>
      </c>
      <c r="M5155" t="s">
        <v>57</v>
      </c>
      <c r="N5155" t="str">
        <f>"015344"</f>
        <v>015344</v>
      </c>
      <c r="O5155" t="s">
        <v>14113</v>
      </c>
      <c r="P5155" t="s">
        <v>68</v>
      </c>
      <c r="Q5155">
        <v>40</v>
      </c>
      <c r="R5155">
        <v>1.4000000000000057</v>
      </c>
      <c r="S5155" t="s">
        <v>130</v>
      </c>
    </row>
    <row r="5156" spans="1:19" x14ac:dyDescent="0.35">
      <c r="A5156">
        <v>15489</v>
      </c>
      <c r="B5156" t="str">
        <f>"015489"</f>
        <v>015489</v>
      </c>
      <c r="C5156" t="s">
        <v>14116</v>
      </c>
      <c r="D5156" t="s">
        <v>3394</v>
      </c>
      <c r="E5156" t="s">
        <v>9538</v>
      </c>
      <c r="F5156" t="s">
        <v>3396</v>
      </c>
      <c r="G5156" t="s">
        <v>117</v>
      </c>
      <c r="H5156" t="s">
        <v>14117</v>
      </c>
      <c r="I5156" t="s">
        <v>14118</v>
      </c>
      <c r="J5156" t="s">
        <v>1409</v>
      </c>
      <c r="K5156" t="s">
        <v>55</v>
      </c>
      <c r="L5156" t="s">
        <v>1410</v>
      </c>
      <c r="M5156" t="s">
        <v>57</v>
      </c>
      <c r="N5156" t="str">
        <f>"015489"</f>
        <v>015489</v>
      </c>
      <c r="O5156" t="s">
        <v>14116</v>
      </c>
      <c r="P5156" t="s">
        <v>68</v>
      </c>
      <c r="Q5156" t="s">
        <v>68</v>
      </c>
      <c r="R5156" t="s">
        <v>68</v>
      </c>
      <c r="S5156" t="s">
        <v>77</v>
      </c>
    </row>
    <row r="5157" spans="1:19" x14ac:dyDescent="0.35">
      <c r="A5157">
        <v>15489</v>
      </c>
      <c r="B5157" t="str">
        <f>"015489"</f>
        <v>015489</v>
      </c>
      <c r="C5157" t="s">
        <v>14116</v>
      </c>
      <c r="D5157" t="s">
        <v>9541</v>
      </c>
      <c r="E5157" t="s">
        <v>9538</v>
      </c>
      <c r="F5157" t="s">
        <v>3396</v>
      </c>
      <c r="G5157" t="s">
        <v>117</v>
      </c>
      <c r="H5157" t="s">
        <v>14117</v>
      </c>
      <c r="I5157" t="s">
        <v>14118</v>
      </c>
      <c r="J5157" t="s">
        <v>1409</v>
      </c>
      <c r="K5157" t="s">
        <v>55</v>
      </c>
      <c r="L5157" t="s">
        <v>1410</v>
      </c>
      <c r="M5157" t="s">
        <v>57</v>
      </c>
      <c r="N5157" t="str">
        <f>"015489"</f>
        <v>015489</v>
      </c>
      <c r="O5157" t="s">
        <v>14116</v>
      </c>
      <c r="P5157" t="s">
        <v>68</v>
      </c>
      <c r="Q5157" t="s">
        <v>68</v>
      </c>
      <c r="R5157" t="s">
        <v>68</v>
      </c>
      <c r="S5157" t="s">
        <v>77</v>
      </c>
    </row>
    <row r="5158" spans="1:19" x14ac:dyDescent="0.35">
      <c r="A5158">
        <v>15521</v>
      </c>
      <c r="B5158" t="str">
        <f>"015521"</f>
        <v>015521</v>
      </c>
      <c r="C5158" t="s">
        <v>14119</v>
      </c>
      <c r="D5158" t="s">
        <v>3398</v>
      </c>
      <c r="E5158" t="s">
        <v>9538</v>
      </c>
      <c r="F5158" t="s">
        <v>3396</v>
      </c>
      <c r="G5158" t="s">
        <v>543</v>
      </c>
      <c r="H5158" t="s">
        <v>14120</v>
      </c>
      <c r="I5158" t="s">
        <v>14121</v>
      </c>
      <c r="J5158" t="s">
        <v>687</v>
      </c>
      <c r="K5158" t="s">
        <v>55</v>
      </c>
      <c r="L5158" t="s">
        <v>5260</v>
      </c>
      <c r="M5158" t="s">
        <v>57</v>
      </c>
      <c r="N5158" t="str">
        <f>"015521"</f>
        <v>015521</v>
      </c>
      <c r="O5158" t="s">
        <v>14119</v>
      </c>
      <c r="P5158" t="s">
        <v>68</v>
      </c>
      <c r="Q5158" t="s">
        <v>68</v>
      </c>
      <c r="R5158" t="s">
        <v>68</v>
      </c>
      <c r="S5158" t="s">
        <v>180</v>
      </c>
    </row>
    <row r="5159" spans="1:19" x14ac:dyDescent="0.35">
      <c r="A5159">
        <v>15599</v>
      </c>
      <c r="B5159" t="str">
        <f>"015599"</f>
        <v>015599</v>
      </c>
      <c r="C5159" t="s">
        <v>14122</v>
      </c>
      <c r="D5159" t="s">
        <v>3398</v>
      </c>
      <c r="E5159" t="s">
        <v>3395</v>
      </c>
      <c r="F5159" t="s">
        <v>3396</v>
      </c>
      <c r="G5159" t="s">
        <v>63</v>
      </c>
      <c r="H5159" t="s">
        <v>14123</v>
      </c>
      <c r="I5159" t="s">
        <v>14124</v>
      </c>
      <c r="J5159" t="s">
        <v>285</v>
      </c>
      <c r="K5159" t="s">
        <v>55</v>
      </c>
      <c r="L5159" t="s">
        <v>5375</v>
      </c>
      <c r="M5159" t="s">
        <v>57</v>
      </c>
      <c r="N5159" t="str">
        <f>"043786"</f>
        <v>043786</v>
      </c>
      <c r="O5159" t="s">
        <v>1340</v>
      </c>
      <c r="P5159" t="s">
        <v>68</v>
      </c>
      <c r="Q5159">
        <v>100</v>
      </c>
      <c r="R5159">
        <v>82.6</v>
      </c>
      <c r="S5159" t="s">
        <v>69</v>
      </c>
    </row>
    <row r="5160" spans="1:19" x14ac:dyDescent="0.35">
      <c r="A5160">
        <v>15598</v>
      </c>
      <c r="B5160" t="str">
        <f>"015598"</f>
        <v>015598</v>
      </c>
      <c r="C5160" t="s">
        <v>14125</v>
      </c>
      <c r="D5160" t="s">
        <v>3398</v>
      </c>
      <c r="E5160" t="s">
        <v>3395</v>
      </c>
      <c r="F5160" t="s">
        <v>3396</v>
      </c>
      <c r="G5160" t="s">
        <v>63</v>
      </c>
      <c r="H5160" t="s">
        <v>14123</v>
      </c>
      <c r="I5160" t="s">
        <v>14124</v>
      </c>
      <c r="J5160" t="s">
        <v>285</v>
      </c>
      <c r="K5160" t="s">
        <v>55</v>
      </c>
      <c r="L5160" t="s">
        <v>5375</v>
      </c>
      <c r="M5160" t="s">
        <v>57</v>
      </c>
      <c r="N5160" t="str">
        <f>"043786"</f>
        <v>043786</v>
      </c>
      <c r="O5160" t="s">
        <v>1340</v>
      </c>
      <c r="P5160" t="s">
        <v>68</v>
      </c>
      <c r="Q5160">
        <v>100</v>
      </c>
      <c r="R5160">
        <v>73.400000000000006</v>
      </c>
      <c r="S5160" t="s">
        <v>69</v>
      </c>
    </row>
    <row r="5161" spans="1:19" x14ac:dyDescent="0.35">
      <c r="A5161">
        <v>15600</v>
      </c>
      <c r="B5161" t="str">
        <f>"015600"</f>
        <v>015600</v>
      </c>
      <c r="C5161" t="s">
        <v>14126</v>
      </c>
      <c r="D5161" t="s">
        <v>3398</v>
      </c>
      <c r="E5161" t="s">
        <v>3395</v>
      </c>
      <c r="F5161" t="s">
        <v>3396</v>
      </c>
      <c r="G5161" t="s">
        <v>63</v>
      </c>
      <c r="H5161" t="s">
        <v>14123</v>
      </c>
      <c r="I5161" t="s">
        <v>14124</v>
      </c>
      <c r="J5161" t="s">
        <v>285</v>
      </c>
      <c r="K5161" t="s">
        <v>55</v>
      </c>
      <c r="L5161" t="s">
        <v>5375</v>
      </c>
      <c r="M5161" t="s">
        <v>57</v>
      </c>
      <c r="N5161" t="str">
        <f>"043786"</f>
        <v>043786</v>
      </c>
      <c r="O5161" t="s">
        <v>1340</v>
      </c>
      <c r="P5161" t="s">
        <v>68</v>
      </c>
      <c r="Q5161">
        <v>100</v>
      </c>
      <c r="R5161">
        <v>78.5</v>
      </c>
      <c r="S5161" t="s">
        <v>69</v>
      </c>
    </row>
    <row r="5162" spans="1:19" x14ac:dyDescent="0.35">
      <c r="A5162">
        <v>15696</v>
      </c>
      <c r="B5162" t="str">
        <f>"015696"</f>
        <v>015696</v>
      </c>
      <c r="C5162" t="s">
        <v>14127</v>
      </c>
      <c r="D5162" t="s">
        <v>3394</v>
      </c>
      <c r="E5162" t="s">
        <v>9538</v>
      </c>
      <c r="F5162" t="s">
        <v>3396</v>
      </c>
      <c r="G5162" t="s">
        <v>383</v>
      </c>
      <c r="H5162" t="s">
        <v>14128</v>
      </c>
      <c r="I5162" t="s">
        <v>14129</v>
      </c>
      <c r="J5162" t="s">
        <v>1215</v>
      </c>
      <c r="K5162" t="s">
        <v>55</v>
      </c>
      <c r="L5162" t="s">
        <v>1216</v>
      </c>
      <c r="M5162" t="s">
        <v>57</v>
      </c>
      <c r="N5162" t="str">
        <f>"015696"</f>
        <v>015696</v>
      </c>
      <c r="O5162" t="s">
        <v>14127</v>
      </c>
      <c r="P5162" t="s">
        <v>68</v>
      </c>
      <c r="Q5162" t="s">
        <v>68</v>
      </c>
      <c r="R5162" t="s">
        <v>68</v>
      </c>
      <c r="S5162" t="s">
        <v>77</v>
      </c>
    </row>
    <row r="5163" spans="1:19" x14ac:dyDescent="0.35">
      <c r="A5163">
        <v>15696</v>
      </c>
      <c r="B5163" t="str">
        <f>"015696"</f>
        <v>015696</v>
      </c>
      <c r="C5163" t="s">
        <v>14127</v>
      </c>
      <c r="D5163" t="s">
        <v>9541</v>
      </c>
      <c r="E5163" t="s">
        <v>9538</v>
      </c>
      <c r="F5163" t="s">
        <v>3396</v>
      </c>
      <c r="G5163" t="s">
        <v>383</v>
      </c>
      <c r="H5163" t="s">
        <v>14128</v>
      </c>
      <c r="I5163" t="s">
        <v>14129</v>
      </c>
      <c r="J5163" t="s">
        <v>1215</v>
      </c>
      <c r="K5163" t="s">
        <v>55</v>
      </c>
      <c r="L5163" t="s">
        <v>1216</v>
      </c>
      <c r="M5163" t="s">
        <v>57</v>
      </c>
      <c r="N5163" t="str">
        <f>"015696"</f>
        <v>015696</v>
      </c>
      <c r="O5163" t="s">
        <v>14127</v>
      </c>
      <c r="P5163" t="s">
        <v>68</v>
      </c>
      <c r="Q5163" t="s">
        <v>68</v>
      </c>
      <c r="R5163" t="s">
        <v>68</v>
      </c>
      <c r="S5163" t="s">
        <v>77</v>
      </c>
    </row>
    <row r="5164" spans="1:19" x14ac:dyDescent="0.35">
      <c r="A5164">
        <v>15709</v>
      </c>
      <c r="B5164" t="str">
        <f>"015709"</f>
        <v>015709</v>
      </c>
      <c r="C5164" t="s">
        <v>14130</v>
      </c>
      <c r="D5164" t="s">
        <v>3398</v>
      </c>
      <c r="E5164" t="s">
        <v>12048</v>
      </c>
      <c r="F5164" t="s">
        <v>3396</v>
      </c>
      <c r="G5164" t="s">
        <v>117</v>
      </c>
      <c r="H5164" t="s">
        <v>14131</v>
      </c>
      <c r="I5164" t="s">
        <v>14132</v>
      </c>
      <c r="J5164" t="s">
        <v>1409</v>
      </c>
      <c r="K5164" t="s">
        <v>55</v>
      </c>
      <c r="L5164" t="s">
        <v>6784</v>
      </c>
      <c r="M5164" t="s">
        <v>57</v>
      </c>
      <c r="N5164" t="str">
        <f>"019974"</f>
        <v>019974</v>
      </c>
      <c r="O5164" t="s">
        <v>14133</v>
      </c>
      <c r="P5164" t="s">
        <v>68</v>
      </c>
      <c r="Q5164">
        <v>100</v>
      </c>
      <c r="R5164">
        <v>70.7</v>
      </c>
      <c r="S5164" t="s">
        <v>77</v>
      </c>
    </row>
    <row r="5165" spans="1:19" x14ac:dyDescent="0.35">
      <c r="A5165">
        <v>15709</v>
      </c>
      <c r="B5165" t="str">
        <f>"015709"</f>
        <v>015709</v>
      </c>
      <c r="C5165" t="s">
        <v>14130</v>
      </c>
      <c r="D5165" t="s">
        <v>12052</v>
      </c>
      <c r="E5165" t="s">
        <v>12048</v>
      </c>
      <c r="F5165" t="s">
        <v>3396</v>
      </c>
      <c r="G5165" t="s">
        <v>117</v>
      </c>
      <c r="H5165" t="s">
        <v>14131</v>
      </c>
      <c r="I5165" t="s">
        <v>14132</v>
      </c>
      <c r="J5165" t="s">
        <v>1409</v>
      </c>
      <c r="K5165" t="s">
        <v>55</v>
      </c>
      <c r="L5165" t="s">
        <v>6784</v>
      </c>
      <c r="M5165" t="s">
        <v>57</v>
      </c>
      <c r="N5165" t="str">
        <f>"019974"</f>
        <v>019974</v>
      </c>
      <c r="O5165" t="s">
        <v>14133</v>
      </c>
      <c r="P5165" t="s">
        <v>68</v>
      </c>
      <c r="Q5165">
        <v>100</v>
      </c>
      <c r="R5165">
        <v>70.7</v>
      </c>
      <c r="S5165" t="s">
        <v>77</v>
      </c>
    </row>
    <row r="5166" spans="1:19" x14ac:dyDescent="0.35">
      <c r="A5166">
        <v>15710</v>
      </c>
      <c r="B5166" t="str">
        <f>"015710"</f>
        <v>015710</v>
      </c>
      <c r="C5166" t="s">
        <v>14134</v>
      </c>
      <c r="D5166" t="s">
        <v>3398</v>
      </c>
      <c r="E5166" t="s">
        <v>12048</v>
      </c>
      <c r="F5166" t="s">
        <v>3396</v>
      </c>
      <c r="G5166" t="s">
        <v>600</v>
      </c>
      <c r="H5166" t="s">
        <v>14135</v>
      </c>
      <c r="I5166" t="s">
        <v>14136</v>
      </c>
      <c r="J5166" t="s">
        <v>1348</v>
      </c>
      <c r="K5166" t="s">
        <v>55</v>
      </c>
      <c r="L5166" t="s">
        <v>1349</v>
      </c>
      <c r="M5166" t="s">
        <v>57</v>
      </c>
      <c r="N5166" t="str">
        <f>"019975"</f>
        <v>019975</v>
      </c>
      <c r="O5166" t="s">
        <v>14137</v>
      </c>
      <c r="P5166" t="s">
        <v>68</v>
      </c>
      <c r="Q5166">
        <v>99.1</v>
      </c>
      <c r="R5166">
        <v>100</v>
      </c>
      <c r="S5166" t="s">
        <v>60</v>
      </c>
    </row>
    <row r="5167" spans="1:19" x14ac:dyDescent="0.35">
      <c r="A5167">
        <v>15710</v>
      </c>
      <c r="B5167" t="str">
        <f>"015710"</f>
        <v>015710</v>
      </c>
      <c r="C5167" t="s">
        <v>14134</v>
      </c>
      <c r="D5167" t="s">
        <v>12052</v>
      </c>
      <c r="E5167" t="s">
        <v>12048</v>
      </c>
      <c r="F5167" t="s">
        <v>3396</v>
      </c>
      <c r="G5167" t="s">
        <v>600</v>
      </c>
      <c r="H5167" t="s">
        <v>14135</v>
      </c>
      <c r="I5167" t="s">
        <v>14136</v>
      </c>
      <c r="J5167" t="s">
        <v>1348</v>
      </c>
      <c r="K5167" t="s">
        <v>55</v>
      </c>
      <c r="L5167" t="s">
        <v>1349</v>
      </c>
      <c r="M5167" t="s">
        <v>57</v>
      </c>
      <c r="N5167" t="str">
        <f>"019975"</f>
        <v>019975</v>
      </c>
      <c r="O5167" t="s">
        <v>14137</v>
      </c>
      <c r="P5167" t="s">
        <v>68</v>
      </c>
      <c r="Q5167">
        <v>99.1</v>
      </c>
      <c r="R5167">
        <v>100</v>
      </c>
      <c r="S5167" t="s">
        <v>60</v>
      </c>
    </row>
    <row r="5168" spans="1:19" x14ac:dyDescent="0.35">
      <c r="A5168">
        <v>15712</v>
      </c>
      <c r="B5168" t="str">
        <f>"015712"</f>
        <v>015712</v>
      </c>
      <c r="C5168" t="s">
        <v>14138</v>
      </c>
      <c r="D5168" t="s">
        <v>3394</v>
      </c>
      <c r="E5168" t="s">
        <v>12048</v>
      </c>
      <c r="F5168" t="s">
        <v>3396</v>
      </c>
      <c r="G5168" t="s">
        <v>63</v>
      </c>
      <c r="H5168" t="s">
        <v>14139</v>
      </c>
      <c r="I5168" t="s">
        <v>14140</v>
      </c>
      <c r="J5168" t="s">
        <v>2182</v>
      </c>
      <c r="K5168" t="s">
        <v>55</v>
      </c>
      <c r="L5168" t="s">
        <v>6058</v>
      </c>
      <c r="M5168" t="s">
        <v>57</v>
      </c>
      <c r="N5168" t="str">
        <f>"015427"</f>
        <v>015427</v>
      </c>
      <c r="O5168" t="s">
        <v>12157</v>
      </c>
      <c r="P5168" t="s">
        <v>68</v>
      </c>
      <c r="Q5168">
        <v>99.7</v>
      </c>
      <c r="R5168">
        <v>100</v>
      </c>
      <c r="S5168" t="s">
        <v>69</v>
      </c>
    </row>
    <row r="5169" spans="1:19" x14ac:dyDescent="0.35">
      <c r="A5169">
        <v>15712</v>
      </c>
      <c r="B5169" t="str">
        <f>"015712"</f>
        <v>015712</v>
      </c>
      <c r="C5169" t="s">
        <v>14138</v>
      </c>
      <c r="D5169" t="s">
        <v>12052</v>
      </c>
      <c r="E5169" t="s">
        <v>12048</v>
      </c>
      <c r="F5169" t="s">
        <v>3396</v>
      </c>
      <c r="G5169" t="s">
        <v>63</v>
      </c>
      <c r="H5169" t="s">
        <v>14139</v>
      </c>
      <c r="I5169" t="s">
        <v>14140</v>
      </c>
      <c r="J5169" t="s">
        <v>2182</v>
      </c>
      <c r="K5169" t="s">
        <v>55</v>
      </c>
      <c r="L5169" t="s">
        <v>6058</v>
      </c>
      <c r="M5169" t="s">
        <v>57</v>
      </c>
      <c r="N5169" t="str">
        <f>"015427"</f>
        <v>015427</v>
      </c>
      <c r="O5169" t="s">
        <v>12157</v>
      </c>
      <c r="P5169" t="s">
        <v>68</v>
      </c>
      <c r="Q5169">
        <v>99.7</v>
      </c>
      <c r="R5169">
        <v>100</v>
      </c>
      <c r="S5169" t="s">
        <v>69</v>
      </c>
    </row>
    <row r="5170" spans="1:19" x14ac:dyDescent="0.35">
      <c r="A5170">
        <v>15713</v>
      </c>
      <c r="B5170" t="str">
        <f>"015713"</f>
        <v>015713</v>
      </c>
      <c r="C5170" t="s">
        <v>14141</v>
      </c>
      <c r="D5170" t="s">
        <v>3394</v>
      </c>
      <c r="E5170" t="s">
        <v>12048</v>
      </c>
      <c r="F5170" t="s">
        <v>3396</v>
      </c>
      <c r="G5170" t="s">
        <v>117</v>
      </c>
      <c r="H5170" t="s">
        <v>14142</v>
      </c>
      <c r="I5170" t="s">
        <v>14143</v>
      </c>
      <c r="J5170" t="s">
        <v>1409</v>
      </c>
      <c r="K5170" t="s">
        <v>55</v>
      </c>
      <c r="L5170" t="s">
        <v>5455</v>
      </c>
      <c r="M5170" t="s">
        <v>57</v>
      </c>
      <c r="N5170" t="str">
        <f>"017093"</f>
        <v>017093</v>
      </c>
      <c r="O5170" t="s">
        <v>13664</v>
      </c>
      <c r="P5170" t="s">
        <v>68</v>
      </c>
      <c r="Q5170">
        <v>98.4</v>
      </c>
      <c r="R5170">
        <v>77.599999999999994</v>
      </c>
      <c r="S5170" t="s">
        <v>77</v>
      </c>
    </row>
    <row r="5171" spans="1:19" x14ac:dyDescent="0.35">
      <c r="A5171">
        <v>15713</v>
      </c>
      <c r="B5171" t="str">
        <f>"015713"</f>
        <v>015713</v>
      </c>
      <c r="C5171" t="s">
        <v>14141</v>
      </c>
      <c r="D5171" t="s">
        <v>12052</v>
      </c>
      <c r="E5171" t="s">
        <v>12048</v>
      </c>
      <c r="F5171" t="s">
        <v>3396</v>
      </c>
      <c r="G5171" t="s">
        <v>117</v>
      </c>
      <c r="H5171" t="s">
        <v>14142</v>
      </c>
      <c r="I5171" t="s">
        <v>14143</v>
      </c>
      <c r="J5171" t="s">
        <v>1409</v>
      </c>
      <c r="K5171" t="s">
        <v>55</v>
      </c>
      <c r="L5171" t="s">
        <v>5455</v>
      </c>
      <c r="M5171" t="s">
        <v>57</v>
      </c>
      <c r="N5171" t="str">
        <f>"017093"</f>
        <v>017093</v>
      </c>
      <c r="O5171" t="s">
        <v>13664</v>
      </c>
      <c r="P5171" t="s">
        <v>68</v>
      </c>
      <c r="Q5171">
        <v>98.4</v>
      </c>
      <c r="R5171">
        <v>77.599999999999994</v>
      </c>
      <c r="S5171" t="s">
        <v>77</v>
      </c>
    </row>
    <row r="5172" spans="1:19" x14ac:dyDescent="0.35">
      <c r="A5172">
        <v>15714</v>
      </c>
      <c r="B5172" t="str">
        <f>"015714"</f>
        <v>015714</v>
      </c>
      <c r="C5172" t="s">
        <v>14144</v>
      </c>
      <c r="D5172" t="s">
        <v>3398</v>
      </c>
      <c r="E5172" t="s">
        <v>12048</v>
      </c>
      <c r="F5172" t="s">
        <v>3396</v>
      </c>
      <c r="G5172" t="s">
        <v>543</v>
      </c>
      <c r="H5172" t="s">
        <v>14145</v>
      </c>
      <c r="I5172" t="s">
        <v>14146</v>
      </c>
      <c r="J5172" t="s">
        <v>687</v>
      </c>
      <c r="K5172" t="s">
        <v>55</v>
      </c>
      <c r="L5172" t="s">
        <v>5155</v>
      </c>
      <c r="M5172" t="s">
        <v>57</v>
      </c>
      <c r="N5172" t="str">
        <f>"019070"</f>
        <v>019070</v>
      </c>
      <c r="O5172" t="s">
        <v>12133</v>
      </c>
      <c r="P5172" t="s">
        <v>68</v>
      </c>
      <c r="Q5172">
        <v>85.4</v>
      </c>
      <c r="R5172">
        <v>85.4</v>
      </c>
      <c r="S5172" t="s">
        <v>180</v>
      </c>
    </row>
    <row r="5173" spans="1:19" x14ac:dyDescent="0.35">
      <c r="A5173">
        <v>15714</v>
      </c>
      <c r="B5173" t="str">
        <f>"015714"</f>
        <v>015714</v>
      </c>
      <c r="C5173" t="s">
        <v>14144</v>
      </c>
      <c r="D5173" t="s">
        <v>12052</v>
      </c>
      <c r="E5173" t="s">
        <v>12048</v>
      </c>
      <c r="F5173" t="s">
        <v>3396</v>
      </c>
      <c r="G5173" t="s">
        <v>543</v>
      </c>
      <c r="H5173" t="s">
        <v>14145</v>
      </c>
      <c r="I5173" t="s">
        <v>14146</v>
      </c>
      <c r="J5173" t="s">
        <v>687</v>
      </c>
      <c r="K5173" t="s">
        <v>55</v>
      </c>
      <c r="L5173" t="s">
        <v>5155</v>
      </c>
      <c r="M5173" t="s">
        <v>57</v>
      </c>
      <c r="N5173" t="str">
        <f>"019070"</f>
        <v>019070</v>
      </c>
      <c r="O5173" t="s">
        <v>12133</v>
      </c>
      <c r="P5173" t="s">
        <v>68</v>
      </c>
      <c r="Q5173">
        <v>85.4</v>
      </c>
      <c r="R5173">
        <v>85.4</v>
      </c>
      <c r="S5173" t="s">
        <v>180</v>
      </c>
    </row>
    <row r="5174" spans="1:19" x14ac:dyDescent="0.35">
      <c r="A5174">
        <v>15714</v>
      </c>
      <c r="B5174" t="str">
        <f>"015714"</f>
        <v>015714</v>
      </c>
      <c r="C5174" t="s">
        <v>14144</v>
      </c>
      <c r="D5174" t="s">
        <v>12063</v>
      </c>
      <c r="E5174" t="s">
        <v>12048</v>
      </c>
      <c r="F5174" t="s">
        <v>3396</v>
      </c>
      <c r="G5174" t="s">
        <v>543</v>
      </c>
      <c r="H5174" t="s">
        <v>14145</v>
      </c>
      <c r="I5174" t="s">
        <v>14146</v>
      </c>
      <c r="J5174" t="s">
        <v>687</v>
      </c>
      <c r="K5174" t="s">
        <v>55</v>
      </c>
      <c r="L5174" t="s">
        <v>5155</v>
      </c>
      <c r="M5174" t="s">
        <v>57</v>
      </c>
      <c r="N5174" t="str">
        <f>"019070"</f>
        <v>019070</v>
      </c>
      <c r="O5174" t="s">
        <v>12133</v>
      </c>
      <c r="P5174" t="s">
        <v>68</v>
      </c>
      <c r="Q5174">
        <v>85.4</v>
      </c>
      <c r="R5174">
        <v>85.4</v>
      </c>
      <c r="S5174" t="s">
        <v>180</v>
      </c>
    </row>
    <row r="5175" spans="1:19" x14ac:dyDescent="0.35">
      <c r="A5175">
        <v>15722</v>
      </c>
      <c r="B5175" t="str">
        <f>"015722"</f>
        <v>015722</v>
      </c>
      <c r="C5175" t="s">
        <v>14147</v>
      </c>
      <c r="D5175" t="s">
        <v>3400</v>
      </c>
      <c r="E5175" t="s">
        <v>12048</v>
      </c>
      <c r="F5175" t="s">
        <v>3396</v>
      </c>
      <c r="G5175" t="s">
        <v>63</v>
      </c>
      <c r="H5175" t="s">
        <v>14148</v>
      </c>
      <c r="I5175" t="s">
        <v>14149</v>
      </c>
      <c r="J5175" t="s">
        <v>285</v>
      </c>
      <c r="K5175" t="s">
        <v>55</v>
      </c>
      <c r="L5175" t="s">
        <v>3458</v>
      </c>
      <c r="M5175" t="s">
        <v>57</v>
      </c>
      <c r="N5175" t="str">
        <f>"015013"</f>
        <v>015013</v>
      </c>
      <c r="O5175" t="s">
        <v>13546</v>
      </c>
      <c r="P5175" t="s">
        <v>68</v>
      </c>
      <c r="Q5175">
        <v>100</v>
      </c>
      <c r="R5175">
        <v>93.7</v>
      </c>
      <c r="S5175" t="s">
        <v>69</v>
      </c>
    </row>
    <row r="5176" spans="1:19" x14ac:dyDescent="0.35">
      <c r="A5176">
        <v>15722</v>
      </c>
      <c r="B5176" t="str">
        <f>"015722"</f>
        <v>015722</v>
      </c>
      <c r="C5176" t="s">
        <v>14147</v>
      </c>
      <c r="D5176" t="s">
        <v>12052</v>
      </c>
      <c r="E5176" t="s">
        <v>12048</v>
      </c>
      <c r="F5176" t="s">
        <v>3396</v>
      </c>
      <c r="G5176" t="s">
        <v>63</v>
      </c>
      <c r="H5176" t="s">
        <v>14148</v>
      </c>
      <c r="I5176" t="s">
        <v>14149</v>
      </c>
      <c r="J5176" t="s">
        <v>285</v>
      </c>
      <c r="K5176" t="s">
        <v>55</v>
      </c>
      <c r="L5176" t="s">
        <v>3458</v>
      </c>
      <c r="M5176" t="s">
        <v>57</v>
      </c>
      <c r="N5176" t="str">
        <f>"015013"</f>
        <v>015013</v>
      </c>
      <c r="O5176" t="s">
        <v>13546</v>
      </c>
      <c r="P5176" t="s">
        <v>68</v>
      </c>
      <c r="Q5176">
        <v>100</v>
      </c>
      <c r="R5176">
        <v>93.7</v>
      </c>
      <c r="S5176" t="s">
        <v>69</v>
      </c>
    </row>
    <row r="5177" spans="1:19" x14ac:dyDescent="0.35">
      <c r="A5177">
        <v>15722</v>
      </c>
      <c r="B5177" t="str">
        <f>"015722"</f>
        <v>015722</v>
      </c>
      <c r="C5177" t="s">
        <v>14147</v>
      </c>
      <c r="D5177" t="s">
        <v>12126</v>
      </c>
      <c r="E5177" t="s">
        <v>12048</v>
      </c>
      <c r="F5177" t="s">
        <v>3396</v>
      </c>
      <c r="G5177" t="s">
        <v>63</v>
      </c>
      <c r="H5177" t="s">
        <v>14148</v>
      </c>
      <c r="I5177" t="s">
        <v>14149</v>
      </c>
      <c r="J5177" t="s">
        <v>285</v>
      </c>
      <c r="K5177" t="s">
        <v>55</v>
      </c>
      <c r="L5177" t="s">
        <v>3458</v>
      </c>
      <c r="M5177" t="s">
        <v>57</v>
      </c>
      <c r="N5177" t="str">
        <f>"015013"</f>
        <v>015013</v>
      </c>
      <c r="O5177" t="s">
        <v>13546</v>
      </c>
      <c r="P5177" t="s">
        <v>68</v>
      </c>
      <c r="Q5177">
        <v>100</v>
      </c>
      <c r="R5177">
        <v>93.7</v>
      </c>
      <c r="S5177" t="s">
        <v>69</v>
      </c>
    </row>
    <row r="5178" spans="1:19" x14ac:dyDescent="0.35">
      <c r="A5178">
        <v>15723</v>
      </c>
      <c r="B5178" t="str">
        <f>"015723"</f>
        <v>015723</v>
      </c>
      <c r="C5178" t="s">
        <v>14150</v>
      </c>
      <c r="D5178" t="s">
        <v>3394</v>
      </c>
      <c r="E5178" t="s">
        <v>3395</v>
      </c>
      <c r="F5178" t="s">
        <v>3396</v>
      </c>
      <c r="G5178" t="s">
        <v>600</v>
      </c>
      <c r="H5178" t="s">
        <v>14151</v>
      </c>
      <c r="I5178" t="s">
        <v>14152</v>
      </c>
      <c r="J5178" t="s">
        <v>1348</v>
      </c>
      <c r="K5178" t="s">
        <v>55</v>
      </c>
      <c r="L5178" t="s">
        <v>3462</v>
      </c>
      <c r="M5178" t="s">
        <v>57</v>
      </c>
      <c r="N5178" t="str">
        <f>"043802"</f>
        <v>043802</v>
      </c>
      <c r="O5178" t="s">
        <v>3171</v>
      </c>
      <c r="P5178" t="s">
        <v>68</v>
      </c>
      <c r="Q5178">
        <v>100</v>
      </c>
      <c r="R5178">
        <v>88.9</v>
      </c>
      <c r="S5178" t="s">
        <v>60</v>
      </c>
    </row>
    <row r="5179" spans="1:19" x14ac:dyDescent="0.35">
      <c r="A5179">
        <v>15724</v>
      </c>
      <c r="B5179" t="str">
        <f>"015724"</f>
        <v>015724</v>
      </c>
      <c r="C5179" t="s">
        <v>14153</v>
      </c>
      <c r="D5179" t="s">
        <v>3400</v>
      </c>
      <c r="E5179" t="s">
        <v>3395</v>
      </c>
      <c r="F5179" t="s">
        <v>3396</v>
      </c>
      <c r="G5179" t="s">
        <v>1193</v>
      </c>
      <c r="H5179" t="s">
        <v>2759</v>
      </c>
      <c r="I5179" t="s">
        <v>2760</v>
      </c>
      <c r="J5179" t="s">
        <v>2761</v>
      </c>
      <c r="K5179" t="s">
        <v>55</v>
      </c>
      <c r="L5179" t="s">
        <v>2762</v>
      </c>
      <c r="M5179" t="s">
        <v>57</v>
      </c>
      <c r="N5179" t="str">
        <f>"045757"</f>
        <v>045757</v>
      </c>
      <c r="O5179" t="s">
        <v>2758</v>
      </c>
      <c r="P5179" t="s">
        <v>68</v>
      </c>
      <c r="Q5179">
        <v>31.5</v>
      </c>
      <c r="R5179">
        <v>5.7999999999999972</v>
      </c>
      <c r="S5179" t="s">
        <v>156</v>
      </c>
    </row>
    <row r="5180" spans="1:19" x14ac:dyDescent="0.35">
      <c r="A5180">
        <v>15734</v>
      </c>
      <c r="B5180" t="str">
        <f>"015734"</f>
        <v>015734</v>
      </c>
      <c r="C5180" t="s">
        <v>14154</v>
      </c>
      <c r="D5180" t="s">
        <v>3400</v>
      </c>
      <c r="E5180" t="s">
        <v>3395</v>
      </c>
      <c r="F5180" t="s">
        <v>3396</v>
      </c>
      <c r="G5180" t="s">
        <v>143</v>
      </c>
      <c r="H5180" t="s">
        <v>14155</v>
      </c>
      <c r="I5180" t="s">
        <v>14156</v>
      </c>
      <c r="J5180" t="s">
        <v>143</v>
      </c>
      <c r="K5180" t="s">
        <v>55</v>
      </c>
      <c r="L5180" t="s">
        <v>5382</v>
      </c>
      <c r="M5180" t="s">
        <v>57</v>
      </c>
      <c r="N5180" t="str">
        <f>"044263"</f>
        <v>044263</v>
      </c>
      <c r="O5180" t="s">
        <v>1364</v>
      </c>
      <c r="P5180" t="s">
        <v>68</v>
      </c>
      <c r="Q5180">
        <v>100</v>
      </c>
      <c r="R5180">
        <v>84.6</v>
      </c>
      <c r="S5180" t="s">
        <v>69</v>
      </c>
    </row>
    <row r="5181" spans="1:19" x14ac:dyDescent="0.35">
      <c r="A5181">
        <v>15737</v>
      </c>
      <c r="B5181" t="str">
        <f>"015737"</f>
        <v>015737</v>
      </c>
      <c r="C5181" t="s">
        <v>14157</v>
      </c>
      <c r="D5181" t="s">
        <v>3394</v>
      </c>
      <c r="E5181" t="s">
        <v>12048</v>
      </c>
      <c r="F5181" t="s">
        <v>3396</v>
      </c>
      <c r="G5181" t="s">
        <v>63</v>
      </c>
      <c r="H5181" t="s">
        <v>14158</v>
      </c>
      <c r="I5181" t="s">
        <v>14159</v>
      </c>
      <c r="J5181" t="s">
        <v>285</v>
      </c>
      <c r="K5181" t="s">
        <v>55</v>
      </c>
      <c r="L5181" t="s">
        <v>5375</v>
      </c>
      <c r="M5181" t="s">
        <v>57</v>
      </c>
      <c r="N5181" t="str">
        <f>"N/A"</f>
        <v>N/A</v>
      </c>
      <c r="O5181" t="s">
        <v>49</v>
      </c>
      <c r="P5181" t="s">
        <v>68</v>
      </c>
      <c r="Q5181">
        <v>49.7</v>
      </c>
      <c r="R5181">
        <v>81</v>
      </c>
      <c r="S5181" t="s">
        <v>69</v>
      </c>
    </row>
    <row r="5182" spans="1:19" x14ac:dyDescent="0.35">
      <c r="A5182">
        <v>15737</v>
      </c>
      <c r="B5182" t="str">
        <f>"015737"</f>
        <v>015737</v>
      </c>
      <c r="C5182" t="s">
        <v>14157</v>
      </c>
      <c r="D5182" t="s">
        <v>12052</v>
      </c>
      <c r="E5182" t="s">
        <v>12048</v>
      </c>
      <c r="F5182" t="s">
        <v>3396</v>
      </c>
      <c r="G5182" t="s">
        <v>63</v>
      </c>
      <c r="H5182" t="s">
        <v>14158</v>
      </c>
      <c r="I5182" t="s">
        <v>14159</v>
      </c>
      <c r="J5182" t="s">
        <v>285</v>
      </c>
      <c r="K5182" t="s">
        <v>55</v>
      </c>
      <c r="L5182" t="s">
        <v>5375</v>
      </c>
      <c r="M5182" t="s">
        <v>57</v>
      </c>
      <c r="N5182" t="str">
        <f>"N/A"</f>
        <v>N/A</v>
      </c>
      <c r="O5182" t="s">
        <v>49</v>
      </c>
      <c r="P5182" t="s">
        <v>68</v>
      </c>
      <c r="Q5182">
        <v>49.7</v>
      </c>
      <c r="R5182">
        <v>81</v>
      </c>
      <c r="S5182" t="s">
        <v>69</v>
      </c>
    </row>
    <row r="5183" spans="1:19" x14ac:dyDescent="0.35">
      <c r="A5183">
        <v>15741</v>
      </c>
      <c r="B5183" t="str">
        <f>"015741"</f>
        <v>015741</v>
      </c>
      <c r="C5183" t="s">
        <v>14160</v>
      </c>
      <c r="D5183" t="s">
        <v>3398</v>
      </c>
      <c r="E5183" t="s">
        <v>12048</v>
      </c>
      <c r="F5183" t="s">
        <v>3396</v>
      </c>
      <c r="G5183" t="s">
        <v>600</v>
      </c>
      <c r="H5183" t="s">
        <v>12094</v>
      </c>
      <c r="I5183" t="s">
        <v>12095</v>
      </c>
      <c r="J5183" t="s">
        <v>1348</v>
      </c>
      <c r="K5183" t="s">
        <v>55</v>
      </c>
      <c r="L5183" t="s">
        <v>9099</v>
      </c>
      <c r="M5183" t="s">
        <v>57</v>
      </c>
      <c r="N5183" t="str">
        <f>"017759"</f>
        <v>017759</v>
      </c>
      <c r="O5183" t="s">
        <v>14007</v>
      </c>
      <c r="P5183" t="s">
        <v>68</v>
      </c>
      <c r="Q5183">
        <v>100</v>
      </c>
      <c r="R5183">
        <v>34.900000000000006</v>
      </c>
      <c r="S5183" t="s">
        <v>60</v>
      </c>
    </row>
    <row r="5184" spans="1:19" x14ac:dyDescent="0.35">
      <c r="A5184">
        <v>15741</v>
      </c>
      <c r="B5184" t="str">
        <f>"015741"</f>
        <v>015741</v>
      </c>
      <c r="C5184" t="s">
        <v>14160</v>
      </c>
      <c r="D5184" t="s">
        <v>12052</v>
      </c>
      <c r="E5184" t="s">
        <v>12048</v>
      </c>
      <c r="F5184" t="s">
        <v>3396</v>
      </c>
      <c r="G5184" t="s">
        <v>600</v>
      </c>
      <c r="H5184" t="s">
        <v>12094</v>
      </c>
      <c r="I5184" t="s">
        <v>12095</v>
      </c>
      <c r="J5184" t="s">
        <v>1348</v>
      </c>
      <c r="K5184" t="s">
        <v>55</v>
      </c>
      <c r="L5184" t="s">
        <v>9099</v>
      </c>
      <c r="M5184" t="s">
        <v>57</v>
      </c>
      <c r="N5184" t="str">
        <f>"017759"</f>
        <v>017759</v>
      </c>
      <c r="O5184" t="s">
        <v>14007</v>
      </c>
      <c r="P5184" t="s">
        <v>68</v>
      </c>
      <c r="Q5184">
        <v>100</v>
      </c>
      <c r="R5184">
        <v>34.900000000000006</v>
      </c>
      <c r="S5184" t="s">
        <v>60</v>
      </c>
    </row>
    <row r="5185" spans="1:19" x14ac:dyDescent="0.35">
      <c r="A5185">
        <v>15745</v>
      </c>
      <c r="B5185" t="str">
        <f>"015745"</f>
        <v>015745</v>
      </c>
      <c r="C5185" t="s">
        <v>14161</v>
      </c>
      <c r="D5185" t="s">
        <v>3394</v>
      </c>
      <c r="E5185" t="s">
        <v>3395</v>
      </c>
      <c r="F5185" t="s">
        <v>3396</v>
      </c>
      <c r="G5185" t="s">
        <v>663</v>
      </c>
      <c r="H5185" t="s">
        <v>14162</v>
      </c>
      <c r="I5185" t="s">
        <v>14163</v>
      </c>
      <c r="J5185" t="s">
        <v>666</v>
      </c>
      <c r="K5185" t="s">
        <v>55</v>
      </c>
      <c r="L5185" t="s">
        <v>1605</v>
      </c>
      <c r="M5185" t="s">
        <v>57</v>
      </c>
      <c r="N5185" t="str">
        <f>"044297"</f>
        <v>044297</v>
      </c>
      <c r="O5185" t="s">
        <v>662</v>
      </c>
      <c r="P5185" t="s">
        <v>68</v>
      </c>
      <c r="Q5185">
        <v>100</v>
      </c>
      <c r="R5185">
        <v>44.9</v>
      </c>
      <c r="S5185" t="s">
        <v>77</v>
      </c>
    </row>
    <row r="5186" spans="1:19" x14ac:dyDescent="0.35">
      <c r="A5186">
        <v>15745</v>
      </c>
      <c r="B5186" t="str">
        <f>"015745"</f>
        <v>015745</v>
      </c>
      <c r="C5186" t="s">
        <v>14161</v>
      </c>
      <c r="D5186" t="s">
        <v>3929</v>
      </c>
      <c r="E5186" t="s">
        <v>3395</v>
      </c>
      <c r="F5186" t="s">
        <v>3396</v>
      </c>
      <c r="G5186" t="s">
        <v>663</v>
      </c>
      <c r="H5186" t="s">
        <v>14162</v>
      </c>
      <c r="I5186" t="s">
        <v>14163</v>
      </c>
      <c r="J5186" t="s">
        <v>666</v>
      </c>
      <c r="K5186" t="s">
        <v>55</v>
      </c>
      <c r="L5186" t="s">
        <v>1605</v>
      </c>
      <c r="M5186" t="s">
        <v>57</v>
      </c>
      <c r="N5186" t="str">
        <f>"044297"</f>
        <v>044297</v>
      </c>
      <c r="O5186" t="s">
        <v>662</v>
      </c>
      <c r="P5186" t="s">
        <v>68</v>
      </c>
      <c r="Q5186">
        <v>100</v>
      </c>
      <c r="R5186">
        <v>44.9</v>
      </c>
      <c r="S5186" t="s">
        <v>77</v>
      </c>
    </row>
    <row r="5187" spans="1:19" x14ac:dyDescent="0.35">
      <c r="A5187">
        <v>15759</v>
      </c>
      <c r="B5187" t="str">
        <f>"015759"</f>
        <v>015759</v>
      </c>
      <c r="C5187" t="s">
        <v>14164</v>
      </c>
      <c r="D5187" t="s">
        <v>3394</v>
      </c>
      <c r="E5187" t="s">
        <v>3395</v>
      </c>
      <c r="F5187" t="s">
        <v>3396</v>
      </c>
      <c r="G5187" t="s">
        <v>600</v>
      </c>
      <c r="H5187" t="s">
        <v>14165</v>
      </c>
      <c r="I5187" t="s">
        <v>14166</v>
      </c>
      <c r="J5187" t="s">
        <v>14167</v>
      </c>
      <c r="K5187" t="s">
        <v>55</v>
      </c>
      <c r="L5187" t="s">
        <v>1137</v>
      </c>
      <c r="M5187" t="s">
        <v>57</v>
      </c>
      <c r="N5187" t="str">
        <f>"044800"</f>
        <v>044800</v>
      </c>
      <c r="O5187" t="s">
        <v>1133</v>
      </c>
      <c r="P5187" t="s">
        <v>68</v>
      </c>
      <c r="Q5187">
        <v>63.8</v>
      </c>
      <c r="R5187">
        <v>58</v>
      </c>
      <c r="S5187" t="s">
        <v>60</v>
      </c>
    </row>
    <row r="5188" spans="1:19" x14ac:dyDescent="0.35">
      <c r="A5188">
        <v>16012</v>
      </c>
      <c r="B5188" t="str">
        <f>"016012"</f>
        <v>016012</v>
      </c>
      <c r="C5188" t="s">
        <v>14168</v>
      </c>
      <c r="D5188" t="s">
        <v>3394</v>
      </c>
      <c r="E5188" t="s">
        <v>3395</v>
      </c>
      <c r="F5188" t="s">
        <v>3396</v>
      </c>
      <c r="G5188" t="s">
        <v>226</v>
      </c>
      <c r="H5188" t="s">
        <v>14169</v>
      </c>
      <c r="I5188" t="s">
        <v>14170</v>
      </c>
      <c r="J5188" t="s">
        <v>944</v>
      </c>
      <c r="K5188" t="s">
        <v>55</v>
      </c>
      <c r="L5188" t="s">
        <v>945</v>
      </c>
      <c r="M5188" t="s">
        <v>57</v>
      </c>
      <c r="N5188" t="str">
        <f>"045583"</f>
        <v>045583</v>
      </c>
      <c r="O5188" t="s">
        <v>1899</v>
      </c>
      <c r="P5188" t="s">
        <v>68</v>
      </c>
      <c r="Q5188">
        <v>10.6</v>
      </c>
      <c r="R5188">
        <v>24.400000000000006</v>
      </c>
      <c r="S5188" t="s">
        <v>156</v>
      </c>
    </row>
    <row r="5189" spans="1:19" x14ac:dyDescent="0.35">
      <c r="A5189">
        <v>16012</v>
      </c>
      <c r="B5189" t="str">
        <f>"016012"</f>
        <v>016012</v>
      </c>
      <c r="C5189" t="s">
        <v>14168</v>
      </c>
      <c r="D5189" t="s">
        <v>3929</v>
      </c>
      <c r="E5189" t="s">
        <v>3395</v>
      </c>
      <c r="F5189" t="s">
        <v>3396</v>
      </c>
      <c r="G5189" t="s">
        <v>226</v>
      </c>
      <c r="H5189" t="s">
        <v>14169</v>
      </c>
      <c r="I5189" t="s">
        <v>14170</v>
      </c>
      <c r="J5189" t="s">
        <v>944</v>
      </c>
      <c r="K5189" t="s">
        <v>55</v>
      </c>
      <c r="L5189" t="s">
        <v>945</v>
      </c>
      <c r="M5189" t="s">
        <v>57</v>
      </c>
      <c r="N5189" t="str">
        <f>"045583"</f>
        <v>045583</v>
      </c>
      <c r="O5189" t="s">
        <v>1899</v>
      </c>
      <c r="P5189" t="s">
        <v>68</v>
      </c>
      <c r="Q5189">
        <v>10.6</v>
      </c>
      <c r="R5189">
        <v>24.400000000000006</v>
      </c>
      <c r="S5189" t="s">
        <v>156</v>
      </c>
    </row>
    <row r="5190" spans="1:19" x14ac:dyDescent="0.35">
      <c r="A5190">
        <v>16429</v>
      </c>
      <c r="B5190" t="str">
        <f>"016429"</f>
        <v>016429</v>
      </c>
      <c r="C5190" t="s">
        <v>14171</v>
      </c>
      <c r="D5190" t="s">
        <v>3398</v>
      </c>
      <c r="E5190" t="s">
        <v>3395</v>
      </c>
      <c r="F5190" t="s">
        <v>3396</v>
      </c>
      <c r="G5190" t="s">
        <v>63</v>
      </c>
      <c r="H5190" t="s">
        <v>14172</v>
      </c>
      <c r="I5190" t="s">
        <v>14173</v>
      </c>
      <c r="J5190" t="s">
        <v>285</v>
      </c>
      <c r="K5190" t="s">
        <v>55</v>
      </c>
      <c r="L5190" t="s">
        <v>3798</v>
      </c>
      <c r="M5190" t="s">
        <v>57</v>
      </c>
      <c r="N5190" t="str">
        <f>"043786"</f>
        <v>043786</v>
      </c>
      <c r="O5190" t="s">
        <v>1340</v>
      </c>
      <c r="P5190" t="s">
        <v>68</v>
      </c>
      <c r="Q5190">
        <v>100</v>
      </c>
      <c r="R5190">
        <v>89.3</v>
      </c>
      <c r="S5190" t="s">
        <v>69</v>
      </c>
    </row>
    <row r="5191" spans="1:19" x14ac:dyDescent="0.35">
      <c r="A5191">
        <v>16427</v>
      </c>
      <c r="B5191" t="str">
        <f>"016427"</f>
        <v>016427</v>
      </c>
      <c r="C5191" t="s">
        <v>14174</v>
      </c>
      <c r="D5191" t="s">
        <v>3398</v>
      </c>
      <c r="E5191" t="s">
        <v>3395</v>
      </c>
      <c r="F5191" t="s">
        <v>3396</v>
      </c>
      <c r="G5191" t="s">
        <v>63</v>
      </c>
      <c r="H5191" t="s">
        <v>13768</v>
      </c>
      <c r="I5191" t="s">
        <v>13769</v>
      </c>
      <c r="J5191" t="s">
        <v>285</v>
      </c>
      <c r="K5191" t="s">
        <v>55</v>
      </c>
      <c r="L5191" t="s">
        <v>3798</v>
      </c>
      <c r="M5191" t="s">
        <v>57</v>
      </c>
      <c r="N5191" t="str">
        <f>"043786"</f>
        <v>043786</v>
      </c>
      <c r="O5191" t="s">
        <v>1340</v>
      </c>
      <c r="P5191" t="s">
        <v>68</v>
      </c>
      <c r="Q5191">
        <v>100</v>
      </c>
      <c r="R5191">
        <v>87.2</v>
      </c>
      <c r="S5191" t="s">
        <v>69</v>
      </c>
    </row>
    <row r="5192" spans="1:19" x14ac:dyDescent="0.35">
      <c r="A5192">
        <v>16038</v>
      </c>
      <c r="B5192" t="str">
        <f>"016038"</f>
        <v>016038</v>
      </c>
      <c r="C5192" t="s">
        <v>14175</v>
      </c>
      <c r="D5192" t="s">
        <v>3394</v>
      </c>
      <c r="E5192" t="s">
        <v>3395</v>
      </c>
      <c r="F5192" t="s">
        <v>3396</v>
      </c>
      <c r="G5192" t="s">
        <v>600</v>
      </c>
      <c r="H5192" t="s">
        <v>14176</v>
      </c>
      <c r="I5192" t="s">
        <v>14177</v>
      </c>
      <c r="J5192" t="s">
        <v>1348</v>
      </c>
      <c r="K5192" t="s">
        <v>55</v>
      </c>
      <c r="L5192" t="s">
        <v>4840</v>
      </c>
      <c r="M5192" t="s">
        <v>57</v>
      </c>
      <c r="N5192" t="str">
        <f>"043802"</f>
        <v>043802</v>
      </c>
      <c r="O5192" t="s">
        <v>3171</v>
      </c>
      <c r="P5192" t="s">
        <v>68</v>
      </c>
      <c r="Q5192" t="s">
        <v>68</v>
      </c>
      <c r="R5192" t="s">
        <v>68</v>
      </c>
      <c r="S5192" t="s">
        <v>60</v>
      </c>
    </row>
    <row r="5193" spans="1:19" x14ac:dyDescent="0.35">
      <c r="A5193">
        <v>16119</v>
      </c>
      <c r="B5193" t="str">
        <f>"016119"</f>
        <v>016119</v>
      </c>
      <c r="C5193" t="s">
        <v>14178</v>
      </c>
      <c r="D5193" t="s">
        <v>3394</v>
      </c>
      <c r="E5193" t="s">
        <v>9538</v>
      </c>
      <c r="F5193" t="s">
        <v>3396</v>
      </c>
      <c r="G5193" t="s">
        <v>543</v>
      </c>
      <c r="H5193" t="s">
        <v>14179</v>
      </c>
      <c r="I5193" t="s">
        <v>14180</v>
      </c>
      <c r="J5193" t="s">
        <v>1858</v>
      </c>
      <c r="K5193" t="s">
        <v>55</v>
      </c>
      <c r="L5193" t="s">
        <v>4246</v>
      </c>
      <c r="M5193" t="s">
        <v>57</v>
      </c>
      <c r="N5193" t="str">
        <f>"016119"</f>
        <v>016119</v>
      </c>
      <c r="O5193" t="s">
        <v>14178</v>
      </c>
      <c r="P5193" t="s">
        <v>68</v>
      </c>
      <c r="Q5193" t="s">
        <v>68</v>
      </c>
      <c r="R5193" t="s">
        <v>68</v>
      </c>
      <c r="S5193" t="s">
        <v>180</v>
      </c>
    </row>
    <row r="5194" spans="1:19" x14ac:dyDescent="0.35">
      <c r="A5194">
        <v>16119</v>
      </c>
      <c r="B5194" t="str">
        <f>"016119"</f>
        <v>016119</v>
      </c>
      <c r="C5194" t="s">
        <v>14178</v>
      </c>
      <c r="D5194" t="s">
        <v>9541</v>
      </c>
      <c r="E5194" t="s">
        <v>9538</v>
      </c>
      <c r="F5194" t="s">
        <v>3396</v>
      </c>
      <c r="G5194" t="s">
        <v>543</v>
      </c>
      <c r="H5194" t="s">
        <v>14179</v>
      </c>
      <c r="I5194" t="s">
        <v>14180</v>
      </c>
      <c r="J5194" t="s">
        <v>1858</v>
      </c>
      <c r="K5194" t="s">
        <v>55</v>
      </c>
      <c r="L5194" t="s">
        <v>4246</v>
      </c>
      <c r="M5194" t="s">
        <v>57</v>
      </c>
      <c r="N5194" t="str">
        <f>"016119"</f>
        <v>016119</v>
      </c>
      <c r="O5194" t="s">
        <v>14178</v>
      </c>
      <c r="P5194" t="s">
        <v>68</v>
      </c>
      <c r="Q5194" t="s">
        <v>68</v>
      </c>
      <c r="R5194" t="s">
        <v>68</v>
      </c>
      <c r="S5194" t="s">
        <v>180</v>
      </c>
    </row>
    <row r="5195" spans="1:19" x14ac:dyDescent="0.35">
      <c r="A5195">
        <v>16106</v>
      </c>
      <c r="B5195" t="str">
        <f>"016106"</f>
        <v>016106</v>
      </c>
      <c r="C5195" t="s">
        <v>14181</v>
      </c>
      <c r="D5195" t="s">
        <v>3394</v>
      </c>
      <c r="E5195" t="s">
        <v>3395</v>
      </c>
      <c r="F5195" t="s">
        <v>3396</v>
      </c>
      <c r="G5195" t="s">
        <v>212</v>
      </c>
      <c r="H5195" t="s">
        <v>14182</v>
      </c>
      <c r="I5195" t="s">
        <v>14183</v>
      </c>
      <c r="J5195" t="s">
        <v>215</v>
      </c>
      <c r="K5195" t="s">
        <v>55</v>
      </c>
      <c r="L5195" t="s">
        <v>2468</v>
      </c>
      <c r="M5195" t="s">
        <v>57</v>
      </c>
      <c r="N5195" t="str">
        <f>"043752"</f>
        <v>043752</v>
      </c>
      <c r="O5195" t="s">
        <v>440</v>
      </c>
      <c r="P5195" t="s">
        <v>68</v>
      </c>
      <c r="Q5195" t="s">
        <v>68</v>
      </c>
      <c r="R5195" t="s">
        <v>68</v>
      </c>
      <c r="S5195" t="s">
        <v>217</v>
      </c>
    </row>
    <row r="5196" spans="1:19" x14ac:dyDescent="0.35">
      <c r="A5196">
        <v>16118</v>
      </c>
      <c r="B5196" t="str">
        <f>"016118"</f>
        <v>016118</v>
      </c>
      <c r="C5196" t="s">
        <v>14184</v>
      </c>
      <c r="D5196" t="s">
        <v>3394</v>
      </c>
      <c r="E5196" t="s">
        <v>3395</v>
      </c>
      <c r="F5196" t="s">
        <v>3396</v>
      </c>
      <c r="G5196" t="s">
        <v>117</v>
      </c>
      <c r="H5196" t="s">
        <v>975</v>
      </c>
      <c r="I5196" t="s">
        <v>976</v>
      </c>
      <c r="J5196" t="s">
        <v>977</v>
      </c>
      <c r="K5196" t="s">
        <v>55</v>
      </c>
      <c r="L5196" t="s">
        <v>978</v>
      </c>
      <c r="M5196" t="s">
        <v>57</v>
      </c>
      <c r="N5196" t="str">
        <f>"044354"</f>
        <v>044354</v>
      </c>
      <c r="O5196" t="s">
        <v>974</v>
      </c>
      <c r="P5196" t="s">
        <v>68</v>
      </c>
      <c r="Q5196" t="s">
        <v>68</v>
      </c>
      <c r="R5196" t="s">
        <v>68</v>
      </c>
      <c r="S5196" t="s">
        <v>77</v>
      </c>
    </row>
    <row r="5197" spans="1:19" x14ac:dyDescent="0.35">
      <c r="A5197">
        <v>16128</v>
      </c>
      <c r="B5197" t="str">
        <f>"016128"</f>
        <v>016128</v>
      </c>
      <c r="C5197" t="s">
        <v>14185</v>
      </c>
      <c r="D5197" t="s">
        <v>3394</v>
      </c>
      <c r="E5197" t="s">
        <v>3395</v>
      </c>
      <c r="F5197" t="s">
        <v>3396</v>
      </c>
      <c r="G5197" t="s">
        <v>71</v>
      </c>
      <c r="H5197" t="s">
        <v>14186</v>
      </c>
      <c r="I5197" t="s">
        <v>14187</v>
      </c>
      <c r="J5197" t="s">
        <v>447</v>
      </c>
      <c r="K5197" t="s">
        <v>55</v>
      </c>
      <c r="L5197" t="s">
        <v>448</v>
      </c>
      <c r="M5197" t="s">
        <v>57</v>
      </c>
      <c r="N5197" t="str">
        <f>"044487"</f>
        <v>044487</v>
      </c>
      <c r="O5197" t="s">
        <v>444</v>
      </c>
      <c r="P5197" t="s">
        <v>68</v>
      </c>
      <c r="Q5197" t="s">
        <v>68</v>
      </c>
      <c r="R5197" t="s">
        <v>68</v>
      </c>
      <c r="S5197" t="s">
        <v>77</v>
      </c>
    </row>
    <row r="5198" spans="1:19" x14ac:dyDescent="0.35">
      <c r="A5198">
        <v>16433</v>
      </c>
      <c r="B5198" t="str">
        <f>"016433"</f>
        <v>016433</v>
      </c>
      <c r="C5198" t="s">
        <v>14188</v>
      </c>
      <c r="D5198" t="s">
        <v>3398</v>
      </c>
      <c r="E5198" t="s">
        <v>9538</v>
      </c>
      <c r="F5198" t="s">
        <v>3396</v>
      </c>
      <c r="G5198" t="s">
        <v>600</v>
      </c>
      <c r="H5198" t="s">
        <v>14189</v>
      </c>
      <c r="I5198" t="s">
        <v>14190</v>
      </c>
      <c r="J5198" t="s">
        <v>1348</v>
      </c>
      <c r="K5198" t="s">
        <v>55</v>
      </c>
      <c r="L5198" t="s">
        <v>5611</v>
      </c>
      <c r="M5198" t="s">
        <v>57</v>
      </c>
      <c r="N5198" t="str">
        <f>"016433"</f>
        <v>016433</v>
      </c>
      <c r="O5198" t="s">
        <v>14188</v>
      </c>
      <c r="P5198" t="s">
        <v>68</v>
      </c>
      <c r="Q5198" t="s">
        <v>68</v>
      </c>
      <c r="R5198" t="s">
        <v>68</v>
      </c>
      <c r="S5198" t="s">
        <v>60</v>
      </c>
    </row>
    <row r="5199" spans="1:19" x14ac:dyDescent="0.35">
      <c r="A5199">
        <v>16433</v>
      </c>
      <c r="B5199" t="str">
        <f>"016433"</f>
        <v>016433</v>
      </c>
      <c r="C5199" t="s">
        <v>14188</v>
      </c>
      <c r="D5199" t="s">
        <v>9541</v>
      </c>
      <c r="E5199" t="s">
        <v>9538</v>
      </c>
      <c r="F5199" t="s">
        <v>3396</v>
      </c>
      <c r="G5199" t="s">
        <v>600</v>
      </c>
      <c r="H5199" t="s">
        <v>14189</v>
      </c>
      <c r="I5199" t="s">
        <v>14190</v>
      </c>
      <c r="J5199" t="s">
        <v>1348</v>
      </c>
      <c r="K5199" t="s">
        <v>55</v>
      </c>
      <c r="L5199" t="s">
        <v>5611</v>
      </c>
      <c r="M5199" t="s">
        <v>57</v>
      </c>
      <c r="N5199" t="str">
        <f>"016433"</f>
        <v>016433</v>
      </c>
      <c r="O5199" t="s">
        <v>14188</v>
      </c>
      <c r="P5199" t="s">
        <v>68</v>
      </c>
      <c r="Q5199" t="s">
        <v>68</v>
      </c>
      <c r="R5199" t="s">
        <v>68</v>
      </c>
      <c r="S5199" t="s">
        <v>60</v>
      </c>
    </row>
    <row r="5200" spans="1:19" x14ac:dyDescent="0.35">
      <c r="A5200">
        <v>16431</v>
      </c>
      <c r="B5200" t="str">
        <f>"016431"</f>
        <v>016431</v>
      </c>
      <c r="C5200" t="s">
        <v>14191</v>
      </c>
      <c r="D5200" t="s">
        <v>3394</v>
      </c>
      <c r="E5200" t="s">
        <v>9538</v>
      </c>
      <c r="F5200" t="s">
        <v>3396</v>
      </c>
      <c r="G5200" t="s">
        <v>143</v>
      </c>
      <c r="H5200" t="s">
        <v>14192</v>
      </c>
      <c r="I5200" t="s">
        <v>14193</v>
      </c>
      <c r="J5200" t="s">
        <v>8649</v>
      </c>
      <c r="K5200" t="s">
        <v>55</v>
      </c>
      <c r="L5200" t="s">
        <v>3077</v>
      </c>
      <c r="M5200" t="s">
        <v>57</v>
      </c>
      <c r="N5200" t="str">
        <f>"052571"</f>
        <v>052571</v>
      </c>
      <c r="O5200" t="s">
        <v>2843</v>
      </c>
      <c r="P5200" t="s">
        <v>68</v>
      </c>
      <c r="Q5200" t="s">
        <v>68</v>
      </c>
      <c r="R5200" t="s">
        <v>68</v>
      </c>
      <c r="S5200" t="s">
        <v>69</v>
      </c>
    </row>
    <row r="5201" spans="1:19" x14ac:dyDescent="0.35">
      <c r="A5201">
        <v>16442</v>
      </c>
      <c r="B5201" t="str">
        <f>"016442"</f>
        <v>016442</v>
      </c>
      <c r="C5201" t="s">
        <v>14194</v>
      </c>
      <c r="D5201" t="s">
        <v>3394</v>
      </c>
      <c r="E5201" t="s">
        <v>3395</v>
      </c>
      <c r="F5201" t="s">
        <v>3396</v>
      </c>
      <c r="G5201" t="s">
        <v>264</v>
      </c>
      <c r="H5201" t="s">
        <v>14195</v>
      </c>
      <c r="I5201" t="s">
        <v>14196</v>
      </c>
      <c r="J5201" t="s">
        <v>267</v>
      </c>
      <c r="K5201" t="s">
        <v>55</v>
      </c>
      <c r="L5201" t="s">
        <v>6359</v>
      </c>
      <c r="M5201" t="s">
        <v>57</v>
      </c>
      <c r="N5201" t="str">
        <f>"043489"</f>
        <v>043489</v>
      </c>
      <c r="O5201" t="s">
        <v>3176</v>
      </c>
      <c r="P5201" t="s">
        <v>68</v>
      </c>
      <c r="Q5201" t="s">
        <v>68</v>
      </c>
      <c r="R5201" t="s">
        <v>68</v>
      </c>
      <c r="S5201" t="s">
        <v>77</v>
      </c>
    </row>
    <row r="5202" spans="1:19" x14ac:dyDescent="0.35">
      <c r="A5202">
        <v>16476</v>
      </c>
      <c r="B5202" t="str">
        <f>"016476"</f>
        <v>016476</v>
      </c>
      <c r="C5202" t="s">
        <v>14197</v>
      </c>
      <c r="D5202" t="s">
        <v>3394</v>
      </c>
      <c r="E5202" t="s">
        <v>3395</v>
      </c>
      <c r="F5202" t="s">
        <v>3396</v>
      </c>
      <c r="G5202" t="s">
        <v>244</v>
      </c>
      <c r="H5202" t="s">
        <v>14198</v>
      </c>
      <c r="I5202" t="s">
        <v>14199</v>
      </c>
      <c r="J5202" t="s">
        <v>92</v>
      </c>
      <c r="K5202" t="s">
        <v>55</v>
      </c>
      <c r="L5202" t="s">
        <v>2423</v>
      </c>
      <c r="M5202" t="s">
        <v>57</v>
      </c>
      <c r="N5202" t="str">
        <f>"046102"</f>
        <v>046102</v>
      </c>
      <c r="O5202" t="s">
        <v>2420</v>
      </c>
      <c r="P5202" t="s">
        <v>68</v>
      </c>
      <c r="Q5202">
        <v>59.3</v>
      </c>
      <c r="R5202">
        <v>76.2</v>
      </c>
      <c r="S5202" t="s">
        <v>217</v>
      </c>
    </row>
    <row r="5203" spans="1:19" x14ac:dyDescent="0.35">
      <c r="A5203">
        <v>16488</v>
      </c>
      <c r="B5203" t="str">
        <f>"016488"</f>
        <v>016488</v>
      </c>
      <c r="C5203" t="s">
        <v>14200</v>
      </c>
      <c r="D5203" t="s">
        <v>3394</v>
      </c>
      <c r="E5203" t="s">
        <v>3395</v>
      </c>
      <c r="F5203" t="s">
        <v>3396</v>
      </c>
      <c r="G5203" t="s">
        <v>200</v>
      </c>
      <c r="H5203" t="s">
        <v>14201</v>
      </c>
      <c r="I5203" t="s">
        <v>14202</v>
      </c>
      <c r="J5203" t="s">
        <v>3036</v>
      </c>
      <c r="K5203" t="s">
        <v>55</v>
      </c>
      <c r="L5203" t="s">
        <v>3037</v>
      </c>
      <c r="M5203" t="s">
        <v>57</v>
      </c>
      <c r="N5203" t="str">
        <f>"045583"</f>
        <v>045583</v>
      </c>
      <c r="O5203" t="s">
        <v>1899</v>
      </c>
      <c r="P5203" t="s">
        <v>68</v>
      </c>
      <c r="Q5203" t="s">
        <v>68</v>
      </c>
      <c r="R5203" t="s">
        <v>68</v>
      </c>
      <c r="S5203" t="s">
        <v>156</v>
      </c>
    </row>
    <row r="5204" spans="1:19" x14ac:dyDescent="0.35">
      <c r="A5204">
        <v>16614</v>
      </c>
      <c r="B5204" t="str">
        <f>"016614"</f>
        <v>016614</v>
      </c>
      <c r="C5204" t="s">
        <v>14203</v>
      </c>
      <c r="D5204" t="s">
        <v>3394</v>
      </c>
      <c r="E5204" t="s">
        <v>3395</v>
      </c>
      <c r="F5204" t="s">
        <v>3396</v>
      </c>
      <c r="G5204" t="s">
        <v>600</v>
      </c>
      <c r="H5204" t="s">
        <v>14176</v>
      </c>
      <c r="I5204" t="s">
        <v>14177</v>
      </c>
      <c r="J5204" t="s">
        <v>1348</v>
      </c>
      <c r="K5204" t="s">
        <v>55</v>
      </c>
      <c r="L5204" t="s">
        <v>4840</v>
      </c>
      <c r="M5204" t="s">
        <v>57</v>
      </c>
      <c r="N5204" t="str">
        <f>"043802"</f>
        <v>043802</v>
      </c>
      <c r="O5204" t="s">
        <v>3171</v>
      </c>
      <c r="P5204" t="s">
        <v>68</v>
      </c>
      <c r="Q5204" t="s">
        <v>68</v>
      </c>
      <c r="R5204" t="s">
        <v>68</v>
      </c>
      <c r="S5204" t="s">
        <v>60</v>
      </c>
    </row>
    <row r="5205" spans="1:19" x14ac:dyDescent="0.35">
      <c r="A5205">
        <v>16672</v>
      </c>
      <c r="B5205" t="str">
        <f>"016672"</f>
        <v>016672</v>
      </c>
      <c r="C5205" t="s">
        <v>14204</v>
      </c>
      <c r="D5205" t="s">
        <v>3398</v>
      </c>
      <c r="E5205" t="s">
        <v>3395</v>
      </c>
      <c r="F5205" t="s">
        <v>3396</v>
      </c>
      <c r="G5205" t="s">
        <v>244</v>
      </c>
      <c r="H5205" t="s">
        <v>14205</v>
      </c>
      <c r="I5205" t="s">
        <v>14206</v>
      </c>
      <c r="J5205" t="s">
        <v>212</v>
      </c>
      <c r="K5205" t="s">
        <v>55</v>
      </c>
      <c r="L5205" t="s">
        <v>2312</v>
      </c>
      <c r="M5205" t="s">
        <v>57</v>
      </c>
      <c r="N5205" t="str">
        <f>"044107"</f>
        <v>044107</v>
      </c>
      <c r="O5205" t="s">
        <v>971</v>
      </c>
      <c r="P5205" t="s">
        <v>68</v>
      </c>
      <c r="Q5205">
        <v>100</v>
      </c>
      <c r="R5205">
        <v>40.4</v>
      </c>
      <c r="S5205" t="s">
        <v>217</v>
      </c>
    </row>
    <row r="5206" spans="1:19" x14ac:dyDescent="0.35">
      <c r="A5206">
        <v>16731</v>
      </c>
      <c r="B5206" t="str">
        <f>"016731"</f>
        <v>016731</v>
      </c>
      <c r="C5206" t="s">
        <v>14207</v>
      </c>
      <c r="D5206" t="s">
        <v>3543</v>
      </c>
      <c r="E5206" t="s">
        <v>3395</v>
      </c>
      <c r="F5206" t="s">
        <v>3396</v>
      </c>
      <c r="G5206" t="s">
        <v>63</v>
      </c>
      <c r="H5206" t="s">
        <v>1884</v>
      </c>
      <c r="I5206" t="s">
        <v>1885</v>
      </c>
      <c r="J5206" t="s">
        <v>871</v>
      </c>
      <c r="K5206" t="s">
        <v>55</v>
      </c>
      <c r="L5206" t="s">
        <v>872</v>
      </c>
      <c r="M5206" t="s">
        <v>57</v>
      </c>
      <c r="N5206" t="str">
        <f>"044701"</f>
        <v>044701</v>
      </c>
      <c r="O5206" t="s">
        <v>1883</v>
      </c>
      <c r="P5206" t="s">
        <v>68</v>
      </c>
      <c r="Q5206" t="s">
        <v>68</v>
      </c>
      <c r="R5206" t="s">
        <v>68</v>
      </c>
      <c r="S5206" t="s">
        <v>69</v>
      </c>
    </row>
    <row r="5207" spans="1:19" x14ac:dyDescent="0.35">
      <c r="A5207">
        <v>16680</v>
      </c>
      <c r="B5207" t="str">
        <f>"016680"</f>
        <v>016680</v>
      </c>
      <c r="C5207" t="s">
        <v>14208</v>
      </c>
      <c r="D5207" t="s">
        <v>3398</v>
      </c>
      <c r="E5207" t="s">
        <v>9538</v>
      </c>
      <c r="F5207" t="s">
        <v>3396</v>
      </c>
      <c r="G5207" t="s">
        <v>344</v>
      </c>
      <c r="H5207" t="s">
        <v>14209</v>
      </c>
      <c r="I5207" t="s">
        <v>14210</v>
      </c>
      <c r="J5207" t="s">
        <v>3376</v>
      </c>
      <c r="K5207" t="s">
        <v>55</v>
      </c>
      <c r="L5207" t="s">
        <v>3377</v>
      </c>
      <c r="M5207" t="s">
        <v>57</v>
      </c>
      <c r="N5207" t="str">
        <f>"016680"</f>
        <v>016680</v>
      </c>
      <c r="O5207" t="s">
        <v>14208</v>
      </c>
      <c r="P5207" t="s">
        <v>68</v>
      </c>
      <c r="Q5207" t="s">
        <v>68</v>
      </c>
      <c r="R5207" t="s">
        <v>68</v>
      </c>
      <c r="S5207" t="s">
        <v>156</v>
      </c>
    </row>
    <row r="5208" spans="1:19" x14ac:dyDescent="0.35">
      <c r="A5208">
        <v>16680</v>
      </c>
      <c r="B5208" t="str">
        <f>"016680"</f>
        <v>016680</v>
      </c>
      <c r="C5208" t="s">
        <v>14208</v>
      </c>
      <c r="D5208" t="s">
        <v>9541</v>
      </c>
      <c r="E5208" t="s">
        <v>9538</v>
      </c>
      <c r="F5208" t="s">
        <v>3396</v>
      </c>
      <c r="G5208" t="s">
        <v>344</v>
      </c>
      <c r="H5208" t="s">
        <v>14209</v>
      </c>
      <c r="I5208" t="s">
        <v>14210</v>
      </c>
      <c r="J5208" t="s">
        <v>3376</v>
      </c>
      <c r="K5208" t="s">
        <v>55</v>
      </c>
      <c r="L5208" t="s">
        <v>3377</v>
      </c>
      <c r="M5208" t="s">
        <v>57</v>
      </c>
      <c r="N5208" t="str">
        <f>"016680"</f>
        <v>016680</v>
      </c>
      <c r="O5208" t="s">
        <v>14208</v>
      </c>
      <c r="P5208" t="s">
        <v>68</v>
      </c>
      <c r="Q5208" t="s">
        <v>68</v>
      </c>
      <c r="R5208" t="s">
        <v>68</v>
      </c>
      <c r="S5208" t="s">
        <v>156</v>
      </c>
    </row>
    <row r="5209" spans="1:19" x14ac:dyDescent="0.35">
      <c r="A5209">
        <v>16689</v>
      </c>
      <c r="B5209" t="str">
        <f>"016689"</f>
        <v>016689</v>
      </c>
      <c r="C5209" t="s">
        <v>14211</v>
      </c>
      <c r="D5209" t="s">
        <v>3398</v>
      </c>
      <c r="E5209" t="s">
        <v>9538</v>
      </c>
      <c r="F5209" t="s">
        <v>3396</v>
      </c>
      <c r="G5209" t="s">
        <v>63</v>
      </c>
      <c r="H5209" t="s">
        <v>14212</v>
      </c>
      <c r="I5209" t="s">
        <v>14213</v>
      </c>
      <c r="J5209" t="s">
        <v>66</v>
      </c>
      <c r="K5209" t="s">
        <v>55</v>
      </c>
      <c r="L5209" t="s">
        <v>67</v>
      </c>
      <c r="M5209" t="s">
        <v>57</v>
      </c>
      <c r="N5209" t="str">
        <f>"016689"</f>
        <v>016689</v>
      </c>
      <c r="O5209" t="s">
        <v>14211</v>
      </c>
      <c r="P5209" t="s">
        <v>68</v>
      </c>
      <c r="Q5209" t="s">
        <v>68</v>
      </c>
      <c r="R5209" t="s">
        <v>68</v>
      </c>
      <c r="S5209" t="s">
        <v>69</v>
      </c>
    </row>
    <row r="5210" spans="1:19" x14ac:dyDescent="0.35">
      <c r="A5210">
        <v>16689</v>
      </c>
      <c r="B5210" t="str">
        <f>"016689"</f>
        <v>016689</v>
      </c>
      <c r="C5210" t="s">
        <v>14211</v>
      </c>
      <c r="D5210" t="s">
        <v>9541</v>
      </c>
      <c r="E5210" t="s">
        <v>9538</v>
      </c>
      <c r="F5210" t="s">
        <v>3396</v>
      </c>
      <c r="G5210" t="s">
        <v>63</v>
      </c>
      <c r="H5210" t="s">
        <v>14212</v>
      </c>
      <c r="I5210" t="s">
        <v>14213</v>
      </c>
      <c r="J5210" t="s">
        <v>66</v>
      </c>
      <c r="K5210" t="s">
        <v>55</v>
      </c>
      <c r="L5210" t="s">
        <v>67</v>
      </c>
      <c r="M5210" t="s">
        <v>57</v>
      </c>
      <c r="N5210" t="str">
        <f>"016689"</f>
        <v>016689</v>
      </c>
      <c r="O5210" t="s">
        <v>14211</v>
      </c>
      <c r="P5210" t="s">
        <v>68</v>
      </c>
      <c r="Q5210" t="s">
        <v>68</v>
      </c>
      <c r="R5210" t="s">
        <v>68</v>
      </c>
      <c r="S5210" t="s">
        <v>69</v>
      </c>
    </row>
    <row r="5211" spans="1:19" x14ac:dyDescent="0.35">
      <c r="A5211">
        <v>16702</v>
      </c>
      <c r="B5211" t="str">
        <f>"016702"</f>
        <v>016702</v>
      </c>
      <c r="C5211" t="s">
        <v>14214</v>
      </c>
      <c r="D5211" t="s">
        <v>3394</v>
      </c>
      <c r="E5211" t="s">
        <v>3395</v>
      </c>
      <c r="F5211" t="s">
        <v>3396</v>
      </c>
      <c r="G5211" t="s">
        <v>212</v>
      </c>
      <c r="H5211" t="s">
        <v>14215</v>
      </c>
      <c r="I5211" t="s">
        <v>14216</v>
      </c>
      <c r="J5211" t="s">
        <v>215</v>
      </c>
      <c r="K5211" t="s">
        <v>55</v>
      </c>
      <c r="L5211" t="s">
        <v>5034</v>
      </c>
      <c r="M5211" t="s">
        <v>57</v>
      </c>
      <c r="N5211" t="str">
        <f>"043752"</f>
        <v>043752</v>
      </c>
      <c r="O5211" t="s">
        <v>440</v>
      </c>
      <c r="P5211" t="s">
        <v>68</v>
      </c>
      <c r="Q5211">
        <v>38.700000000000003</v>
      </c>
      <c r="R5211">
        <v>91.6</v>
      </c>
      <c r="S5211" t="s">
        <v>217</v>
      </c>
    </row>
    <row r="5212" spans="1:19" x14ac:dyDescent="0.35">
      <c r="A5212">
        <v>16703</v>
      </c>
      <c r="B5212" t="str">
        <f>"016703"</f>
        <v>016703</v>
      </c>
      <c r="C5212" t="s">
        <v>14217</v>
      </c>
      <c r="D5212" t="s">
        <v>3394</v>
      </c>
      <c r="E5212" t="s">
        <v>3395</v>
      </c>
      <c r="F5212" t="s">
        <v>3396</v>
      </c>
      <c r="G5212" t="s">
        <v>212</v>
      </c>
      <c r="H5212" t="s">
        <v>14218</v>
      </c>
      <c r="I5212" t="s">
        <v>14219</v>
      </c>
      <c r="J5212" t="s">
        <v>215</v>
      </c>
      <c r="K5212" t="s">
        <v>55</v>
      </c>
      <c r="L5212" t="s">
        <v>6998</v>
      </c>
      <c r="M5212" t="s">
        <v>57</v>
      </c>
      <c r="N5212" t="str">
        <f>"043752"</f>
        <v>043752</v>
      </c>
      <c r="O5212" t="s">
        <v>440</v>
      </c>
      <c r="P5212" t="s">
        <v>68</v>
      </c>
      <c r="Q5212">
        <v>54.8</v>
      </c>
      <c r="R5212">
        <v>100</v>
      </c>
      <c r="S5212" t="s">
        <v>217</v>
      </c>
    </row>
    <row r="5213" spans="1:19" x14ac:dyDescent="0.35">
      <c r="A5213">
        <v>16701</v>
      </c>
      <c r="B5213" t="str">
        <f>"016701"</f>
        <v>016701</v>
      </c>
      <c r="C5213" t="s">
        <v>14220</v>
      </c>
      <c r="D5213" t="s">
        <v>3398</v>
      </c>
      <c r="E5213" t="s">
        <v>3395</v>
      </c>
      <c r="F5213" t="s">
        <v>3396</v>
      </c>
      <c r="G5213" t="s">
        <v>212</v>
      </c>
      <c r="H5213" t="s">
        <v>14221</v>
      </c>
      <c r="I5213" t="s">
        <v>14222</v>
      </c>
      <c r="J5213" t="s">
        <v>215</v>
      </c>
      <c r="K5213" t="s">
        <v>55</v>
      </c>
      <c r="L5213" t="s">
        <v>4767</v>
      </c>
      <c r="M5213" t="s">
        <v>57</v>
      </c>
      <c r="N5213" t="str">
        <f>"043752"</f>
        <v>043752</v>
      </c>
      <c r="O5213" t="s">
        <v>440</v>
      </c>
      <c r="P5213" t="s">
        <v>68</v>
      </c>
      <c r="Q5213">
        <v>31.8</v>
      </c>
      <c r="R5213">
        <v>49.4</v>
      </c>
      <c r="S5213" t="s">
        <v>217</v>
      </c>
    </row>
    <row r="5214" spans="1:19" x14ac:dyDescent="0.35">
      <c r="A5214">
        <v>16732</v>
      </c>
      <c r="B5214" t="str">
        <f>"016732"</f>
        <v>016732</v>
      </c>
      <c r="C5214" t="s">
        <v>14223</v>
      </c>
      <c r="D5214" t="s">
        <v>3394</v>
      </c>
      <c r="E5214" t="s">
        <v>3395</v>
      </c>
      <c r="F5214" t="s">
        <v>3396</v>
      </c>
      <c r="G5214" t="s">
        <v>110</v>
      </c>
      <c r="H5214" t="s">
        <v>14224</v>
      </c>
      <c r="I5214" t="s">
        <v>14225</v>
      </c>
      <c r="J5214" t="s">
        <v>6238</v>
      </c>
      <c r="K5214" t="s">
        <v>55</v>
      </c>
      <c r="L5214" t="s">
        <v>1028</v>
      </c>
      <c r="M5214" t="s">
        <v>57</v>
      </c>
      <c r="N5214" t="str">
        <f>"048041"</f>
        <v>048041</v>
      </c>
      <c r="O5214" t="s">
        <v>2424</v>
      </c>
      <c r="P5214" t="s">
        <v>68</v>
      </c>
      <c r="Q5214" t="s">
        <v>68</v>
      </c>
      <c r="R5214" t="s">
        <v>68</v>
      </c>
      <c r="S5214" t="s">
        <v>60</v>
      </c>
    </row>
    <row r="5215" spans="1:19" x14ac:dyDescent="0.35">
      <c r="A5215">
        <v>16805</v>
      </c>
      <c r="B5215" t="str">
        <f>"016805"</f>
        <v>016805</v>
      </c>
      <c r="C5215" t="s">
        <v>14226</v>
      </c>
      <c r="D5215" t="s">
        <v>3394</v>
      </c>
      <c r="E5215" t="s">
        <v>3395</v>
      </c>
      <c r="F5215" t="s">
        <v>3396</v>
      </c>
      <c r="G5215" t="s">
        <v>383</v>
      </c>
      <c r="H5215" t="s">
        <v>14227</v>
      </c>
      <c r="I5215" t="s">
        <v>14228</v>
      </c>
      <c r="J5215" t="s">
        <v>1215</v>
      </c>
      <c r="K5215" t="s">
        <v>55</v>
      </c>
      <c r="L5215" t="s">
        <v>10520</v>
      </c>
      <c r="M5215" t="s">
        <v>57</v>
      </c>
      <c r="N5215" t="str">
        <f>"045161"</f>
        <v>045161</v>
      </c>
      <c r="O5215" t="s">
        <v>1212</v>
      </c>
      <c r="P5215" t="s">
        <v>68</v>
      </c>
      <c r="Q5215">
        <v>100</v>
      </c>
      <c r="R5215">
        <v>80.7</v>
      </c>
      <c r="S5215" t="s">
        <v>77</v>
      </c>
    </row>
    <row r="5216" spans="1:19" x14ac:dyDescent="0.35">
      <c r="A5216">
        <v>16804</v>
      </c>
      <c r="B5216" t="str">
        <f>"016804"</f>
        <v>016804</v>
      </c>
      <c r="C5216" t="s">
        <v>14229</v>
      </c>
      <c r="D5216" t="s">
        <v>3398</v>
      </c>
      <c r="E5216" t="s">
        <v>3395</v>
      </c>
      <c r="F5216" t="s">
        <v>3396</v>
      </c>
      <c r="G5216" t="s">
        <v>383</v>
      </c>
      <c r="H5216" t="s">
        <v>13454</v>
      </c>
      <c r="I5216" t="s">
        <v>13455</v>
      </c>
      <c r="J5216" t="s">
        <v>1215</v>
      </c>
      <c r="K5216" t="s">
        <v>55</v>
      </c>
      <c r="L5216" t="s">
        <v>8607</v>
      </c>
      <c r="M5216" t="s">
        <v>57</v>
      </c>
      <c r="N5216" t="str">
        <f>"045161"</f>
        <v>045161</v>
      </c>
      <c r="O5216" t="s">
        <v>1212</v>
      </c>
      <c r="P5216" t="s">
        <v>68</v>
      </c>
      <c r="Q5216">
        <v>99</v>
      </c>
      <c r="R5216">
        <v>85.9</v>
      </c>
      <c r="S5216" t="s">
        <v>77</v>
      </c>
    </row>
    <row r="5217" spans="1:19" x14ac:dyDescent="0.35">
      <c r="A5217">
        <v>16806</v>
      </c>
      <c r="B5217" t="str">
        <f>"016806"</f>
        <v>016806</v>
      </c>
      <c r="C5217" t="s">
        <v>14230</v>
      </c>
      <c r="D5217" t="s">
        <v>3394</v>
      </c>
      <c r="E5217" t="s">
        <v>3395</v>
      </c>
      <c r="F5217" t="s">
        <v>3396</v>
      </c>
      <c r="G5217" t="s">
        <v>383</v>
      </c>
      <c r="H5217" t="s">
        <v>14231</v>
      </c>
      <c r="I5217" t="s">
        <v>14232</v>
      </c>
      <c r="J5217" t="s">
        <v>1215</v>
      </c>
      <c r="K5217" t="s">
        <v>55</v>
      </c>
      <c r="L5217" t="s">
        <v>10520</v>
      </c>
      <c r="M5217" t="s">
        <v>57</v>
      </c>
      <c r="N5217" t="str">
        <f>"045161"</f>
        <v>045161</v>
      </c>
      <c r="O5217" t="s">
        <v>1212</v>
      </c>
      <c r="P5217" t="s">
        <v>68</v>
      </c>
      <c r="Q5217">
        <v>100</v>
      </c>
      <c r="R5217">
        <v>85.3</v>
      </c>
      <c r="S5217" t="s">
        <v>77</v>
      </c>
    </row>
    <row r="5218" spans="1:19" x14ac:dyDescent="0.35">
      <c r="A5218">
        <v>16796</v>
      </c>
      <c r="B5218" t="str">
        <f>"016796"</f>
        <v>016796</v>
      </c>
      <c r="C5218" t="s">
        <v>14233</v>
      </c>
      <c r="D5218" t="s">
        <v>3400</v>
      </c>
      <c r="E5218" t="s">
        <v>3395</v>
      </c>
      <c r="F5218" t="s">
        <v>3396</v>
      </c>
      <c r="G5218" t="s">
        <v>63</v>
      </c>
      <c r="H5218" t="s">
        <v>2288</v>
      </c>
      <c r="I5218" t="s">
        <v>2289</v>
      </c>
      <c r="J5218" t="s">
        <v>2290</v>
      </c>
      <c r="K5218" t="s">
        <v>55</v>
      </c>
      <c r="L5218" t="s">
        <v>2291</v>
      </c>
      <c r="M5218" t="s">
        <v>57</v>
      </c>
      <c r="N5218" t="str">
        <f>"046599"</f>
        <v>046599</v>
      </c>
      <c r="O5218" t="s">
        <v>2287</v>
      </c>
      <c r="P5218" t="s">
        <v>68</v>
      </c>
      <c r="Q5218">
        <v>63.8</v>
      </c>
      <c r="R5218">
        <v>100</v>
      </c>
      <c r="S5218" t="s">
        <v>69</v>
      </c>
    </row>
    <row r="5219" spans="1:19" x14ac:dyDescent="0.35">
      <c r="A5219">
        <v>16886</v>
      </c>
      <c r="B5219" t="str">
        <f>"016886"</f>
        <v>016886</v>
      </c>
      <c r="C5219" t="s">
        <v>14234</v>
      </c>
      <c r="D5219" t="s">
        <v>3398</v>
      </c>
      <c r="E5219" t="s">
        <v>3395</v>
      </c>
      <c r="F5219" t="s">
        <v>3396</v>
      </c>
      <c r="G5219" t="s">
        <v>63</v>
      </c>
      <c r="H5219" t="s">
        <v>14235</v>
      </c>
      <c r="I5219" t="s">
        <v>14236</v>
      </c>
      <c r="J5219" t="s">
        <v>285</v>
      </c>
      <c r="K5219" t="s">
        <v>55</v>
      </c>
      <c r="L5219" t="s">
        <v>609</v>
      </c>
      <c r="M5219" t="s">
        <v>57</v>
      </c>
      <c r="N5219" t="str">
        <f>"043786"</f>
        <v>043786</v>
      </c>
      <c r="O5219" t="s">
        <v>1340</v>
      </c>
      <c r="P5219" t="s">
        <v>68</v>
      </c>
      <c r="Q5219">
        <v>100</v>
      </c>
      <c r="R5219">
        <v>92</v>
      </c>
      <c r="S5219" t="s">
        <v>69</v>
      </c>
    </row>
    <row r="5220" spans="1:19" x14ac:dyDescent="0.35">
      <c r="A5220">
        <v>16887</v>
      </c>
      <c r="B5220" t="str">
        <f>"016887"</f>
        <v>016887</v>
      </c>
      <c r="C5220" t="s">
        <v>14237</v>
      </c>
      <c r="D5220" t="s">
        <v>3398</v>
      </c>
      <c r="E5220" t="s">
        <v>3395</v>
      </c>
      <c r="F5220" t="s">
        <v>3396</v>
      </c>
      <c r="G5220" t="s">
        <v>63</v>
      </c>
      <c r="H5220" t="s">
        <v>14053</v>
      </c>
      <c r="I5220" t="s">
        <v>14054</v>
      </c>
      <c r="J5220" t="s">
        <v>285</v>
      </c>
      <c r="K5220" t="s">
        <v>55</v>
      </c>
      <c r="L5220" t="s">
        <v>609</v>
      </c>
      <c r="M5220" t="s">
        <v>57</v>
      </c>
      <c r="N5220" t="str">
        <f>"043786"</f>
        <v>043786</v>
      </c>
      <c r="O5220" t="s">
        <v>1340</v>
      </c>
      <c r="P5220" t="s">
        <v>68</v>
      </c>
      <c r="Q5220">
        <v>100</v>
      </c>
      <c r="R5220">
        <v>83.6</v>
      </c>
      <c r="S5220" t="s">
        <v>69</v>
      </c>
    </row>
    <row r="5221" spans="1:19" x14ac:dyDescent="0.35">
      <c r="A5221">
        <v>16885</v>
      </c>
      <c r="B5221" t="str">
        <f>"016885"</f>
        <v>016885</v>
      </c>
      <c r="C5221" t="s">
        <v>14238</v>
      </c>
      <c r="D5221" t="s">
        <v>3398</v>
      </c>
      <c r="E5221" t="s">
        <v>3395</v>
      </c>
      <c r="F5221" t="s">
        <v>3396</v>
      </c>
      <c r="G5221" t="s">
        <v>63</v>
      </c>
      <c r="H5221" t="s">
        <v>14239</v>
      </c>
      <c r="I5221" t="s">
        <v>14240</v>
      </c>
      <c r="J5221" t="s">
        <v>285</v>
      </c>
      <c r="K5221" t="s">
        <v>55</v>
      </c>
      <c r="L5221" t="s">
        <v>4335</v>
      </c>
      <c r="M5221" t="s">
        <v>57</v>
      </c>
      <c r="N5221" t="str">
        <f>"043786"</f>
        <v>043786</v>
      </c>
      <c r="O5221" t="s">
        <v>1340</v>
      </c>
      <c r="P5221" t="s">
        <v>68</v>
      </c>
      <c r="Q5221">
        <v>100</v>
      </c>
      <c r="R5221">
        <v>97.9</v>
      </c>
      <c r="S5221" t="s">
        <v>69</v>
      </c>
    </row>
    <row r="5222" spans="1:19" x14ac:dyDescent="0.35">
      <c r="A5222">
        <v>16883</v>
      </c>
      <c r="B5222" t="str">
        <f>"016883"</f>
        <v>016883</v>
      </c>
      <c r="C5222" t="s">
        <v>14241</v>
      </c>
      <c r="D5222" t="s">
        <v>3398</v>
      </c>
      <c r="E5222" t="s">
        <v>3395</v>
      </c>
      <c r="F5222" t="s">
        <v>3396</v>
      </c>
      <c r="G5222" t="s">
        <v>63</v>
      </c>
      <c r="H5222" t="s">
        <v>14242</v>
      </c>
      <c r="I5222" t="s">
        <v>14243</v>
      </c>
      <c r="J5222" t="s">
        <v>285</v>
      </c>
      <c r="K5222" t="s">
        <v>55</v>
      </c>
      <c r="L5222" t="s">
        <v>1621</v>
      </c>
      <c r="M5222" t="s">
        <v>57</v>
      </c>
      <c r="N5222" t="str">
        <f>"043786"</f>
        <v>043786</v>
      </c>
      <c r="O5222" t="s">
        <v>1340</v>
      </c>
      <c r="P5222" t="s">
        <v>68</v>
      </c>
      <c r="Q5222">
        <v>100</v>
      </c>
      <c r="R5222">
        <v>76.7</v>
      </c>
      <c r="S5222" t="s">
        <v>69</v>
      </c>
    </row>
    <row r="5223" spans="1:19" x14ac:dyDescent="0.35">
      <c r="A5223">
        <v>16882</v>
      </c>
      <c r="B5223" t="str">
        <f>"016882"</f>
        <v>016882</v>
      </c>
      <c r="C5223" t="s">
        <v>14244</v>
      </c>
      <c r="D5223" t="s">
        <v>3398</v>
      </c>
      <c r="E5223" t="s">
        <v>3395</v>
      </c>
      <c r="F5223" t="s">
        <v>3396</v>
      </c>
      <c r="G5223" t="s">
        <v>63</v>
      </c>
      <c r="H5223" t="s">
        <v>14242</v>
      </c>
      <c r="I5223" t="s">
        <v>14243</v>
      </c>
      <c r="J5223" t="s">
        <v>285</v>
      </c>
      <c r="K5223" t="s">
        <v>55</v>
      </c>
      <c r="L5223" t="s">
        <v>1621</v>
      </c>
      <c r="M5223" t="s">
        <v>57</v>
      </c>
      <c r="N5223" t="str">
        <f>"043786"</f>
        <v>043786</v>
      </c>
      <c r="O5223" t="s">
        <v>1340</v>
      </c>
      <c r="P5223" t="s">
        <v>68</v>
      </c>
      <c r="Q5223">
        <v>100</v>
      </c>
      <c r="R5223">
        <v>75.599999999999994</v>
      </c>
      <c r="S5223" t="s">
        <v>69</v>
      </c>
    </row>
    <row r="5224" spans="1:19" x14ac:dyDescent="0.35">
      <c r="A5224">
        <v>16786</v>
      </c>
      <c r="B5224" t="str">
        <f>"016786"</f>
        <v>016786</v>
      </c>
      <c r="C5224" t="s">
        <v>14245</v>
      </c>
      <c r="D5224" t="s">
        <v>3400</v>
      </c>
      <c r="E5224" t="s">
        <v>3395</v>
      </c>
      <c r="F5224" t="s">
        <v>3396</v>
      </c>
      <c r="G5224" t="s">
        <v>143</v>
      </c>
      <c r="H5224" t="s">
        <v>14246</v>
      </c>
      <c r="I5224" t="s">
        <v>14247</v>
      </c>
      <c r="J5224" t="s">
        <v>2617</v>
      </c>
      <c r="K5224" t="s">
        <v>55</v>
      </c>
      <c r="L5224" t="s">
        <v>2618</v>
      </c>
      <c r="M5224" t="s">
        <v>57</v>
      </c>
      <c r="N5224" t="str">
        <f>"044537"</f>
        <v>044537</v>
      </c>
      <c r="O5224" t="s">
        <v>2614</v>
      </c>
      <c r="P5224" t="s">
        <v>68</v>
      </c>
      <c r="Q5224">
        <v>7.5</v>
      </c>
      <c r="R5224">
        <v>10.799999999999997</v>
      </c>
      <c r="S5224" t="s">
        <v>69</v>
      </c>
    </row>
    <row r="5225" spans="1:19" x14ac:dyDescent="0.35">
      <c r="A5225">
        <v>16786</v>
      </c>
      <c r="B5225" t="str">
        <f>"016786"</f>
        <v>016786</v>
      </c>
      <c r="C5225" t="s">
        <v>14245</v>
      </c>
      <c r="D5225" t="s">
        <v>3929</v>
      </c>
      <c r="E5225" t="s">
        <v>3395</v>
      </c>
      <c r="F5225" t="s">
        <v>3396</v>
      </c>
      <c r="G5225" t="s">
        <v>143</v>
      </c>
      <c r="H5225" t="s">
        <v>14246</v>
      </c>
      <c r="I5225" t="s">
        <v>14247</v>
      </c>
      <c r="J5225" t="s">
        <v>2617</v>
      </c>
      <c r="K5225" t="s">
        <v>55</v>
      </c>
      <c r="L5225" t="s">
        <v>2618</v>
      </c>
      <c r="M5225" t="s">
        <v>57</v>
      </c>
      <c r="N5225" t="str">
        <f>"044537"</f>
        <v>044537</v>
      </c>
      <c r="O5225" t="s">
        <v>2614</v>
      </c>
      <c r="P5225" t="s">
        <v>68</v>
      </c>
      <c r="Q5225">
        <v>7.5</v>
      </c>
      <c r="R5225">
        <v>10.799999999999997</v>
      </c>
      <c r="S5225" t="s">
        <v>69</v>
      </c>
    </row>
    <row r="5226" spans="1:19" x14ac:dyDescent="0.35">
      <c r="A5226">
        <v>16794</v>
      </c>
      <c r="B5226" t="str">
        <f>"016794"</f>
        <v>016794</v>
      </c>
      <c r="C5226" t="s">
        <v>14248</v>
      </c>
      <c r="D5226" t="s">
        <v>3394</v>
      </c>
      <c r="E5226" t="s">
        <v>3395</v>
      </c>
      <c r="F5226" t="s">
        <v>3396</v>
      </c>
      <c r="G5226" t="s">
        <v>264</v>
      </c>
      <c r="H5226" t="s">
        <v>2556</v>
      </c>
      <c r="I5226" t="s">
        <v>2557</v>
      </c>
      <c r="J5226" t="s">
        <v>2558</v>
      </c>
      <c r="K5226" t="s">
        <v>55</v>
      </c>
      <c r="L5226" t="s">
        <v>2559</v>
      </c>
      <c r="M5226" t="s">
        <v>57</v>
      </c>
      <c r="N5226" t="str">
        <f>"043539"</f>
        <v>043539</v>
      </c>
      <c r="O5226" t="s">
        <v>2555</v>
      </c>
      <c r="P5226" t="s">
        <v>68</v>
      </c>
      <c r="Q5226" t="s">
        <v>68</v>
      </c>
      <c r="R5226" t="s">
        <v>68</v>
      </c>
      <c r="S5226" t="s">
        <v>77</v>
      </c>
    </row>
    <row r="5227" spans="1:19" x14ac:dyDescent="0.35">
      <c r="A5227">
        <v>16889</v>
      </c>
      <c r="B5227" t="str">
        <f>"016889"</f>
        <v>016889</v>
      </c>
      <c r="C5227" t="s">
        <v>14249</v>
      </c>
      <c r="D5227" t="s">
        <v>3506</v>
      </c>
      <c r="E5227" t="s">
        <v>3395</v>
      </c>
      <c r="F5227" t="s">
        <v>3396</v>
      </c>
      <c r="G5227" t="s">
        <v>244</v>
      </c>
      <c r="H5227" t="s">
        <v>12359</v>
      </c>
      <c r="I5227" t="s">
        <v>12360</v>
      </c>
      <c r="J5227" t="s">
        <v>1239</v>
      </c>
      <c r="K5227" t="s">
        <v>55</v>
      </c>
      <c r="L5227" t="s">
        <v>2571</v>
      </c>
      <c r="M5227" t="s">
        <v>57</v>
      </c>
      <c r="N5227" t="str">
        <f>"139303"</f>
        <v>139303</v>
      </c>
      <c r="O5227" t="s">
        <v>2568</v>
      </c>
      <c r="P5227" t="s">
        <v>68</v>
      </c>
      <c r="Q5227">
        <v>26.9</v>
      </c>
      <c r="R5227">
        <v>20.599999999999994</v>
      </c>
      <c r="S5227" t="s">
        <v>217</v>
      </c>
    </row>
    <row r="5228" spans="1:19" x14ac:dyDescent="0.35">
      <c r="A5228">
        <v>16843</v>
      </c>
      <c r="B5228" t="str">
        <f>"016843"</f>
        <v>016843</v>
      </c>
      <c r="C5228" t="s">
        <v>14250</v>
      </c>
      <c r="D5228" t="s">
        <v>3400</v>
      </c>
      <c r="E5228" t="s">
        <v>12048</v>
      </c>
      <c r="F5228" t="s">
        <v>3396</v>
      </c>
      <c r="G5228" t="s">
        <v>63</v>
      </c>
      <c r="H5228" t="s">
        <v>14251</v>
      </c>
      <c r="I5228" t="s">
        <v>14252</v>
      </c>
      <c r="J5228" t="s">
        <v>285</v>
      </c>
      <c r="K5228" t="s">
        <v>55</v>
      </c>
      <c r="L5228" t="s">
        <v>5493</v>
      </c>
      <c r="M5228" t="s">
        <v>57</v>
      </c>
      <c r="N5228" t="str">
        <f>"015013"</f>
        <v>015013</v>
      </c>
      <c r="O5228" t="s">
        <v>13546</v>
      </c>
      <c r="P5228" t="s">
        <v>68</v>
      </c>
      <c r="Q5228">
        <v>100</v>
      </c>
      <c r="R5228">
        <v>100</v>
      </c>
      <c r="S5228" t="s">
        <v>69</v>
      </c>
    </row>
    <row r="5229" spans="1:19" x14ac:dyDescent="0.35">
      <c r="A5229">
        <v>16843</v>
      </c>
      <c r="B5229" t="str">
        <f>"016843"</f>
        <v>016843</v>
      </c>
      <c r="C5229" t="s">
        <v>14250</v>
      </c>
      <c r="D5229" t="s">
        <v>12052</v>
      </c>
      <c r="E5229" t="s">
        <v>12048</v>
      </c>
      <c r="F5229" t="s">
        <v>3396</v>
      </c>
      <c r="G5229" t="s">
        <v>63</v>
      </c>
      <c r="H5229" t="s">
        <v>14251</v>
      </c>
      <c r="I5229" t="s">
        <v>14252</v>
      </c>
      <c r="J5229" t="s">
        <v>285</v>
      </c>
      <c r="K5229" t="s">
        <v>55</v>
      </c>
      <c r="L5229" t="s">
        <v>5493</v>
      </c>
      <c r="M5229" t="s">
        <v>57</v>
      </c>
      <c r="N5229" t="str">
        <f>"015013"</f>
        <v>015013</v>
      </c>
      <c r="O5229" t="s">
        <v>13546</v>
      </c>
      <c r="P5229" t="s">
        <v>68</v>
      </c>
      <c r="Q5229">
        <v>100</v>
      </c>
      <c r="R5229">
        <v>100</v>
      </c>
      <c r="S5229" t="s">
        <v>69</v>
      </c>
    </row>
    <row r="5230" spans="1:19" x14ac:dyDescent="0.35">
      <c r="A5230">
        <v>16843</v>
      </c>
      <c r="B5230" t="str">
        <f>"016843"</f>
        <v>016843</v>
      </c>
      <c r="C5230" t="s">
        <v>14250</v>
      </c>
      <c r="D5230" t="s">
        <v>12126</v>
      </c>
      <c r="E5230" t="s">
        <v>12048</v>
      </c>
      <c r="F5230" t="s">
        <v>3396</v>
      </c>
      <c r="G5230" t="s">
        <v>63</v>
      </c>
      <c r="H5230" t="s">
        <v>14251</v>
      </c>
      <c r="I5230" t="s">
        <v>14252</v>
      </c>
      <c r="J5230" t="s">
        <v>285</v>
      </c>
      <c r="K5230" t="s">
        <v>55</v>
      </c>
      <c r="L5230" t="s">
        <v>5493</v>
      </c>
      <c r="M5230" t="s">
        <v>57</v>
      </c>
      <c r="N5230" t="str">
        <f>"015013"</f>
        <v>015013</v>
      </c>
      <c r="O5230" t="s">
        <v>13546</v>
      </c>
      <c r="P5230" t="s">
        <v>68</v>
      </c>
      <c r="Q5230">
        <v>100</v>
      </c>
      <c r="R5230">
        <v>100</v>
      </c>
      <c r="S5230" t="s">
        <v>69</v>
      </c>
    </row>
    <row r="5231" spans="1:19" x14ac:dyDescent="0.35">
      <c r="A5231">
        <v>16890</v>
      </c>
      <c r="B5231" t="str">
        <f>"016890"</f>
        <v>016890</v>
      </c>
      <c r="C5231" t="s">
        <v>14253</v>
      </c>
      <c r="D5231" t="s">
        <v>3398</v>
      </c>
      <c r="E5231" t="s">
        <v>3395</v>
      </c>
      <c r="F5231" t="s">
        <v>3396</v>
      </c>
      <c r="G5231" t="s">
        <v>642</v>
      </c>
      <c r="H5231" t="s">
        <v>14254</v>
      </c>
      <c r="I5231" t="s">
        <v>14255</v>
      </c>
      <c r="J5231" t="s">
        <v>2447</v>
      </c>
      <c r="K5231" t="s">
        <v>55</v>
      </c>
      <c r="L5231" t="s">
        <v>3742</v>
      </c>
      <c r="M5231" t="s">
        <v>57</v>
      </c>
      <c r="N5231" t="str">
        <f>"047241"</f>
        <v>047241</v>
      </c>
      <c r="O5231" t="s">
        <v>2444</v>
      </c>
      <c r="P5231" t="s">
        <v>68</v>
      </c>
      <c r="Q5231">
        <v>14.6</v>
      </c>
      <c r="R5231">
        <v>16.299999999999997</v>
      </c>
      <c r="S5231" t="s">
        <v>180</v>
      </c>
    </row>
    <row r="5232" spans="1:19" x14ac:dyDescent="0.35">
      <c r="A5232">
        <v>16812</v>
      </c>
      <c r="B5232" t="str">
        <f>"016812"</f>
        <v>016812</v>
      </c>
      <c r="C5232" t="s">
        <v>14256</v>
      </c>
      <c r="D5232" t="s">
        <v>3394</v>
      </c>
      <c r="E5232" t="s">
        <v>12048</v>
      </c>
      <c r="F5232" t="s">
        <v>3396</v>
      </c>
      <c r="G5232" t="s">
        <v>63</v>
      </c>
      <c r="H5232" t="s">
        <v>14257</v>
      </c>
      <c r="I5232" t="s">
        <v>14258</v>
      </c>
      <c r="J5232" t="s">
        <v>2834</v>
      </c>
      <c r="K5232" t="s">
        <v>55</v>
      </c>
      <c r="L5232" t="s">
        <v>4335</v>
      </c>
      <c r="M5232" t="s">
        <v>57</v>
      </c>
      <c r="N5232" t="str">
        <f>"N/A"</f>
        <v>N/A</v>
      </c>
      <c r="O5232" t="s">
        <v>49</v>
      </c>
      <c r="P5232" t="s">
        <v>68</v>
      </c>
      <c r="Q5232">
        <v>100</v>
      </c>
      <c r="R5232">
        <v>100</v>
      </c>
      <c r="S5232" t="s">
        <v>69</v>
      </c>
    </row>
    <row r="5233" spans="1:19" x14ac:dyDescent="0.35">
      <c r="A5233">
        <v>16812</v>
      </c>
      <c r="B5233" t="str">
        <f>"016812"</f>
        <v>016812</v>
      </c>
      <c r="C5233" t="s">
        <v>14256</v>
      </c>
      <c r="D5233" t="s">
        <v>12052</v>
      </c>
      <c r="E5233" t="s">
        <v>12048</v>
      </c>
      <c r="F5233" t="s">
        <v>3396</v>
      </c>
      <c r="G5233" t="s">
        <v>63</v>
      </c>
      <c r="H5233" t="s">
        <v>14257</v>
      </c>
      <c r="I5233" t="s">
        <v>14258</v>
      </c>
      <c r="J5233" t="s">
        <v>2834</v>
      </c>
      <c r="K5233" t="s">
        <v>55</v>
      </c>
      <c r="L5233" t="s">
        <v>4335</v>
      </c>
      <c r="M5233" t="s">
        <v>57</v>
      </c>
      <c r="N5233" t="str">
        <f>"N/A"</f>
        <v>N/A</v>
      </c>
      <c r="O5233" t="s">
        <v>49</v>
      </c>
      <c r="P5233" t="s">
        <v>68</v>
      </c>
      <c r="Q5233">
        <v>100</v>
      </c>
      <c r="R5233">
        <v>100</v>
      </c>
      <c r="S5233" t="s">
        <v>69</v>
      </c>
    </row>
    <row r="5234" spans="1:19" x14ac:dyDescent="0.35">
      <c r="A5234">
        <v>16812</v>
      </c>
      <c r="B5234" t="str">
        <f>"016812"</f>
        <v>016812</v>
      </c>
      <c r="C5234" t="s">
        <v>14256</v>
      </c>
      <c r="D5234" t="s">
        <v>4572</v>
      </c>
      <c r="E5234" t="s">
        <v>12048</v>
      </c>
      <c r="F5234" t="s">
        <v>3396</v>
      </c>
      <c r="G5234" t="s">
        <v>63</v>
      </c>
      <c r="H5234" t="s">
        <v>14257</v>
      </c>
      <c r="I5234" t="s">
        <v>14258</v>
      </c>
      <c r="J5234" t="s">
        <v>2834</v>
      </c>
      <c r="K5234" t="s">
        <v>55</v>
      </c>
      <c r="L5234" t="s">
        <v>4335</v>
      </c>
      <c r="M5234" t="s">
        <v>57</v>
      </c>
      <c r="N5234" t="str">
        <f>"N/A"</f>
        <v>N/A</v>
      </c>
      <c r="O5234" t="s">
        <v>49</v>
      </c>
      <c r="P5234" t="s">
        <v>68</v>
      </c>
      <c r="Q5234">
        <v>100</v>
      </c>
      <c r="R5234">
        <v>100</v>
      </c>
      <c r="S5234" t="s">
        <v>69</v>
      </c>
    </row>
    <row r="5235" spans="1:19" x14ac:dyDescent="0.35">
      <c r="A5235">
        <v>16837</v>
      </c>
      <c r="B5235" t="str">
        <f>"016837"</f>
        <v>016837</v>
      </c>
      <c r="C5235" t="s">
        <v>14259</v>
      </c>
      <c r="D5235" t="s">
        <v>3394</v>
      </c>
      <c r="E5235" t="s">
        <v>12048</v>
      </c>
      <c r="F5235" t="s">
        <v>3396</v>
      </c>
      <c r="G5235" t="s">
        <v>63</v>
      </c>
      <c r="H5235" t="s">
        <v>14260</v>
      </c>
      <c r="I5235" t="s">
        <v>14261</v>
      </c>
      <c r="J5235" t="s">
        <v>285</v>
      </c>
      <c r="K5235" t="s">
        <v>55</v>
      </c>
      <c r="L5235" t="s">
        <v>5375</v>
      </c>
      <c r="M5235" t="s">
        <v>57</v>
      </c>
      <c r="N5235" t="str">
        <f>"017759"</f>
        <v>017759</v>
      </c>
      <c r="O5235" t="s">
        <v>14007</v>
      </c>
      <c r="P5235" t="s">
        <v>68</v>
      </c>
      <c r="Q5235">
        <v>100</v>
      </c>
      <c r="R5235">
        <v>79.5</v>
      </c>
      <c r="S5235" t="s">
        <v>69</v>
      </c>
    </row>
    <row r="5236" spans="1:19" x14ac:dyDescent="0.35">
      <c r="A5236">
        <v>16837</v>
      </c>
      <c r="B5236" t="str">
        <f>"016837"</f>
        <v>016837</v>
      </c>
      <c r="C5236" t="s">
        <v>14259</v>
      </c>
      <c r="D5236" t="s">
        <v>12052</v>
      </c>
      <c r="E5236" t="s">
        <v>12048</v>
      </c>
      <c r="F5236" t="s">
        <v>3396</v>
      </c>
      <c r="G5236" t="s">
        <v>63</v>
      </c>
      <c r="H5236" t="s">
        <v>14260</v>
      </c>
      <c r="I5236" t="s">
        <v>14261</v>
      </c>
      <c r="J5236" t="s">
        <v>285</v>
      </c>
      <c r="K5236" t="s">
        <v>55</v>
      </c>
      <c r="L5236" t="s">
        <v>5375</v>
      </c>
      <c r="M5236" t="s">
        <v>57</v>
      </c>
      <c r="N5236" t="str">
        <f>"017759"</f>
        <v>017759</v>
      </c>
      <c r="O5236" t="s">
        <v>14007</v>
      </c>
      <c r="P5236" t="s">
        <v>68</v>
      </c>
      <c r="Q5236">
        <v>100</v>
      </c>
      <c r="R5236">
        <v>79.5</v>
      </c>
      <c r="S5236" t="s">
        <v>69</v>
      </c>
    </row>
    <row r="5237" spans="1:19" x14ac:dyDescent="0.35">
      <c r="A5237">
        <v>16836</v>
      </c>
      <c r="B5237" t="str">
        <f>"016836"</f>
        <v>016836</v>
      </c>
      <c r="C5237" t="s">
        <v>14262</v>
      </c>
      <c r="D5237" t="s">
        <v>3394</v>
      </c>
      <c r="E5237" t="s">
        <v>12048</v>
      </c>
      <c r="F5237" t="s">
        <v>3396</v>
      </c>
      <c r="G5237" t="s">
        <v>600</v>
      </c>
      <c r="H5237" t="s">
        <v>14263</v>
      </c>
      <c r="I5237" t="s">
        <v>14264</v>
      </c>
      <c r="J5237" t="s">
        <v>1348</v>
      </c>
      <c r="K5237" t="s">
        <v>55</v>
      </c>
      <c r="L5237" t="s">
        <v>3736</v>
      </c>
      <c r="M5237" t="s">
        <v>57</v>
      </c>
      <c r="N5237" t="str">
        <f>"019271"</f>
        <v>019271</v>
      </c>
      <c r="O5237" t="s">
        <v>14265</v>
      </c>
      <c r="P5237" t="s">
        <v>68</v>
      </c>
      <c r="Q5237">
        <v>100</v>
      </c>
      <c r="R5237">
        <v>100</v>
      </c>
      <c r="S5237" t="s">
        <v>60</v>
      </c>
    </row>
    <row r="5238" spans="1:19" x14ac:dyDescent="0.35">
      <c r="A5238">
        <v>16836</v>
      </c>
      <c r="B5238" t="str">
        <f>"016836"</f>
        <v>016836</v>
      </c>
      <c r="C5238" t="s">
        <v>14262</v>
      </c>
      <c r="D5238" t="s">
        <v>12052</v>
      </c>
      <c r="E5238" t="s">
        <v>12048</v>
      </c>
      <c r="F5238" t="s">
        <v>3396</v>
      </c>
      <c r="G5238" t="s">
        <v>600</v>
      </c>
      <c r="H5238" t="s">
        <v>14263</v>
      </c>
      <c r="I5238" t="s">
        <v>14264</v>
      </c>
      <c r="J5238" t="s">
        <v>1348</v>
      </c>
      <c r="K5238" t="s">
        <v>55</v>
      </c>
      <c r="L5238" t="s">
        <v>3736</v>
      </c>
      <c r="M5238" t="s">
        <v>57</v>
      </c>
      <c r="N5238" t="str">
        <f>"019271"</f>
        <v>019271</v>
      </c>
      <c r="O5238" t="s">
        <v>14265</v>
      </c>
      <c r="P5238" t="s">
        <v>68</v>
      </c>
      <c r="Q5238">
        <v>100</v>
      </c>
      <c r="R5238">
        <v>100</v>
      </c>
      <c r="S5238" t="s">
        <v>60</v>
      </c>
    </row>
    <row r="5239" spans="1:19" x14ac:dyDescent="0.35">
      <c r="A5239">
        <v>16829</v>
      </c>
      <c r="B5239" t="str">
        <f>"016829"</f>
        <v>016829</v>
      </c>
      <c r="C5239" t="s">
        <v>14266</v>
      </c>
      <c r="D5239" t="s">
        <v>3394</v>
      </c>
      <c r="E5239" t="s">
        <v>12048</v>
      </c>
      <c r="F5239" t="s">
        <v>3396</v>
      </c>
      <c r="G5239" t="s">
        <v>600</v>
      </c>
      <c r="H5239" t="s">
        <v>14267</v>
      </c>
      <c r="I5239" t="s">
        <v>14268</v>
      </c>
      <c r="J5239" t="s">
        <v>1348</v>
      </c>
      <c r="K5239" t="s">
        <v>55</v>
      </c>
      <c r="L5239" t="s">
        <v>8325</v>
      </c>
      <c r="M5239" t="s">
        <v>57</v>
      </c>
      <c r="N5239" t="str">
        <f>"015427"</f>
        <v>015427</v>
      </c>
      <c r="O5239" t="s">
        <v>12157</v>
      </c>
      <c r="P5239" t="s">
        <v>68</v>
      </c>
      <c r="Q5239">
        <v>98.9</v>
      </c>
      <c r="R5239">
        <v>90.6</v>
      </c>
      <c r="S5239" t="s">
        <v>60</v>
      </c>
    </row>
    <row r="5240" spans="1:19" x14ac:dyDescent="0.35">
      <c r="A5240">
        <v>16829</v>
      </c>
      <c r="B5240" t="str">
        <f>"016829"</f>
        <v>016829</v>
      </c>
      <c r="C5240" t="s">
        <v>14266</v>
      </c>
      <c r="D5240" t="s">
        <v>12052</v>
      </c>
      <c r="E5240" t="s">
        <v>12048</v>
      </c>
      <c r="F5240" t="s">
        <v>3396</v>
      </c>
      <c r="G5240" t="s">
        <v>600</v>
      </c>
      <c r="H5240" t="s">
        <v>14267</v>
      </c>
      <c r="I5240" t="s">
        <v>14268</v>
      </c>
      <c r="J5240" t="s">
        <v>1348</v>
      </c>
      <c r="K5240" t="s">
        <v>55</v>
      </c>
      <c r="L5240" t="s">
        <v>8325</v>
      </c>
      <c r="M5240" t="s">
        <v>57</v>
      </c>
      <c r="N5240" t="str">
        <f>"015427"</f>
        <v>015427</v>
      </c>
      <c r="O5240" t="s">
        <v>12157</v>
      </c>
      <c r="P5240" t="s">
        <v>68</v>
      </c>
      <c r="Q5240">
        <v>98.9</v>
      </c>
      <c r="R5240">
        <v>90.6</v>
      </c>
      <c r="S5240" t="s">
        <v>60</v>
      </c>
    </row>
    <row r="5241" spans="1:19" x14ac:dyDescent="0.35">
      <c r="A5241">
        <v>16829</v>
      </c>
      <c r="B5241" t="str">
        <f>"016829"</f>
        <v>016829</v>
      </c>
      <c r="C5241" t="s">
        <v>14266</v>
      </c>
      <c r="D5241" t="s">
        <v>4572</v>
      </c>
      <c r="E5241" t="s">
        <v>12048</v>
      </c>
      <c r="F5241" t="s">
        <v>3396</v>
      </c>
      <c r="G5241" t="s">
        <v>600</v>
      </c>
      <c r="H5241" t="s">
        <v>14267</v>
      </c>
      <c r="I5241" t="s">
        <v>14268</v>
      </c>
      <c r="J5241" t="s">
        <v>1348</v>
      </c>
      <c r="K5241" t="s">
        <v>55</v>
      </c>
      <c r="L5241" t="s">
        <v>8325</v>
      </c>
      <c r="M5241" t="s">
        <v>57</v>
      </c>
      <c r="N5241" t="str">
        <f>"015427"</f>
        <v>015427</v>
      </c>
      <c r="O5241" t="s">
        <v>12157</v>
      </c>
      <c r="P5241" t="s">
        <v>68</v>
      </c>
      <c r="Q5241">
        <v>98.9</v>
      </c>
      <c r="R5241">
        <v>90.6</v>
      </c>
      <c r="S5241" t="s">
        <v>60</v>
      </c>
    </row>
    <row r="5242" spans="1:19" x14ac:dyDescent="0.35">
      <c r="A5242">
        <v>16849</v>
      </c>
      <c r="B5242" t="str">
        <f>"016849"</f>
        <v>016849</v>
      </c>
      <c r="C5242" t="s">
        <v>6386</v>
      </c>
      <c r="D5242" t="s">
        <v>3398</v>
      </c>
      <c r="E5242" t="s">
        <v>12048</v>
      </c>
      <c r="F5242" t="s">
        <v>3396</v>
      </c>
      <c r="G5242" t="s">
        <v>543</v>
      </c>
      <c r="H5242" t="s">
        <v>14269</v>
      </c>
      <c r="I5242" t="s">
        <v>14270</v>
      </c>
      <c r="J5242" t="s">
        <v>687</v>
      </c>
      <c r="K5242" t="s">
        <v>55</v>
      </c>
      <c r="L5242" t="s">
        <v>786</v>
      </c>
      <c r="M5242" t="s">
        <v>57</v>
      </c>
      <c r="N5242" t="str">
        <f>"017297"</f>
        <v>017297</v>
      </c>
      <c r="O5242" t="s">
        <v>12062</v>
      </c>
      <c r="P5242" t="s">
        <v>68</v>
      </c>
      <c r="Q5242">
        <v>100</v>
      </c>
      <c r="R5242">
        <v>62.2</v>
      </c>
      <c r="S5242" t="s">
        <v>180</v>
      </c>
    </row>
    <row r="5243" spans="1:19" x14ac:dyDescent="0.35">
      <c r="A5243">
        <v>16849</v>
      </c>
      <c r="B5243" t="str">
        <f>"016849"</f>
        <v>016849</v>
      </c>
      <c r="C5243" t="s">
        <v>6386</v>
      </c>
      <c r="D5243" t="s">
        <v>12052</v>
      </c>
      <c r="E5243" t="s">
        <v>12048</v>
      </c>
      <c r="F5243" t="s">
        <v>3396</v>
      </c>
      <c r="G5243" t="s">
        <v>543</v>
      </c>
      <c r="H5243" t="s">
        <v>14269</v>
      </c>
      <c r="I5243" t="s">
        <v>14270</v>
      </c>
      <c r="J5243" t="s">
        <v>687</v>
      </c>
      <c r="K5243" t="s">
        <v>55</v>
      </c>
      <c r="L5243" t="s">
        <v>786</v>
      </c>
      <c r="M5243" t="s">
        <v>57</v>
      </c>
      <c r="N5243" t="str">
        <f>"017297"</f>
        <v>017297</v>
      </c>
      <c r="O5243" t="s">
        <v>12062</v>
      </c>
      <c r="P5243" t="s">
        <v>68</v>
      </c>
      <c r="Q5243">
        <v>100</v>
      </c>
      <c r="R5243">
        <v>62.2</v>
      </c>
      <c r="S5243" t="s">
        <v>180</v>
      </c>
    </row>
    <row r="5244" spans="1:19" x14ac:dyDescent="0.35">
      <c r="A5244">
        <v>16849</v>
      </c>
      <c r="B5244" t="str">
        <f>"016849"</f>
        <v>016849</v>
      </c>
      <c r="C5244" t="s">
        <v>6386</v>
      </c>
      <c r="D5244" t="s">
        <v>12063</v>
      </c>
      <c r="E5244" t="s">
        <v>12048</v>
      </c>
      <c r="F5244" t="s">
        <v>3396</v>
      </c>
      <c r="G5244" t="s">
        <v>543</v>
      </c>
      <c r="H5244" t="s">
        <v>14269</v>
      </c>
      <c r="I5244" t="s">
        <v>14270</v>
      </c>
      <c r="J5244" t="s">
        <v>687</v>
      </c>
      <c r="K5244" t="s">
        <v>55</v>
      </c>
      <c r="L5244" t="s">
        <v>786</v>
      </c>
      <c r="M5244" t="s">
        <v>57</v>
      </c>
      <c r="N5244" t="str">
        <f>"017297"</f>
        <v>017297</v>
      </c>
      <c r="O5244" t="s">
        <v>12062</v>
      </c>
      <c r="P5244" t="s">
        <v>68</v>
      </c>
      <c r="Q5244">
        <v>100</v>
      </c>
      <c r="R5244">
        <v>62.2</v>
      </c>
      <c r="S5244" t="s">
        <v>180</v>
      </c>
    </row>
    <row r="5245" spans="1:19" x14ac:dyDescent="0.35">
      <c r="A5245">
        <v>16845</v>
      </c>
      <c r="B5245" t="str">
        <f>"016845"</f>
        <v>016845</v>
      </c>
      <c r="C5245" t="s">
        <v>14271</v>
      </c>
      <c r="D5245" t="s">
        <v>3543</v>
      </c>
      <c r="E5245" t="s">
        <v>3395</v>
      </c>
      <c r="F5245" t="s">
        <v>3396</v>
      </c>
      <c r="G5245" t="s">
        <v>600</v>
      </c>
      <c r="H5245" t="s">
        <v>14272</v>
      </c>
      <c r="I5245" t="s">
        <v>14273</v>
      </c>
      <c r="J5245" t="s">
        <v>2536</v>
      </c>
      <c r="K5245" t="s">
        <v>55</v>
      </c>
      <c r="L5245" t="s">
        <v>2537</v>
      </c>
      <c r="M5245" t="s">
        <v>57</v>
      </c>
      <c r="N5245" t="str">
        <f>"046961"</f>
        <v>046961</v>
      </c>
      <c r="O5245" t="s">
        <v>2533</v>
      </c>
      <c r="P5245" t="s">
        <v>68</v>
      </c>
      <c r="Q5245" t="s">
        <v>68</v>
      </c>
      <c r="R5245" t="s">
        <v>68</v>
      </c>
      <c r="S5245" t="s">
        <v>60</v>
      </c>
    </row>
    <row r="5246" spans="1:19" x14ac:dyDescent="0.35">
      <c r="A5246">
        <v>16850</v>
      </c>
      <c r="B5246" t="str">
        <f>"016850"</f>
        <v>016850</v>
      </c>
      <c r="C5246" t="s">
        <v>14274</v>
      </c>
      <c r="D5246" t="s">
        <v>3394</v>
      </c>
      <c r="E5246" t="s">
        <v>12048</v>
      </c>
      <c r="F5246" t="s">
        <v>3396</v>
      </c>
      <c r="G5246" t="s">
        <v>212</v>
      </c>
      <c r="H5246" t="s">
        <v>14275</v>
      </c>
      <c r="I5246" t="s">
        <v>14276</v>
      </c>
      <c r="J5246" t="s">
        <v>215</v>
      </c>
      <c r="K5246" t="s">
        <v>55</v>
      </c>
      <c r="L5246" t="s">
        <v>614</v>
      </c>
      <c r="M5246" t="s">
        <v>57</v>
      </c>
      <c r="N5246" t="str">
        <f>"017785"</f>
        <v>017785</v>
      </c>
      <c r="O5246" t="s">
        <v>14277</v>
      </c>
      <c r="P5246" t="s">
        <v>68</v>
      </c>
      <c r="Q5246">
        <v>100</v>
      </c>
      <c r="R5246">
        <v>100</v>
      </c>
      <c r="S5246" t="s">
        <v>217</v>
      </c>
    </row>
    <row r="5247" spans="1:19" x14ac:dyDescent="0.35">
      <c r="A5247">
        <v>16850</v>
      </c>
      <c r="B5247" t="str">
        <f>"016850"</f>
        <v>016850</v>
      </c>
      <c r="C5247" t="s">
        <v>14274</v>
      </c>
      <c r="D5247" t="s">
        <v>12052</v>
      </c>
      <c r="E5247" t="s">
        <v>12048</v>
      </c>
      <c r="F5247" t="s">
        <v>3396</v>
      </c>
      <c r="G5247" t="s">
        <v>212</v>
      </c>
      <c r="H5247" t="s">
        <v>14275</v>
      </c>
      <c r="I5247" t="s">
        <v>14276</v>
      </c>
      <c r="J5247" t="s">
        <v>215</v>
      </c>
      <c r="K5247" t="s">
        <v>55</v>
      </c>
      <c r="L5247" t="s">
        <v>614</v>
      </c>
      <c r="M5247" t="s">
        <v>57</v>
      </c>
      <c r="N5247" t="str">
        <f>"017785"</f>
        <v>017785</v>
      </c>
      <c r="O5247" t="s">
        <v>14277</v>
      </c>
      <c r="P5247" t="s">
        <v>68</v>
      </c>
      <c r="Q5247">
        <v>100</v>
      </c>
      <c r="R5247">
        <v>100</v>
      </c>
      <c r="S5247" t="s">
        <v>217</v>
      </c>
    </row>
    <row r="5248" spans="1:19" x14ac:dyDescent="0.35">
      <c r="A5248">
        <v>16916</v>
      </c>
      <c r="B5248" t="str">
        <f>"016916"</f>
        <v>016916</v>
      </c>
      <c r="C5248" t="s">
        <v>14278</v>
      </c>
      <c r="D5248" t="s">
        <v>3394</v>
      </c>
      <c r="E5248" t="s">
        <v>3395</v>
      </c>
      <c r="F5248" t="s">
        <v>3396</v>
      </c>
      <c r="G5248" t="s">
        <v>212</v>
      </c>
      <c r="H5248" t="s">
        <v>14279</v>
      </c>
      <c r="I5248" t="s">
        <v>14280</v>
      </c>
      <c r="J5248" t="s">
        <v>215</v>
      </c>
      <c r="K5248" t="s">
        <v>55</v>
      </c>
      <c r="L5248" t="s">
        <v>5151</v>
      </c>
      <c r="M5248" t="s">
        <v>57</v>
      </c>
      <c r="N5248" t="str">
        <f>"043752"</f>
        <v>043752</v>
      </c>
      <c r="O5248" t="s">
        <v>440</v>
      </c>
      <c r="P5248" t="s">
        <v>68</v>
      </c>
      <c r="Q5248">
        <v>47.1</v>
      </c>
      <c r="R5248">
        <v>54.7</v>
      </c>
      <c r="S5248" t="s">
        <v>217</v>
      </c>
    </row>
    <row r="5249" spans="1:19" x14ac:dyDescent="0.35">
      <c r="A5249">
        <v>16945</v>
      </c>
      <c r="B5249" t="str">
        <f>"016945"</f>
        <v>016945</v>
      </c>
      <c r="C5249" t="s">
        <v>14281</v>
      </c>
      <c r="D5249" t="s">
        <v>3398</v>
      </c>
      <c r="E5249" t="s">
        <v>3395</v>
      </c>
      <c r="F5249" t="s">
        <v>3396</v>
      </c>
      <c r="G5249" t="s">
        <v>92</v>
      </c>
      <c r="H5249" t="s">
        <v>12558</v>
      </c>
      <c r="I5249" t="s">
        <v>12559</v>
      </c>
      <c r="J5249" t="s">
        <v>2295</v>
      </c>
      <c r="K5249" t="s">
        <v>55</v>
      </c>
      <c r="L5249" t="s">
        <v>2296</v>
      </c>
      <c r="M5249" t="s">
        <v>57</v>
      </c>
      <c r="N5249" t="str">
        <f>"046896"</f>
        <v>046896</v>
      </c>
      <c r="O5249" t="s">
        <v>2292</v>
      </c>
      <c r="P5249" t="s">
        <v>68</v>
      </c>
      <c r="Q5249">
        <v>34.700000000000003</v>
      </c>
      <c r="R5249">
        <v>52.6</v>
      </c>
      <c r="S5249" t="s">
        <v>60</v>
      </c>
    </row>
    <row r="5250" spans="1:19" x14ac:dyDescent="0.35">
      <c r="A5250">
        <v>16928</v>
      </c>
      <c r="B5250" t="str">
        <f>"016928"</f>
        <v>016928</v>
      </c>
      <c r="C5250" t="s">
        <v>14282</v>
      </c>
      <c r="D5250" t="s">
        <v>3543</v>
      </c>
      <c r="E5250" t="s">
        <v>3395</v>
      </c>
      <c r="F5250" t="s">
        <v>3396</v>
      </c>
      <c r="G5250" t="s">
        <v>92</v>
      </c>
      <c r="H5250" t="s">
        <v>14283</v>
      </c>
      <c r="I5250" t="s">
        <v>14284</v>
      </c>
      <c r="J5250" t="s">
        <v>1940</v>
      </c>
      <c r="K5250" t="s">
        <v>55</v>
      </c>
      <c r="L5250" t="s">
        <v>1941</v>
      </c>
      <c r="M5250" t="s">
        <v>57</v>
      </c>
      <c r="N5250" t="str">
        <f>"044206"</f>
        <v>044206</v>
      </c>
      <c r="O5250" t="s">
        <v>2980</v>
      </c>
      <c r="P5250" t="s">
        <v>68</v>
      </c>
      <c r="Q5250" t="s">
        <v>68</v>
      </c>
      <c r="R5250" t="s">
        <v>68</v>
      </c>
      <c r="S5250" t="s">
        <v>60</v>
      </c>
    </row>
    <row r="5251" spans="1:19" x14ac:dyDescent="0.35">
      <c r="A5251">
        <v>16896</v>
      </c>
      <c r="B5251" t="str">
        <f>"016896"</f>
        <v>016896</v>
      </c>
      <c r="C5251" t="s">
        <v>14285</v>
      </c>
      <c r="D5251" t="s">
        <v>3394</v>
      </c>
      <c r="E5251" t="s">
        <v>3395</v>
      </c>
      <c r="F5251" t="s">
        <v>3396</v>
      </c>
      <c r="G5251" t="s">
        <v>52</v>
      </c>
      <c r="H5251" t="s">
        <v>14286</v>
      </c>
      <c r="I5251" t="s">
        <v>14287</v>
      </c>
      <c r="J5251" t="s">
        <v>2670</v>
      </c>
      <c r="K5251" t="s">
        <v>55</v>
      </c>
      <c r="L5251" t="s">
        <v>2671</v>
      </c>
      <c r="M5251" t="s">
        <v>57</v>
      </c>
      <c r="N5251" t="str">
        <f>"046763"</f>
        <v>046763</v>
      </c>
      <c r="O5251" t="s">
        <v>2667</v>
      </c>
      <c r="P5251" t="s">
        <v>68</v>
      </c>
      <c r="Q5251" t="s">
        <v>68</v>
      </c>
      <c r="R5251" t="s">
        <v>68</v>
      </c>
      <c r="S5251" t="s">
        <v>60</v>
      </c>
    </row>
    <row r="5252" spans="1:19" x14ac:dyDescent="0.35">
      <c r="A5252">
        <v>16941</v>
      </c>
      <c r="B5252" t="str">
        <f>"016941"</f>
        <v>016941</v>
      </c>
      <c r="C5252" t="s">
        <v>14288</v>
      </c>
      <c r="D5252" t="s">
        <v>3398</v>
      </c>
      <c r="E5252" t="s">
        <v>3395</v>
      </c>
      <c r="F5252" t="s">
        <v>3396</v>
      </c>
      <c r="G5252" t="s">
        <v>52</v>
      </c>
      <c r="H5252" t="s">
        <v>14289</v>
      </c>
      <c r="I5252" t="s">
        <v>14290</v>
      </c>
      <c r="J5252" t="s">
        <v>52</v>
      </c>
      <c r="K5252" t="s">
        <v>55</v>
      </c>
      <c r="L5252" t="s">
        <v>56</v>
      </c>
      <c r="M5252" t="s">
        <v>57</v>
      </c>
      <c r="N5252" t="str">
        <f>"046763"</f>
        <v>046763</v>
      </c>
      <c r="O5252" t="s">
        <v>2667</v>
      </c>
      <c r="P5252" t="s">
        <v>68</v>
      </c>
      <c r="Q5252">
        <v>6.5</v>
      </c>
      <c r="R5252">
        <v>25.200000000000003</v>
      </c>
      <c r="S5252" t="s">
        <v>60</v>
      </c>
    </row>
    <row r="5253" spans="1:19" x14ac:dyDescent="0.35">
      <c r="A5253">
        <v>16912</v>
      </c>
      <c r="B5253" t="str">
        <f>"016912"</f>
        <v>016912</v>
      </c>
      <c r="C5253" t="s">
        <v>14291</v>
      </c>
      <c r="D5253" t="s">
        <v>3394</v>
      </c>
      <c r="E5253" t="s">
        <v>3395</v>
      </c>
      <c r="F5253" t="s">
        <v>3396</v>
      </c>
      <c r="G5253" t="s">
        <v>117</v>
      </c>
      <c r="H5253" t="s">
        <v>14292</v>
      </c>
      <c r="I5253" t="s">
        <v>14293</v>
      </c>
      <c r="J5253" t="s">
        <v>1409</v>
      </c>
      <c r="K5253" t="s">
        <v>55</v>
      </c>
      <c r="L5253" t="s">
        <v>14294</v>
      </c>
      <c r="M5253" t="s">
        <v>57</v>
      </c>
      <c r="N5253" t="str">
        <f>"043711"</f>
        <v>043711</v>
      </c>
      <c r="O5253" t="s">
        <v>3000</v>
      </c>
      <c r="P5253" t="s">
        <v>68</v>
      </c>
      <c r="Q5253">
        <v>100</v>
      </c>
      <c r="R5253">
        <v>67.900000000000006</v>
      </c>
      <c r="S5253" t="s">
        <v>77</v>
      </c>
    </row>
    <row r="5254" spans="1:19" x14ac:dyDescent="0.35">
      <c r="A5254">
        <v>16936</v>
      </c>
      <c r="B5254" t="str">
        <f>"016936"</f>
        <v>016936</v>
      </c>
      <c r="C5254" t="s">
        <v>14295</v>
      </c>
      <c r="D5254" t="s">
        <v>3394</v>
      </c>
      <c r="E5254" t="s">
        <v>3395</v>
      </c>
      <c r="F5254" t="s">
        <v>3396</v>
      </c>
      <c r="G5254" t="s">
        <v>110</v>
      </c>
      <c r="H5254" t="s">
        <v>14296</v>
      </c>
      <c r="I5254" t="s">
        <v>14297</v>
      </c>
      <c r="J5254" t="s">
        <v>1027</v>
      </c>
      <c r="K5254" t="s">
        <v>55</v>
      </c>
      <c r="L5254" t="s">
        <v>1028</v>
      </c>
      <c r="M5254" t="s">
        <v>57</v>
      </c>
      <c r="N5254" t="str">
        <f>"048009"</f>
        <v>048009</v>
      </c>
      <c r="O5254" t="s">
        <v>1024</v>
      </c>
      <c r="P5254" t="s">
        <v>68</v>
      </c>
      <c r="Q5254">
        <v>50.8</v>
      </c>
      <c r="R5254">
        <v>69.900000000000006</v>
      </c>
      <c r="S5254" t="s">
        <v>60</v>
      </c>
    </row>
    <row r="5255" spans="1:19" x14ac:dyDescent="0.35">
      <c r="A5255">
        <v>16990</v>
      </c>
      <c r="B5255" t="str">
        <f>"016990"</f>
        <v>016990</v>
      </c>
      <c r="C5255" t="s">
        <v>14298</v>
      </c>
      <c r="D5255" t="s">
        <v>3394</v>
      </c>
      <c r="E5255" t="s">
        <v>3395</v>
      </c>
      <c r="F5255" t="s">
        <v>3396</v>
      </c>
      <c r="G5255" t="s">
        <v>212</v>
      </c>
      <c r="H5255" t="s">
        <v>12439</v>
      </c>
      <c r="I5255" t="s">
        <v>12440</v>
      </c>
      <c r="J5255" t="s">
        <v>215</v>
      </c>
      <c r="K5255" t="s">
        <v>55</v>
      </c>
      <c r="L5255" t="s">
        <v>5781</v>
      </c>
      <c r="M5255" t="s">
        <v>57</v>
      </c>
      <c r="N5255" t="str">
        <f>"043752"</f>
        <v>043752</v>
      </c>
      <c r="O5255" t="s">
        <v>440</v>
      </c>
      <c r="P5255" t="s">
        <v>68</v>
      </c>
      <c r="Q5255" t="s">
        <v>68</v>
      </c>
      <c r="R5255" t="s">
        <v>68</v>
      </c>
      <c r="S5255" t="s">
        <v>217</v>
      </c>
    </row>
    <row r="5256" spans="1:19" x14ac:dyDescent="0.35">
      <c r="A5256">
        <v>16974</v>
      </c>
      <c r="B5256" t="str">
        <f>"016974"</f>
        <v>016974</v>
      </c>
      <c r="C5256" t="s">
        <v>14299</v>
      </c>
      <c r="D5256" t="s">
        <v>3394</v>
      </c>
      <c r="E5256" t="s">
        <v>9538</v>
      </c>
      <c r="F5256" t="s">
        <v>3396</v>
      </c>
      <c r="G5256" t="s">
        <v>264</v>
      </c>
      <c r="H5256" t="s">
        <v>14300</v>
      </c>
      <c r="I5256" t="s">
        <v>14301</v>
      </c>
      <c r="J5256" t="s">
        <v>267</v>
      </c>
      <c r="K5256" t="s">
        <v>55</v>
      </c>
      <c r="L5256" t="s">
        <v>4045</v>
      </c>
      <c r="M5256" t="s">
        <v>57</v>
      </c>
      <c r="N5256" t="str">
        <f>"052522"</f>
        <v>052522</v>
      </c>
      <c r="O5256" t="s">
        <v>605</v>
      </c>
      <c r="P5256" t="s">
        <v>68</v>
      </c>
      <c r="Q5256" t="s">
        <v>68</v>
      </c>
      <c r="R5256" t="s">
        <v>68</v>
      </c>
      <c r="S5256" t="s">
        <v>77</v>
      </c>
    </row>
    <row r="5257" spans="1:19" x14ac:dyDescent="0.35">
      <c r="A5257">
        <v>16978</v>
      </c>
      <c r="B5257" t="str">
        <f>"016978"</f>
        <v>016978</v>
      </c>
      <c r="C5257" t="s">
        <v>14302</v>
      </c>
      <c r="D5257" t="s">
        <v>3398</v>
      </c>
      <c r="E5257" t="s">
        <v>9538</v>
      </c>
      <c r="F5257" t="s">
        <v>3396</v>
      </c>
      <c r="G5257" t="s">
        <v>63</v>
      </c>
      <c r="H5257" t="s">
        <v>12106</v>
      </c>
      <c r="I5257" t="s">
        <v>12107</v>
      </c>
      <c r="J5257" t="s">
        <v>101</v>
      </c>
      <c r="K5257" t="s">
        <v>55</v>
      </c>
      <c r="L5257" t="s">
        <v>1636</v>
      </c>
      <c r="M5257" t="s">
        <v>57</v>
      </c>
      <c r="N5257" t="str">
        <f>"016978"</f>
        <v>016978</v>
      </c>
      <c r="O5257" t="s">
        <v>14302</v>
      </c>
      <c r="P5257" t="s">
        <v>68</v>
      </c>
      <c r="Q5257" t="s">
        <v>68</v>
      </c>
      <c r="R5257" t="s">
        <v>68</v>
      </c>
      <c r="S5257" t="s">
        <v>69</v>
      </c>
    </row>
    <row r="5258" spans="1:19" x14ac:dyDescent="0.35">
      <c r="A5258">
        <v>16978</v>
      </c>
      <c r="B5258" t="str">
        <f>"016978"</f>
        <v>016978</v>
      </c>
      <c r="C5258" t="s">
        <v>14302</v>
      </c>
      <c r="D5258" t="s">
        <v>9541</v>
      </c>
      <c r="E5258" t="s">
        <v>9538</v>
      </c>
      <c r="F5258" t="s">
        <v>3396</v>
      </c>
      <c r="G5258" t="s">
        <v>63</v>
      </c>
      <c r="H5258" t="s">
        <v>12106</v>
      </c>
      <c r="I5258" t="s">
        <v>12107</v>
      </c>
      <c r="J5258" t="s">
        <v>101</v>
      </c>
      <c r="K5258" t="s">
        <v>55</v>
      </c>
      <c r="L5258" t="s">
        <v>1636</v>
      </c>
      <c r="M5258" t="s">
        <v>57</v>
      </c>
      <c r="N5258" t="str">
        <f>"016978"</f>
        <v>016978</v>
      </c>
      <c r="O5258" t="s">
        <v>14302</v>
      </c>
      <c r="P5258" t="s">
        <v>68</v>
      </c>
      <c r="Q5258" t="s">
        <v>68</v>
      </c>
      <c r="R5258" t="s">
        <v>68</v>
      </c>
      <c r="S5258" t="s">
        <v>69</v>
      </c>
    </row>
    <row r="5259" spans="1:19" x14ac:dyDescent="0.35">
      <c r="A5259">
        <v>17029</v>
      </c>
      <c r="B5259" t="str">
        <f>"017029"</f>
        <v>017029</v>
      </c>
      <c r="C5259" t="s">
        <v>14303</v>
      </c>
      <c r="D5259" t="s">
        <v>3394</v>
      </c>
      <c r="E5259" t="s">
        <v>9538</v>
      </c>
      <c r="F5259" t="s">
        <v>3396</v>
      </c>
      <c r="G5259" t="s">
        <v>117</v>
      </c>
      <c r="H5259" t="s">
        <v>14304</v>
      </c>
      <c r="I5259" t="s">
        <v>14305</v>
      </c>
      <c r="J5259" t="s">
        <v>1409</v>
      </c>
      <c r="K5259" t="s">
        <v>55</v>
      </c>
      <c r="L5259" t="s">
        <v>6280</v>
      </c>
      <c r="M5259" t="s">
        <v>57</v>
      </c>
      <c r="N5259" t="str">
        <f>"017029"</f>
        <v>017029</v>
      </c>
      <c r="O5259" t="s">
        <v>14303</v>
      </c>
      <c r="P5259" t="s">
        <v>68</v>
      </c>
      <c r="Q5259" t="s">
        <v>68</v>
      </c>
      <c r="R5259" t="s">
        <v>68</v>
      </c>
      <c r="S5259" t="s">
        <v>77</v>
      </c>
    </row>
    <row r="5260" spans="1:19" x14ac:dyDescent="0.35">
      <c r="A5260">
        <v>17029</v>
      </c>
      <c r="B5260" t="str">
        <f>"017029"</f>
        <v>017029</v>
      </c>
      <c r="C5260" t="s">
        <v>14303</v>
      </c>
      <c r="D5260" t="s">
        <v>9541</v>
      </c>
      <c r="E5260" t="s">
        <v>9538</v>
      </c>
      <c r="F5260" t="s">
        <v>3396</v>
      </c>
      <c r="G5260" t="s">
        <v>117</v>
      </c>
      <c r="H5260" t="s">
        <v>14304</v>
      </c>
      <c r="I5260" t="s">
        <v>14305</v>
      </c>
      <c r="J5260" t="s">
        <v>1409</v>
      </c>
      <c r="K5260" t="s">
        <v>55</v>
      </c>
      <c r="L5260" t="s">
        <v>6280</v>
      </c>
      <c r="M5260" t="s">
        <v>57</v>
      </c>
      <c r="N5260" t="str">
        <f>"017029"</f>
        <v>017029</v>
      </c>
      <c r="O5260" t="s">
        <v>14303</v>
      </c>
      <c r="P5260" t="s">
        <v>68</v>
      </c>
      <c r="Q5260" t="s">
        <v>68</v>
      </c>
      <c r="R5260" t="s">
        <v>68</v>
      </c>
      <c r="S5260" t="s">
        <v>77</v>
      </c>
    </row>
    <row r="5261" spans="1:19" x14ac:dyDescent="0.35">
      <c r="A5261">
        <v>17030</v>
      </c>
      <c r="B5261" t="str">
        <f>"017030"</f>
        <v>017030</v>
      </c>
      <c r="C5261" t="s">
        <v>11312</v>
      </c>
      <c r="D5261" t="s">
        <v>3394</v>
      </c>
      <c r="E5261" t="s">
        <v>9538</v>
      </c>
      <c r="F5261" t="s">
        <v>3396</v>
      </c>
      <c r="G5261" t="s">
        <v>63</v>
      </c>
      <c r="H5261" t="s">
        <v>14306</v>
      </c>
      <c r="I5261" t="s">
        <v>14307</v>
      </c>
      <c r="J5261" t="s">
        <v>285</v>
      </c>
      <c r="K5261" t="s">
        <v>55</v>
      </c>
      <c r="L5261" t="s">
        <v>3424</v>
      </c>
      <c r="M5261" t="s">
        <v>57</v>
      </c>
      <c r="N5261" t="str">
        <f>"017030"</f>
        <v>017030</v>
      </c>
      <c r="O5261" t="s">
        <v>11312</v>
      </c>
      <c r="P5261" t="s">
        <v>68</v>
      </c>
      <c r="Q5261" t="s">
        <v>68</v>
      </c>
      <c r="R5261" t="s">
        <v>68</v>
      </c>
      <c r="S5261" t="s">
        <v>69</v>
      </c>
    </row>
    <row r="5262" spans="1:19" x14ac:dyDescent="0.35">
      <c r="A5262">
        <v>17123</v>
      </c>
      <c r="B5262" t="str">
        <f>"017123"</f>
        <v>017123</v>
      </c>
      <c r="C5262" t="s">
        <v>14308</v>
      </c>
      <c r="D5262" t="s">
        <v>3394</v>
      </c>
      <c r="E5262" t="s">
        <v>12048</v>
      </c>
      <c r="F5262" t="s">
        <v>3396</v>
      </c>
      <c r="G5262" t="s">
        <v>600</v>
      </c>
      <c r="H5262" t="s">
        <v>14309</v>
      </c>
      <c r="I5262" t="s">
        <v>14310</v>
      </c>
      <c r="J5262" t="s">
        <v>1348</v>
      </c>
      <c r="K5262" t="s">
        <v>55</v>
      </c>
      <c r="L5262" t="s">
        <v>5767</v>
      </c>
      <c r="M5262" t="s">
        <v>57</v>
      </c>
      <c r="N5262" t="str">
        <f>"014979"</f>
        <v>014979</v>
      </c>
      <c r="O5262" t="s">
        <v>12185</v>
      </c>
      <c r="P5262" t="s">
        <v>68</v>
      </c>
      <c r="Q5262">
        <v>99.8</v>
      </c>
      <c r="R5262">
        <v>100</v>
      </c>
      <c r="S5262" t="s">
        <v>60</v>
      </c>
    </row>
    <row r="5263" spans="1:19" x14ac:dyDescent="0.35">
      <c r="A5263">
        <v>17123</v>
      </c>
      <c r="B5263" t="str">
        <f>"017123"</f>
        <v>017123</v>
      </c>
      <c r="C5263" t="s">
        <v>14308</v>
      </c>
      <c r="D5263" t="s">
        <v>12052</v>
      </c>
      <c r="E5263" t="s">
        <v>12048</v>
      </c>
      <c r="F5263" t="s">
        <v>3396</v>
      </c>
      <c r="G5263" t="s">
        <v>600</v>
      </c>
      <c r="H5263" t="s">
        <v>14309</v>
      </c>
      <c r="I5263" t="s">
        <v>14310</v>
      </c>
      <c r="J5263" t="s">
        <v>1348</v>
      </c>
      <c r="K5263" t="s">
        <v>55</v>
      </c>
      <c r="L5263" t="s">
        <v>5767</v>
      </c>
      <c r="M5263" t="s">
        <v>57</v>
      </c>
      <c r="N5263" t="str">
        <f>"014979"</f>
        <v>014979</v>
      </c>
      <c r="O5263" t="s">
        <v>12185</v>
      </c>
      <c r="P5263" t="s">
        <v>68</v>
      </c>
      <c r="Q5263">
        <v>99.8</v>
      </c>
      <c r="R5263">
        <v>100</v>
      </c>
      <c r="S5263" t="s">
        <v>60</v>
      </c>
    </row>
    <row r="5264" spans="1:19" x14ac:dyDescent="0.35">
      <c r="A5264">
        <v>17151</v>
      </c>
      <c r="B5264" t="str">
        <f>"017151"</f>
        <v>017151</v>
      </c>
      <c r="C5264" t="s">
        <v>14311</v>
      </c>
      <c r="D5264" t="s">
        <v>3394</v>
      </c>
      <c r="E5264" t="s">
        <v>9538</v>
      </c>
      <c r="F5264" t="s">
        <v>3396</v>
      </c>
      <c r="G5264" t="s">
        <v>600</v>
      </c>
      <c r="H5264" t="s">
        <v>14312</v>
      </c>
      <c r="I5264" t="s">
        <v>14313</v>
      </c>
      <c r="J5264" t="s">
        <v>3466</v>
      </c>
      <c r="K5264" t="s">
        <v>55</v>
      </c>
      <c r="L5264" t="s">
        <v>3467</v>
      </c>
      <c r="M5264" t="s">
        <v>57</v>
      </c>
      <c r="N5264" t="str">
        <f>"017151"</f>
        <v>017151</v>
      </c>
      <c r="O5264" t="s">
        <v>14311</v>
      </c>
      <c r="P5264" t="s">
        <v>68</v>
      </c>
      <c r="Q5264" t="s">
        <v>68</v>
      </c>
      <c r="R5264" t="s">
        <v>68</v>
      </c>
      <c r="S5264" t="s">
        <v>60</v>
      </c>
    </row>
    <row r="5265" spans="1:19" x14ac:dyDescent="0.35">
      <c r="A5265">
        <v>17153</v>
      </c>
      <c r="B5265" t="str">
        <f>"017153"</f>
        <v>017153</v>
      </c>
      <c r="C5265" t="s">
        <v>14314</v>
      </c>
      <c r="D5265" t="s">
        <v>3394</v>
      </c>
      <c r="E5265" t="s">
        <v>9538</v>
      </c>
      <c r="F5265" t="s">
        <v>3396</v>
      </c>
      <c r="G5265" t="s">
        <v>543</v>
      </c>
      <c r="H5265" t="s">
        <v>14315</v>
      </c>
      <c r="I5265" t="s">
        <v>14316</v>
      </c>
      <c r="J5265" t="s">
        <v>1858</v>
      </c>
      <c r="K5265" t="s">
        <v>55</v>
      </c>
      <c r="L5265" t="s">
        <v>1859</v>
      </c>
      <c r="M5265" t="s">
        <v>57</v>
      </c>
      <c r="N5265" t="str">
        <f>"017153"</f>
        <v>017153</v>
      </c>
      <c r="O5265" t="s">
        <v>14314</v>
      </c>
      <c r="P5265" t="s">
        <v>68</v>
      </c>
      <c r="Q5265" t="s">
        <v>68</v>
      </c>
      <c r="R5265" t="s">
        <v>68</v>
      </c>
      <c r="S5265" t="s">
        <v>180</v>
      </c>
    </row>
    <row r="5266" spans="1:19" x14ac:dyDescent="0.35">
      <c r="A5266">
        <v>17153</v>
      </c>
      <c r="B5266" t="str">
        <f>"017153"</f>
        <v>017153</v>
      </c>
      <c r="C5266" t="s">
        <v>14314</v>
      </c>
      <c r="D5266" t="s">
        <v>9541</v>
      </c>
      <c r="E5266" t="s">
        <v>9538</v>
      </c>
      <c r="F5266" t="s">
        <v>3396</v>
      </c>
      <c r="G5266" t="s">
        <v>543</v>
      </c>
      <c r="H5266" t="s">
        <v>14315</v>
      </c>
      <c r="I5266" t="s">
        <v>14316</v>
      </c>
      <c r="J5266" t="s">
        <v>1858</v>
      </c>
      <c r="K5266" t="s">
        <v>55</v>
      </c>
      <c r="L5266" t="s">
        <v>1859</v>
      </c>
      <c r="M5266" t="s">
        <v>57</v>
      </c>
      <c r="N5266" t="str">
        <f>"017153"</f>
        <v>017153</v>
      </c>
      <c r="O5266" t="s">
        <v>14314</v>
      </c>
      <c r="P5266" t="s">
        <v>68</v>
      </c>
      <c r="Q5266" t="s">
        <v>68</v>
      </c>
      <c r="R5266" t="s">
        <v>68</v>
      </c>
      <c r="S5266" t="s">
        <v>180</v>
      </c>
    </row>
    <row r="5267" spans="1:19" x14ac:dyDescent="0.35">
      <c r="A5267">
        <v>17199</v>
      </c>
      <c r="B5267" t="str">
        <f>"017199"</f>
        <v>017199</v>
      </c>
      <c r="C5267" t="s">
        <v>14317</v>
      </c>
      <c r="D5267" t="s">
        <v>3400</v>
      </c>
      <c r="E5267" t="s">
        <v>3395</v>
      </c>
      <c r="F5267" t="s">
        <v>3396</v>
      </c>
      <c r="G5267" t="s">
        <v>264</v>
      </c>
      <c r="H5267" t="s">
        <v>14318</v>
      </c>
      <c r="I5267" t="s">
        <v>14319</v>
      </c>
      <c r="J5267" t="s">
        <v>267</v>
      </c>
      <c r="K5267" t="s">
        <v>55</v>
      </c>
      <c r="L5267" t="s">
        <v>6222</v>
      </c>
      <c r="M5267" t="s">
        <v>57</v>
      </c>
      <c r="N5267" t="str">
        <f>"043489"</f>
        <v>043489</v>
      </c>
      <c r="O5267" t="s">
        <v>3176</v>
      </c>
      <c r="P5267" t="s">
        <v>68</v>
      </c>
      <c r="Q5267">
        <v>100</v>
      </c>
      <c r="R5267">
        <v>84.9</v>
      </c>
      <c r="S5267" t="s">
        <v>77</v>
      </c>
    </row>
    <row r="5268" spans="1:19" x14ac:dyDescent="0.35">
      <c r="A5268">
        <v>17199</v>
      </c>
      <c r="B5268" t="str">
        <f>"017199"</f>
        <v>017199</v>
      </c>
      <c r="C5268" t="s">
        <v>14317</v>
      </c>
      <c r="D5268" t="s">
        <v>3929</v>
      </c>
      <c r="E5268" t="s">
        <v>3395</v>
      </c>
      <c r="F5268" t="s">
        <v>3396</v>
      </c>
      <c r="G5268" t="s">
        <v>264</v>
      </c>
      <c r="H5268" t="s">
        <v>14318</v>
      </c>
      <c r="I5268" t="s">
        <v>14319</v>
      </c>
      <c r="J5268" t="s">
        <v>267</v>
      </c>
      <c r="K5268" t="s">
        <v>55</v>
      </c>
      <c r="L5268" t="s">
        <v>6222</v>
      </c>
      <c r="M5268" t="s">
        <v>57</v>
      </c>
      <c r="N5268" t="str">
        <f>"043489"</f>
        <v>043489</v>
      </c>
      <c r="O5268" t="s">
        <v>3176</v>
      </c>
      <c r="P5268" t="s">
        <v>68</v>
      </c>
      <c r="Q5268">
        <v>100</v>
      </c>
      <c r="R5268">
        <v>84.9</v>
      </c>
      <c r="S5268" t="s">
        <v>77</v>
      </c>
    </row>
    <row r="5269" spans="1:19" x14ac:dyDescent="0.35">
      <c r="A5269">
        <v>17161</v>
      </c>
      <c r="B5269" t="str">
        <f>"017161"</f>
        <v>017161</v>
      </c>
      <c r="C5269" t="s">
        <v>14320</v>
      </c>
      <c r="D5269" t="s">
        <v>3398</v>
      </c>
      <c r="E5269" t="s">
        <v>9538</v>
      </c>
      <c r="F5269" t="s">
        <v>3396</v>
      </c>
      <c r="G5269" t="s">
        <v>63</v>
      </c>
      <c r="H5269" t="s">
        <v>14321</v>
      </c>
      <c r="I5269" t="s">
        <v>14322</v>
      </c>
      <c r="J5269" t="s">
        <v>3031</v>
      </c>
      <c r="K5269" t="s">
        <v>55</v>
      </c>
      <c r="L5269" t="s">
        <v>3032</v>
      </c>
      <c r="M5269" t="s">
        <v>57</v>
      </c>
      <c r="N5269" t="str">
        <f>"017161"</f>
        <v>017161</v>
      </c>
      <c r="O5269" t="s">
        <v>14320</v>
      </c>
      <c r="P5269" t="s">
        <v>68</v>
      </c>
      <c r="Q5269" t="s">
        <v>68</v>
      </c>
      <c r="R5269" t="s">
        <v>68</v>
      </c>
      <c r="S5269" t="s">
        <v>69</v>
      </c>
    </row>
    <row r="5270" spans="1:19" x14ac:dyDescent="0.35">
      <c r="A5270">
        <v>17190</v>
      </c>
      <c r="B5270" t="str">
        <f>"017190"</f>
        <v>017190</v>
      </c>
      <c r="C5270" t="s">
        <v>14323</v>
      </c>
      <c r="D5270" t="s">
        <v>3394</v>
      </c>
      <c r="E5270" t="s">
        <v>3395</v>
      </c>
      <c r="F5270" t="s">
        <v>3396</v>
      </c>
      <c r="G5270" t="s">
        <v>63</v>
      </c>
      <c r="H5270" t="s">
        <v>14324</v>
      </c>
      <c r="I5270" t="s">
        <v>14325</v>
      </c>
      <c r="J5270" t="s">
        <v>285</v>
      </c>
      <c r="K5270" t="s">
        <v>55</v>
      </c>
      <c r="L5270" t="s">
        <v>1621</v>
      </c>
      <c r="M5270" t="s">
        <v>57</v>
      </c>
      <c r="N5270" t="str">
        <f>"043786"</f>
        <v>043786</v>
      </c>
      <c r="O5270" t="s">
        <v>1340</v>
      </c>
      <c r="P5270" t="s">
        <v>68</v>
      </c>
      <c r="Q5270">
        <v>100</v>
      </c>
      <c r="R5270">
        <v>61.7</v>
      </c>
      <c r="S5270" t="s">
        <v>69</v>
      </c>
    </row>
    <row r="5271" spans="1:19" x14ac:dyDescent="0.35">
      <c r="A5271">
        <v>17259</v>
      </c>
      <c r="B5271" t="str">
        <f>"017259"</f>
        <v>017259</v>
      </c>
      <c r="C5271" t="s">
        <v>14326</v>
      </c>
      <c r="D5271" t="s">
        <v>3398</v>
      </c>
      <c r="E5271" t="s">
        <v>12048</v>
      </c>
      <c r="F5271" t="s">
        <v>3396</v>
      </c>
      <c r="G5271" t="s">
        <v>543</v>
      </c>
      <c r="H5271" t="s">
        <v>14327</v>
      </c>
      <c r="I5271" t="s">
        <v>14328</v>
      </c>
      <c r="J5271" t="s">
        <v>687</v>
      </c>
      <c r="K5271" t="s">
        <v>55</v>
      </c>
      <c r="L5271" t="s">
        <v>3787</v>
      </c>
      <c r="M5271" t="s">
        <v>57</v>
      </c>
      <c r="N5271" t="str">
        <f>"017100"</f>
        <v>017100</v>
      </c>
      <c r="O5271" t="s">
        <v>13912</v>
      </c>
      <c r="P5271" t="s">
        <v>68</v>
      </c>
      <c r="Q5271">
        <v>99.6</v>
      </c>
      <c r="R5271">
        <v>71.7</v>
      </c>
      <c r="S5271" t="s">
        <v>180</v>
      </c>
    </row>
    <row r="5272" spans="1:19" x14ac:dyDescent="0.35">
      <c r="A5272">
        <v>17259</v>
      </c>
      <c r="B5272" t="str">
        <f>"017259"</f>
        <v>017259</v>
      </c>
      <c r="C5272" t="s">
        <v>14326</v>
      </c>
      <c r="D5272" t="s">
        <v>12052</v>
      </c>
      <c r="E5272" t="s">
        <v>12048</v>
      </c>
      <c r="F5272" t="s">
        <v>3396</v>
      </c>
      <c r="G5272" t="s">
        <v>543</v>
      </c>
      <c r="H5272" t="s">
        <v>14327</v>
      </c>
      <c r="I5272" t="s">
        <v>14328</v>
      </c>
      <c r="J5272" t="s">
        <v>687</v>
      </c>
      <c r="K5272" t="s">
        <v>55</v>
      </c>
      <c r="L5272" t="s">
        <v>3787</v>
      </c>
      <c r="M5272" t="s">
        <v>57</v>
      </c>
      <c r="N5272" t="str">
        <f>"017100"</f>
        <v>017100</v>
      </c>
      <c r="O5272" t="s">
        <v>13912</v>
      </c>
      <c r="P5272" t="s">
        <v>68</v>
      </c>
      <c r="Q5272">
        <v>99.6</v>
      </c>
      <c r="R5272">
        <v>71.7</v>
      </c>
      <c r="S5272" t="s">
        <v>180</v>
      </c>
    </row>
    <row r="5273" spans="1:19" x14ac:dyDescent="0.35">
      <c r="A5273">
        <v>17259</v>
      </c>
      <c r="B5273" t="str">
        <f>"017259"</f>
        <v>017259</v>
      </c>
      <c r="C5273" t="s">
        <v>14326</v>
      </c>
      <c r="D5273" t="s">
        <v>4572</v>
      </c>
      <c r="E5273" t="s">
        <v>12048</v>
      </c>
      <c r="F5273" t="s">
        <v>3396</v>
      </c>
      <c r="G5273" t="s">
        <v>543</v>
      </c>
      <c r="H5273" t="s">
        <v>14327</v>
      </c>
      <c r="I5273" t="s">
        <v>14328</v>
      </c>
      <c r="J5273" t="s">
        <v>687</v>
      </c>
      <c r="K5273" t="s">
        <v>55</v>
      </c>
      <c r="L5273" t="s">
        <v>3787</v>
      </c>
      <c r="M5273" t="s">
        <v>57</v>
      </c>
      <c r="N5273" t="str">
        <f>"017100"</f>
        <v>017100</v>
      </c>
      <c r="O5273" t="s">
        <v>13912</v>
      </c>
      <c r="P5273" t="s">
        <v>68</v>
      </c>
      <c r="Q5273">
        <v>99.6</v>
      </c>
      <c r="R5273">
        <v>71.7</v>
      </c>
      <c r="S5273" t="s">
        <v>180</v>
      </c>
    </row>
    <row r="5274" spans="1:19" x14ac:dyDescent="0.35">
      <c r="A5274">
        <v>17233</v>
      </c>
      <c r="B5274" t="str">
        <f>"017233"</f>
        <v>017233</v>
      </c>
      <c r="C5274" t="s">
        <v>14329</v>
      </c>
      <c r="D5274" t="s">
        <v>3398</v>
      </c>
      <c r="E5274" t="s">
        <v>12048</v>
      </c>
      <c r="F5274" t="s">
        <v>3396</v>
      </c>
      <c r="G5274" t="s">
        <v>600</v>
      </c>
      <c r="H5274" t="s">
        <v>14330</v>
      </c>
      <c r="I5274" t="s">
        <v>14331</v>
      </c>
      <c r="J5274" t="s">
        <v>1348</v>
      </c>
      <c r="K5274" t="s">
        <v>55</v>
      </c>
      <c r="L5274" t="s">
        <v>4473</v>
      </c>
      <c r="M5274" t="s">
        <v>57</v>
      </c>
      <c r="N5274" t="str">
        <f>"015029"</f>
        <v>015029</v>
      </c>
      <c r="O5274" t="s">
        <v>12813</v>
      </c>
      <c r="P5274" t="s">
        <v>68</v>
      </c>
      <c r="Q5274">
        <v>45.9</v>
      </c>
      <c r="R5274">
        <v>31.599999999999994</v>
      </c>
      <c r="S5274" t="s">
        <v>60</v>
      </c>
    </row>
    <row r="5275" spans="1:19" x14ac:dyDescent="0.35">
      <c r="A5275">
        <v>17233</v>
      </c>
      <c r="B5275" t="str">
        <f>"017233"</f>
        <v>017233</v>
      </c>
      <c r="C5275" t="s">
        <v>14329</v>
      </c>
      <c r="D5275" t="s">
        <v>12052</v>
      </c>
      <c r="E5275" t="s">
        <v>12048</v>
      </c>
      <c r="F5275" t="s">
        <v>3396</v>
      </c>
      <c r="G5275" t="s">
        <v>600</v>
      </c>
      <c r="H5275" t="s">
        <v>14330</v>
      </c>
      <c r="I5275" t="s">
        <v>14331</v>
      </c>
      <c r="J5275" t="s">
        <v>1348</v>
      </c>
      <c r="K5275" t="s">
        <v>55</v>
      </c>
      <c r="L5275" t="s">
        <v>4473</v>
      </c>
      <c r="M5275" t="s">
        <v>57</v>
      </c>
      <c r="N5275" t="str">
        <f>"015029"</f>
        <v>015029</v>
      </c>
      <c r="O5275" t="s">
        <v>12813</v>
      </c>
      <c r="P5275" t="s">
        <v>68</v>
      </c>
      <c r="Q5275">
        <v>45.9</v>
      </c>
      <c r="R5275">
        <v>31.599999999999994</v>
      </c>
      <c r="S5275" t="s">
        <v>60</v>
      </c>
    </row>
    <row r="5276" spans="1:19" x14ac:dyDescent="0.35">
      <c r="A5276">
        <v>17233</v>
      </c>
      <c r="B5276" t="str">
        <f>"017233"</f>
        <v>017233</v>
      </c>
      <c r="C5276" t="s">
        <v>14329</v>
      </c>
      <c r="D5276" t="s">
        <v>12476</v>
      </c>
      <c r="E5276" t="s">
        <v>12048</v>
      </c>
      <c r="F5276" t="s">
        <v>3396</v>
      </c>
      <c r="G5276" t="s">
        <v>600</v>
      </c>
      <c r="H5276" t="s">
        <v>14330</v>
      </c>
      <c r="I5276" t="s">
        <v>14331</v>
      </c>
      <c r="J5276" t="s">
        <v>1348</v>
      </c>
      <c r="K5276" t="s">
        <v>55</v>
      </c>
      <c r="L5276" t="s">
        <v>4473</v>
      </c>
      <c r="M5276" t="s">
        <v>57</v>
      </c>
      <c r="N5276" t="str">
        <f>"015029"</f>
        <v>015029</v>
      </c>
      <c r="O5276" t="s">
        <v>12813</v>
      </c>
      <c r="P5276" t="s">
        <v>68</v>
      </c>
      <c r="Q5276">
        <v>45.9</v>
      </c>
      <c r="R5276">
        <v>31.599999999999994</v>
      </c>
      <c r="S5276" t="s">
        <v>60</v>
      </c>
    </row>
    <row r="5277" spans="1:19" x14ac:dyDescent="0.35">
      <c r="A5277">
        <v>17212</v>
      </c>
      <c r="B5277" t="str">
        <f>"017212"</f>
        <v>017212</v>
      </c>
      <c r="C5277" t="s">
        <v>14332</v>
      </c>
      <c r="D5277" t="s">
        <v>3394</v>
      </c>
      <c r="E5277" t="s">
        <v>12048</v>
      </c>
      <c r="F5277" t="s">
        <v>3396</v>
      </c>
      <c r="G5277" t="s">
        <v>212</v>
      </c>
      <c r="H5277" t="s">
        <v>14333</v>
      </c>
      <c r="I5277" t="s">
        <v>14334</v>
      </c>
      <c r="J5277" t="s">
        <v>215</v>
      </c>
      <c r="K5277" t="s">
        <v>55</v>
      </c>
      <c r="L5277" t="s">
        <v>4767</v>
      </c>
      <c r="M5277" t="s">
        <v>57</v>
      </c>
      <c r="N5277" t="str">
        <f>"019070"</f>
        <v>019070</v>
      </c>
      <c r="O5277" t="s">
        <v>12133</v>
      </c>
      <c r="P5277" t="s">
        <v>68</v>
      </c>
      <c r="Q5277">
        <v>100</v>
      </c>
      <c r="R5277">
        <v>100</v>
      </c>
      <c r="S5277" t="s">
        <v>217</v>
      </c>
    </row>
    <row r="5278" spans="1:19" x14ac:dyDescent="0.35">
      <c r="A5278">
        <v>17212</v>
      </c>
      <c r="B5278" t="str">
        <f>"017212"</f>
        <v>017212</v>
      </c>
      <c r="C5278" t="s">
        <v>14332</v>
      </c>
      <c r="D5278" t="s">
        <v>12052</v>
      </c>
      <c r="E5278" t="s">
        <v>12048</v>
      </c>
      <c r="F5278" t="s">
        <v>3396</v>
      </c>
      <c r="G5278" t="s">
        <v>212</v>
      </c>
      <c r="H5278" t="s">
        <v>14333</v>
      </c>
      <c r="I5278" t="s">
        <v>14334</v>
      </c>
      <c r="J5278" t="s">
        <v>215</v>
      </c>
      <c r="K5278" t="s">
        <v>55</v>
      </c>
      <c r="L5278" t="s">
        <v>4767</v>
      </c>
      <c r="M5278" t="s">
        <v>57</v>
      </c>
      <c r="N5278" t="str">
        <f>"019070"</f>
        <v>019070</v>
      </c>
      <c r="O5278" t="s">
        <v>12133</v>
      </c>
      <c r="P5278" t="s">
        <v>68</v>
      </c>
      <c r="Q5278">
        <v>100</v>
      </c>
      <c r="R5278">
        <v>100</v>
      </c>
      <c r="S5278" t="s">
        <v>217</v>
      </c>
    </row>
    <row r="5279" spans="1:19" x14ac:dyDescent="0.35">
      <c r="A5279">
        <v>17274</v>
      </c>
      <c r="B5279" t="str">
        <f>"017274"</f>
        <v>017274</v>
      </c>
      <c r="C5279" t="s">
        <v>14335</v>
      </c>
      <c r="D5279" t="s">
        <v>3398</v>
      </c>
      <c r="E5279" t="s">
        <v>12048</v>
      </c>
      <c r="F5279" t="s">
        <v>3396</v>
      </c>
      <c r="G5279" t="s">
        <v>212</v>
      </c>
      <c r="H5279" t="s">
        <v>14336</v>
      </c>
      <c r="I5279" t="s">
        <v>14337</v>
      </c>
      <c r="J5279" t="s">
        <v>215</v>
      </c>
      <c r="K5279" t="s">
        <v>55</v>
      </c>
      <c r="L5279" t="s">
        <v>443</v>
      </c>
      <c r="M5279" t="s">
        <v>57</v>
      </c>
      <c r="N5279" t="str">
        <f>"017100"</f>
        <v>017100</v>
      </c>
      <c r="O5279" t="s">
        <v>13912</v>
      </c>
      <c r="P5279" t="s">
        <v>68</v>
      </c>
      <c r="Q5279">
        <v>99.5</v>
      </c>
      <c r="R5279">
        <v>100</v>
      </c>
      <c r="S5279" t="s">
        <v>217</v>
      </c>
    </row>
    <row r="5280" spans="1:19" x14ac:dyDescent="0.35">
      <c r="A5280">
        <v>17274</v>
      </c>
      <c r="B5280" t="str">
        <f>"017274"</f>
        <v>017274</v>
      </c>
      <c r="C5280" t="s">
        <v>14335</v>
      </c>
      <c r="D5280" t="s">
        <v>12052</v>
      </c>
      <c r="E5280" t="s">
        <v>12048</v>
      </c>
      <c r="F5280" t="s">
        <v>3396</v>
      </c>
      <c r="G5280" t="s">
        <v>212</v>
      </c>
      <c r="H5280" t="s">
        <v>14336</v>
      </c>
      <c r="I5280" t="s">
        <v>14337</v>
      </c>
      <c r="J5280" t="s">
        <v>215</v>
      </c>
      <c r="K5280" t="s">
        <v>55</v>
      </c>
      <c r="L5280" t="s">
        <v>443</v>
      </c>
      <c r="M5280" t="s">
        <v>57</v>
      </c>
      <c r="N5280" t="str">
        <f>"017100"</f>
        <v>017100</v>
      </c>
      <c r="O5280" t="s">
        <v>13912</v>
      </c>
      <c r="P5280" t="s">
        <v>68</v>
      </c>
      <c r="Q5280">
        <v>99.5</v>
      </c>
      <c r="R5280">
        <v>100</v>
      </c>
      <c r="S5280" t="s">
        <v>217</v>
      </c>
    </row>
    <row r="5281" spans="1:19" x14ac:dyDescent="0.35">
      <c r="A5281">
        <v>17274</v>
      </c>
      <c r="B5281" t="str">
        <f>"017274"</f>
        <v>017274</v>
      </c>
      <c r="C5281" t="s">
        <v>14335</v>
      </c>
      <c r="D5281" t="s">
        <v>4572</v>
      </c>
      <c r="E5281" t="s">
        <v>12048</v>
      </c>
      <c r="F5281" t="s">
        <v>3396</v>
      </c>
      <c r="G5281" t="s">
        <v>212</v>
      </c>
      <c r="H5281" t="s">
        <v>14336</v>
      </c>
      <c r="I5281" t="s">
        <v>14337</v>
      </c>
      <c r="J5281" t="s">
        <v>215</v>
      </c>
      <c r="K5281" t="s">
        <v>55</v>
      </c>
      <c r="L5281" t="s">
        <v>443</v>
      </c>
      <c r="M5281" t="s">
        <v>57</v>
      </c>
      <c r="N5281" t="str">
        <f>"017100"</f>
        <v>017100</v>
      </c>
      <c r="O5281" t="s">
        <v>13912</v>
      </c>
      <c r="P5281" t="s">
        <v>68</v>
      </c>
      <c r="Q5281">
        <v>99.5</v>
      </c>
      <c r="R5281">
        <v>100</v>
      </c>
      <c r="S5281" t="s">
        <v>217</v>
      </c>
    </row>
    <row r="5282" spans="1:19" x14ac:dyDescent="0.35">
      <c r="A5282">
        <v>17232</v>
      </c>
      <c r="B5282" t="str">
        <f>"017232"</f>
        <v>017232</v>
      </c>
      <c r="C5282" t="s">
        <v>14338</v>
      </c>
      <c r="D5282" t="s">
        <v>3394</v>
      </c>
      <c r="E5282" t="s">
        <v>9538</v>
      </c>
      <c r="F5282" t="s">
        <v>3396</v>
      </c>
      <c r="G5282" t="s">
        <v>600</v>
      </c>
      <c r="H5282" t="s">
        <v>14339</v>
      </c>
      <c r="I5282" t="s">
        <v>14340</v>
      </c>
      <c r="J5282" t="s">
        <v>1348</v>
      </c>
      <c r="K5282" t="s">
        <v>55</v>
      </c>
      <c r="L5282" t="s">
        <v>3462</v>
      </c>
      <c r="M5282" t="s">
        <v>57</v>
      </c>
      <c r="N5282" t="str">
        <f>"017232"</f>
        <v>017232</v>
      </c>
      <c r="O5282" t="s">
        <v>14338</v>
      </c>
      <c r="P5282" t="s">
        <v>68</v>
      </c>
      <c r="Q5282" t="s">
        <v>68</v>
      </c>
      <c r="R5282" t="s">
        <v>68</v>
      </c>
      <c r="S5282" t="s">
        <v>60</v>
      </c>
    </row>
    <row r="5283" spans="1:19" x14ac:dyDescent="0.35">
      <c r="A5283">
        <v>17232</v>
      </c>
      <c r="B5283" t="str">
        <f>"017232"</f>
        <v>017232</v>
      </c>
      <c r="C5283" t="s">
        <v>14338</v>
      </c>
      <c r="D5283" t="s">
        <v>9541</v>
      </c>
      <c r="E5283" t="s">
        <v>9538</v>
      </c>
      <c r="F5283" t="s">
        <v>3396</v>
      </c>
      <c r="G5283" t="s">
        <v>600</v>
      </c>
      <c r="H5283" t="s">
        <v>14339</v>
      </c>
      <c r="I5283" t="s">
        <v>14340</v>
      </c>
      <c r="J5283" t="s">
        <v>1348</v>
      </c>
      <c r="K5283" t="s">
        <v>55</v>
      </c>
      <c r="L5283" t="s">
        <v>3462</v>
      </c>
      <c r="M5283" t="s">
        <v>57</v>
      </c>
      <c r="N5283" t="str">
        <f>"017232"</f>
        <v>017232</v>
      </c>
      <c r="O5283" t="s">
        <v>14338</v>
      </c>
      <c r="P5283" t="s">
        <v>68</v>
      </c>
      <c r="Q5283" t="s">
        <v>68</v>
      </c>
      <c r="R5283" t="s">
        <v>68</v>
      </c>
      <c r="S5283" t="s">
        <v>60</v>
      </c>
    </row>
    <row r="5284" spans="1:19" x14ac:dyDescent="0.35">
      <c r="A5284">
        <v>17275</v>
      </c>
      <c r="B5284" t="str">
        <f>"017275"</f>
        <v>017275</v>
      </c>
      <c r="C5284" t="s">
        <v>14341</v>
      </c>
      <c r="D5284" t="s">
        <v>3398</v>
      </c>
      <c r="E5284" t="s">
        <v>12048</v>
      </c>
      <c r="F5284" t="s">
        <v>3396</v>
      </c>
      <c r="G5284" t="s">
        <v>212</v>
      </c>
      <c r="H5284" t="s">
        <v>14342</v>
      </c>
      <c r="I5284" t="s">
        <v>14343</v>
      </c>
      <c r="J5284" t="s">
        <v>215</v>
      </c>
      <c r="K5284" t="s">
        <v>55</v>
      </c>
      <c r="L5284" t="s">
        <v>4199</v>
      </c>
      <c r="M5284" t="s">
        <v>57</v>
      </c>
      <c r="N5284" t="str">
        <f>"017296"</f>
        <v>017296</v>
      </c>
      <c r="O5284" t="s">
        <v>14344</v>
      </c>
      <c r="P5284" t="s">
        <v>68</v>
      </c>
      <c r="Q5284">
        <v>87</v>
      </c>
      <c r="R5284">
        <v>60.9</v>
      </c>
      <c r="S5284" t="s">
        <v>217</v>
      </c>
    </row>
    <row r="5285" spans="1:19" x14ac:dyDescent="0.35">
      <c r="A5285">
        <v>17275</v>
      </c>
      <c r="B5285" t="str">
        <f>"017275"</f>
        <v>017275</v>
      </c>
      <c r="C5285" t="s">
        <v>14341</v>
      </c>
      <c r="D5285" t="s">
        <v>12052</v>
      </c>
      <c r="E5285" t="s">
        <v>12048</v>
      </c>
      <c r="F5285" t="s">
        <v>3396</v>
      </c>
      <c r="G5285" t="s">
        <v>212</v>
      </c>
      <c r="H5285" t="s">
        <v>14342</v>
      </c>
      <c r="I5285" t="s">
        <v>14343</v>
      </c>
      <c r="J5285" t="s">
        <v>215</v>
      </c>
      <c r="K5285" t="s">
        <v>55</v>
      </c>
      <c r="L5285" t="s">
        <v>4199</v>
      </c>
      <c r="M5285" t="s">
        <v>57</v>
      </c>
      <c r="N5285" t="str">
        <f>"017296"</f>
        <v>017296</v>
      </c>
      <c r="O5285" t="s">
        <v>14344</v>
      </c>
      <c r="P5285" t="s">
        <v>68</v>
      </c>
      <c r="Q5285">
        <v>87</v>
      </c>
      <c r="R5285">
        <v>60.9</v>
      </c>
      <c r="S5285" t="s">
        <v>217</v>
      </c>
    </row>
    <row r="5286" spans="1:19" x14ac:dyDescent="0.35">
      <c r="A5286">
        <v>17275</v>
      </c>
      <c r="B5286" t="str">
        <f>"017275"</f>
        <v>017275</v>
      </c>
      <c r="C5286" t="s">
        <v>14341</v>
      </c>
      <c r="D5286" t="s">
        <v>12063</v>
      </c>
      <c r="E5286" t="s">
        <v>12048</v>
      </c>
      <c r="F5286" t="s">
        <v>3396</v>
      </c>
      <c r="G5286" t="s">
        <v>212</v>
      </c>
      <c r="H5286" t="s">
        <v>14342</v>
      </c>
      <c r="I5286" t="s">
        <v>14343</v>
      </c>
      <c r="J5286" t="s">
        <v>215</v>
      </c>
      <c r="K5286" t="s">
        <v>55</v>
      </c>
      <c r="L5286" t="s">
        <v>4199</v>
      </c>
      <c r="M5286" t="s">
        <v>57</v>
      </c>
      <c r="N5286" t="str">
        <f>"017296"</f>
        <v>017296</v>
      </c>
      <c r="O5286" t="s">
        <v>14344</v>
      </c>
      <c r="P5286" t="s">
        <v>68</v>
      </c>
      <c r="Q5286">
        <v>87</v>
      </c>
      <c r="R5286">
        <v>60.9</v>
      </c>
      <c r="S5286" t="s">
        <v>217</v>
      </c>
    </row>
    <row r="5287" spans="1:19" x14ac:dyDescent="0.35">
      <c r="A5287">
        <v>17275</v>
      </c>
      <c r="B5287" t="str">
        <f>"017275"</f>
        <v>017275</v>
      </c>
      <c r="C5287" t="s">
        <v>14341</v>
      </c>
      <c r="D5287" t="s">
        <v>12677</v>
      </c>
      <c r="E5287" t="s">
        <v>12048</v>
      </c>
      <c r="F5287" t="s">
        <v>3396</v>
      </c>
      <c r="G5287" t="s">
        <v>212</v>
      </c>
      <c r="H5287" t="s">
        <v>14342</v>
      </c>
      <c r="I5287" t="s">
        <v>14343</v>
      </c>
      <c r="J5287" t="s">
        <v>215</v>
      </c>
      <c r="K5287" t="s">
        <v>55</v>
      </c>
      <c r="L5287" t="s">
        <v>4199</v>
      </c>
      <c r="M5287" t="s">
        <v>57</v>
      </c>
      <c r="N5287" t="str">
        <f>"017296"</f>
        <v>017296</v>
      </c>
      <c r="O5287" t="s">
        <v>14344</v>
      </c>
      <c r="P5287" t="s">
        <v>68</v>
      </c>
      <c r="Q5287">
        <v>87</v>
      </c>
      <c r="R5287">
        <v>60.9</v>
      </c>
      <c r="S5287" t="s">
        <v>217</v>
      </c>
    </row>
    <row r="5288" spans="1:19" x14ac:dyDescent="0.35">
      <c r="A5288">
        <v>17306</v>
      </c>
      <c r="B5288" t="str">
        <f>"017306"</f>
        <v>017306</v>
      </c>
      <c r="C5288" t="s">
        <v>14345</v>
      </c>
      <c r="D5288" t="s">
        <v>3394</v>
      </c>
      <c r="E5288" t="s">
        <v>3395</v>
      </c>
      <c r="F5288" t="s">
        <v>3396</v>
      </c>
      <c r="G5288" t="s">
        <v>511</v>
      </c>
      <c r="H5288" t="s">
        <v>14346</v>
      </c>
      <c r="I5288" t="s">
        <v>14347</v>
      </c>
      <c r="J5288" t="s">
        <v>1293</v>
      </c>
      <c r="K5288" t="s">
        <v>55</v>
      </c>
      <c r="L5288" t="s">
        <v>1294</v>
      </c>
      <c r="M5288" t="s">
        <v>57</v>
      </c>
      <c r="N5288" t="str">
        <f>"047183"</f>
        <v>047183</v>
      </c>
      <c r="O5288" t="s">
        <v>1290</v>
      </c>
      <c r="P5288" t="s">
        <v>68</v>
      </c>
      <c r="Q5288">
        <v>25.1</v>
      </c>
      <c r="R5288">
        <v>7.5999999999999943</v>
      </c>
      <c r="S5288" t="s">
        <v>69</v>
      </c>
    </row>
    <row r="5289" spans="1:19" x14ac:dyDescent="0.35">
      <c r="A5289">
        <v>17252</v>
      </c>
      <c r="B5289" t="str">
        <f>"017252"</f>
        <v>017252</v>
      </c>
      <c r="C5289" t="s">
        <v>14348</v>
      </c>
      <c r="D5289" t="s">
        <v>3394</v>
      </c>
      <c r="E5289" t="s">
        <v>3395</v>
      </c>
      <c r="F5289" t="s">
        <v>3396</v>
      </c>
      <c r="G5289" t="s">
        <v>187</v>
      </c>
      <c r="H5289" t="s">
        <v>7353</v>
      </c>
      <c r="I5289" t="s">
        <v>7354</v>
      </c>
      <c r="J5289" t="s">
        <v>2039</v>
      </c>
      <c r="K5289" t="s">
        <v>55</v>
      </c>
      <c r="L5289" t="s">
        <v>2040</v>
      </c>
      <c r="M5289" t="s">
        <v>57</v>
      </c>
      <c r="N5289" t="str">
        <f>"044610"</f>
        <v>044610</v>
      </c>
      <c r="O5289" t="s">
        <v>2036</v>
      </c>
      <c r="P5289" t="s">
        <v>68</v>
      </c>
      <c r="Q5289" t="s">
        <v>68</v>
      </c>
      <c r="R5289" t="s">
        <v>68</v>
      </c>
      <c r="S5289" t="s">
        <v>77</v>
      </c>
    </row>
    <row r="5290" spans="1:19" x14ac:dyDescent="0.35">
      <c r="A5290">
        <v>17270</v>
      </c>
      <c r="B5290" t="str">
        <f>"017270"</f>
        <v>017270</v>
      </c>
      <c r="C5290" t="s">
        <v>14349</v>
      </c>
      <c r="D5290" t="s">
        <v>3394</v>
      </c>
      <c r="E5290" t="s">
        <v>12048</v>
      </c>
      <c r="F5290" t="s">
        <v>3396</v>
      </c>
      <c r="G5290" t="s">
        <v>143</v>
      </c>
      <c r="H5290" t="s">
        <v>14350</v>
      </c>
      <c r="I5290" t="s">
        <v>14351</v>
      </c>
      <c r="J5290" t="s">
        <v>143</v>
      </c>
      <c r="K5290" t="s">
        <v>55</v>
      </c>
      <c r="L5290" t="s">
        <v>1033</v>
      </c>
      <c r="M5290" t="s">
        <v>57</v>
      </c>
      <c r="N5290" t="str">
        <f>"015427"</f>
        <v>015427</v>
      </c>
      <c r="O5290" t="s">
        <v>12157</v>
      </c>
      <c r="P5290" t="s">
        <v>68</v>
      </c>
      <c r="Q5290">
        <v>99.6</v>
      </c>
      <c r="R5290">
        <v>95.2</v>
      </c>
      <c r="S5290" t="s">
        <v>69</v>
      </c>
    </row>
    <row r="5291" spans="1:19" x14ac:dyDescent="0.35">
      <c r="A5291">
        <v>17270</v>
      </c>
      <c r="B5291" t="str">
        <f>"017270"</f>
        <v>017270</v>
      </c>
      <c r="C5291" t="s">
        <v>14349</v>
      </c>
      <c r="D5291" t="s">
        <v>12052</v>
      </c>
      <c r="E5291" t="s">
        <v>12048</v>
      </c>
      <c r="F5291" t="s">
        <v>3396</v>
      </c>
      <c r="G5291" t="s">
        <v>143</v>
      </c>
      <c r="H5291" t="s">
        <v>14350</v>
      </c>
      <c r="I5291" t="s">
        <v>14351</v>
      </c>
      <c r="J5291" t="s">
        <v>143</v>
      </c>
      <c r="K5291" t="s">
        <v>55</v>
      </c>
      <c r="L5291" t="s">
        <v>1033</v>
      </c>
      <c r="M5291" t="s">
        <v>57</v>
      </c>
      <c r="N5291" t="str">
        <f>"015427"</f>
        <v>015427</v>
      </c>
      <c r="O5291" t="s">
        <v>12157</v>
      </c>
      <c r="P5291" t="s">
        <v>68</v>
      </c>
      <c r="Q5291">
        <v>99.6</v>
      </c>
      <c r="R5291">
        <v>95.2</v>
      </c>
      <c r="S5291" t="s">
        <v>69</v>
      </c>
    </row>
    <row r="5292" spans="1:19" x14ac:dyDescent="0.35">
      <c r="A5292">
        <v>17307</v>
      </c>
      <c r="B5292" t="str">
        <f>"017307"</f>
        <v>017307</v>
      </c>
      <c r="C5292" t="s">
        <v>14352</v>
      </c>
      <c r="D5292" t="s">
        <v>3394</v>
      </c>
      <c r="E5292" t="s">
        <v>3395</v>
      </c>
      <c r="F5292" t="s">
        <v>3396</v>
      </c>
      <c r="G5292" t="s">
        <v>600</v>
      </c>
      <c r="H5292" t="s">
        <v>14353</v>
      </c>
      <c r="I5292" t="s">
        <v>14354</v>
      </c>
      <c r="J5292" t="s">
        <v>1348</v>
      </c>
      <c r="K5292" t="s">
        <v>55</v>
      </c>
      <c r="L5292" t="s">
        <v>5209</v>
      </c>
      <c r="M5292" t="s">
        <v>57</v>
      </c>
      <c r="N5292" t="str">
        <f>"044800"</f>
        <v>044800</v>
      </c>
      <c r="O5292" t="s">
        <v>1133</v>
      </c>
      <c r="P5292" t="s">
        <v>68</v>
      </c>
      <c r="Q5292">
        <v>74.099999999999994</v>
      </c>
      <c r="R5292">
        <v>47.8</v>
      </c>
      <c r="S5292" t="s">
        <v>60</v>
      </c>
    </row>
    <row r="5293" spans="1:19" x14ac:dyDescent="0.35">
      <c r="A5293">
        <v>17308</v>
      </c>
      <c r="B5293" t="str">
        <f>"017308"</f>
        <v>017308</v>
      </c>
      <c r="C5293" t="s">
        <v>14355</v>
      </c>
      <c r="D5293" t="s">
        <v>3400</v>
      </c>
      <c r="E5293" t="s">
        <v>3395</v>
      </c>
      <c r="F5293" t="s">
        <v>3396</v>
      </c>
      <c r="G5293" t="s">
        <v>600</v>
      </c>
      <c r="H5293" t="s">
        <v>7043</v>
      </c>
      <c r="I5293" t="s">
        <v>7044</v>
      </c>
      <c r="J5293" t="s">
        <v>1348</v>
      </c>
      <c r="K5293" t="s">
        <v>55</v>
      </c>
      <c r="L5293" t="s">
        <v>3161</v>
      </c>
      <c r="M5293" t="s">
        <v>57</v>
      </c>
      <c r="N5293" t="str">
        <f>"043802"</f>
        <v>043802</v>
      </c>
      <c r="O5293" t="s">
        <v>3171</v>
      </c>
      <c r="P5293" t="s">
        <v>68</v>
      </c>
      <c r="Q5293">
        <v>100</v>
      </c>
      <c r="R5293">
        <v>100</v>
      </c>
      <c r="S5293" t="s">
        <v>60</v>
      </c>
    </row>
    <row r="5294" spans="1:19" x14ac:dyDescent="0.35">
      <c r="A5294">
        <v>17287</v>
      </c>
      <c r="B5294" t="str">
        <f>"017287"</f>
        <v>017287</v>
      </c>
      <c r="C5294" t="s">
        <v>14356</v>
      </c>
      <c r="D5294" t="s">
        <v>3394</v>
      </c>
      <c r="E5294" t="s">
        <v>3395</v>
      </c>
      <c r="F5294" t="s">
        <v>3396</v>
      </c>
      <c r="G5294" t="s">
        <v>1679</v>
      </c>
      <c r="H5294" t="s">
        <v>1825</v>
      </c>
      <c r="I5294" t="s">
        <v>1826</v>
      </c>
      <c r="J5294" t="s">
        <v>1157</v>
      </c>
      <c r="K5294" t="s">
        <v>55</v>
      </c>
      <c r="L5294" t="s">
        <v>1158</v>
      </c>
      <c r="M5294" t="s">
        <v>57</v>
      </c>
      <c r="N5294" t="str">
        <f>"043695"</f>
        <v>043695</v>
      </c>
      <c r="O5294" t="s">
        <v>1824</v>
      </c>
      <c r="P5294" t="s">
        <v>68</v>
      </c>
      <c r="Q5294" t="s">
        <v>68</v>
      </c>
      <c r="R5294" t="s">
        <v>68</v>
      </c>
      <c r="S5294" t="s">
        <v>130</v>
      </c>
    </row>
    <row r="5295" spans="1:19" x14ac:dyDescent="0.35">
      <c r="A5295">
        <v>17354</v>
      </c>
      <c r="B5295" t="str">
        <f>"017354"</f>
        <v>017354</v>
      </c>
      <c r="C5295" t="s">
        <v>14357</v>
      </c>
      <c r="D5295" t="s">
        <v>3394</v>
      </c>
      <c r="E5295" t="s">
        <v>3395</v>
      </c>
      <c r="F5295" t="s">
        <v>3396</v>
      </c>
      <c r="G5295" t="s">
        <v>318</v>
      </c>
      <c r="H5295" t="s">
        <v>14358</v>
      </c>
      <c r="I5295" t="s">
        <v>14359</v>
      </c>
      <c r="J5295" t="s">
        <v>321</v>
      </c>
      <c r="K5295" t="s">
        <v>55</v>
      </c>
      <c r="L5295" t="s">
        <v>322</v>
      </c>
      <c r="M5295" t="s">
        <v>57</v>
      </c>
      <c r="N5295" t="str">
        <f>"043745"</f>
        <v>043745</v>
      </c>
      <c r="O5295" t="s">
        <v>2515</v>
      </c>
      <c r="P5295" t="s">
        <v>68</v>
      </c>
      <c r="Q5295" t="s">
        <v>68</v>
      </c>
      <c r="R5295" t="s">
        <v>68</v>
      </c>
      <c r="S5295" t="s">
        <v>130</v>
      </c>
    </row>
    <row r="5296" spans="1:19" x14ac:dyDescent="0.35">
      <c r="A5296">
        <v>17324</v>
      </c>
      <c r="B5296" t="str">
        <f>"017324"</f>
        <v>017324</v>
      </c>
      <c r="C5296" t="s">
        <v>14360</v>
      </c>
      <c r="D5296" t="s">
        <v>3394</v>
      </c>
      <c r="E5296" t="s">
        <v>3395</v>
      </c>
      <c r="F5296" t="s">
        <v>3396</v>
      </c>
      <c r="G5296" t="s">
        <v>110</v>
      </c>
      <c r="H5296" t="s">
        <v>14361</v>
      </c>
      <c r="I5296" t="s">
        <v>14362</v>
      </c>
      <c r="J5296" t="s">
        <v>671</v>
      </c>
      <c r="K5296" t="s">
        <v>55</v>
      </c>
      <c r="L5296" t="s">
        <v>672</v>
      </c>
      <c r="M5296" t="s">
        <v>57</v>
      </c>
      <c r="N5296" t="str">
        <f>"044453"</f>
        <v>044453</v>
      </c>
      <c r="O5296" t="s">
        <v>668</v>
      </c>
      <c r="P5296" t="s">
        <v>68</v>
      </c>
      <c r="Q5296" t="s">
        <v>68</v>
      </c>
      <c r="R5296" t="s">
        <v>68</v>
      </c>
      <c r="S5296" t="s">
        <v>60</v>
      </c>
    </row>
    <row r="5297" spans="1:19" x14ac:dyDescent="0.35">
      <c r="A5297">
        <v>17325</v>
      </c>
      <c r="B5297" t="str">
        <f>"017325"</f>
        <v>017325</v>
      </c>
      <c r="C5297" t="s">
        <v>14363</v>
      </c>
      <c r="D5297" t="s">
        <v>3398</v>
      </c>
      <c r="E5297" t="s">
        <v>3395</v>
      </c>
      <c r="F5297" t="s">
        <v>3396</v>
      </c>
      <c r="G5297" t="s">
        <v>110</v>
      </c>
      <c r="H5297" t="s">
        <v>14364</v>
      </c>
      <c r="I5297" t="s">
        <v>14365</v>
      </c>
      <c r="J5297" t="s">
        <v>671</v>
      </c>
      <c r="K5297" t="s">
        <v>55</v>
      </c>
      <c r="L5297" t="s">
        <v>672</v>
      </c>
      <c r="M5297" t="s">
        <v>57</v>
      </c>
      <c r="N5297" t="str">
        <f>"044453"</f>
        <v>044453</v>
      </c>
      <c r="O5297" t="s">
        <v>668</v>
      </c>
      <c r="P5297" t="s">
        <v>68</v>
      </c>
      <c r="Q5297">
        <v>72</v>
      </c>
      <c r="R5297">
        <v>14</v>
      </c>
      <c r="S5297" t="s">
        <v>60</v>
      </c>
    </row>
    <row r="5298" spans="1:19" x14ac:dyDescent="0.35">
      <c r="A5298">
        <v>17325</v>
      </c>
      <c r="B5298" t="str">
        <f>"017325"</f>
        <v>017325</v>
      </c>
      <c r="C5298" t="s">
        <v>14363</v>
      </c>
      <c r="D5298" t="s">
        <v>12476</v>
      </c>
      <c r="E5298" t="s">
        <v>3395</v>
      </c>
      <c r="F5298" t="s">
        <v>3396</v>
      </c>
      <c r="G5298" t="s">
        <v>110</v>
      </c>
      <c r="H5298" t="s">
        <v>14364</v>
      </c>
      <c r="I5298" t="s">
        <v>14365</v>
      </c>
      <c r="J5298" t="s">
        <v>671</v>
      </c>
      <c r="K5298" t="s">
        <v>55</v>
      </c>
      <c r="L5298" t="s">
        <v>672</v>
      </c>
      <c r="M5298" t="s">
        <v>57</v>
      </c>
      <c r="N5298" t="str">
        <f>"044453"</f>
        <v>044453</v>
      </c>
      <c r="O5298" t="s">
        <v>668</v>
      </c>
      <c r="P5298" t="s">
        <v>68</v>
      </c>
      <c r="Q5298">
        <v>72</v>
      </c>
      <c r="R5298">
        <v>14</v>
      </c>
      <c r="S5298" t="s">
        <v>60</v>
      </c>
    </row>
    <row r="5299" spans="1:19" x14ac:dyDescent="0.35">
      <c r="A5299">
        <v>17333</v>
      </c>
      <c r="B5299" t="str">
        <f>"017333"</f>
        <v>017333</v>
      </c>
      <c r="C5299" t="s">
        <v>14366</v>
      </c>
      <c r="D5299" t="s">
        <v>3394</v>
      </c>
      <c r="E5299" t="s">
        <v>9538</v>
      </c>
      <c r="F5299" t="s">
        <v>3396</v>
      </c>
      <c r="G5299" t="s">
        <v>63</v>
      </c>
      <c r="H5299" t="s">
        <v>14367</v>
      </c>
      <c r="I5299" t="s">
        <v>14368</v>
      </c>
      <c r="J5299" t="s">
        <v>842</v>
      </c>
      <c r="K5299" t="s">
        <v>55</v>
      </c>
      <c r="L5299" t="s">
        <v>843</v>
      </c>
      <c r="M5299" t="s">
        <v>57</v>
      </c>
      <c r="N5299" t="str">
        <f>"052522"</f>
        <v>052522</v>
      </c>
      <c r="O5299" t="s">
        <v>605</v>
      </c>
      <c r="P5299" t="s">
        <v>68</v>
      </c>
      <c r="Q5299" t="s">
        <v>68</v>
      </c>
      <c r="R5299" t="s">
        <v>68</v>
      </c>
      <c r="S5299" t="s">
        <v>69</v>
      </c>
    </row>
    <row r="5300" spans="1:19" x14ac:dyDescent="0.35">
      <c r="A5300">
        <v>17353</v>
      </c>
      <c r="B5300" t="str">
        <f>"017353"</f>
        <v>017353</v>
      </c>
      <c r="C5300" t="s">
        <v>14369</v>
      </c>
      <c r="D5300" t="s">
        <v>3394</v>
      </c>
      <c r="E5300" t="s">
        <v>3395</v>
      </c>
      <c r="F5300" t="s">
        <v>3396</v>
      </c>
      <c r="G5300" t="s">
        <v>212</v>
      </c>
      <c r="H5300" t="s">
        <v>14370</v>
      </c>
      <c r="I5300" t="s">
        <v>14371</v>
      </c>
      <c r="J5300" t="s">
        <v>215</v>
      </c>
      <c r="K5300" t="s">
        <v>55</v>
      </c>
      <c r="L5300" t="s">
        <v>3974</v>
      </c>
      <c r="M5300" t="s">
        <v>57</v>
      </c>
      <c r="N5300" t="str">
        <f>"043752"</f>
        <v>043752</v>
      </c>
      <c r="O5300" t="s">
        <v>440</v>
      </c>
      <c r="P5300" t="s">
        <v>68</v>
      </c>
      <c r="Q5300">
        <v>39.5</v>
      </c>
      <c r="R5300">
        <v>76.099999999999994</v>
      </c>
      <c r="S5300" t="s">
        <v>217</v>
      </c>
    </row>
    <row r="5301" spans="1:19" x14ac:dyDescent="0.35">
      <c r="A5301">
        <v>17377</v>
      </c>
      <c r="B5301" t="str">
        <f>"017377"</f>
        <v>017377</v>
      </c>
      <c r="C5301" t="s">
        <v>14372</v>
      </c>
      <c r="D5301" t="s">
        <v>3398</v>
      </c>
      <c r="E5301" t="s">
        <v>3395</v>
      </c>
      <c r="F5301" t="s">
        <v>3396</v>
      </c>
      <c r="G5301" t="s">
        <v>212</v>
      </c>
      <c r="H5301" t="s">
        <v>2500</v>
      </c>
      <c r="I5301" t="s">
        <v>2501</v>
      </c>
      <c r="J5301" t="s">
        <v>215</v>
      </c>
      <c r="K5301" t="s">
        <v>55</v>
      </c>
      <c r="L5301" t="s">
        <v>520</v>
      </c>
      <c r="M5301" t="s">
        <v>57</v>
      </c>
      <c r="N5301" t="str">
        <f>"044677"</f>
        <v>044677</v>
      </c>
      <c r="O5301" t="s">
        <v>2499</v>
      </c>
      <c r="P5301" t="s">
        <v>68</v>
      </c>
      <c r="Q5301">
        <v>59.9</v>
      </c>
      <c r="R5301">
        <v>90.7</v>
      </c>
      <c r="S5301" t="s">
        <v>217</v>
      </c>
    </row>
    <row r="5302" spans="1:19" x14ac:dyDescent="0.35">
      <c r="A5302">
        <v>17388</v>
      </c>
      <c r="B5302" t="str">
        <f>"017388"</f>
        <v>017388</v>
      </c>
      <c r="C5302" t="s">
        <v>14373</v>
      </c>
      <c r="D5302" t="s">
        <v>3398</v>
      </c>
      <c r="E5302" t="s">
        <v>9538</v>
      </c>
      <c r="F5302" t="s">
        <v>3396</v>
      </c>
      <c r="G5302" t="s">
        <v>600</v>
      </c>
      <c r="H5302" t="s">
        <v>14374</v>
      </c>
      <c r="I5302" t="s">
        <v>14375</v>
      </c>
      <c r="J5302" t="s">
        <v>1348</v>
      </c>
      <c r="K5302" t="s">
        <v>55</v>
      </c>
      <c r="L5302" t="s">
        <v>3462</v>
      </c>
      <c r="M5302" t="s">
        <v>57</v>
      </c>
      <c r="N5302" t="str">
        <f>"017388"</f>
        <v>017388</v>
      </c>
      <c r="O5302" t="s">
        <v>14373</v>
      </c>
      <c r="P5302" t="s">
        <v>68</v>
      </c>
      <c r="Q5302" t="s">
        <v>68</v>
      </c>
      <c r="R5302" t="s">
        <v>68</v>
      </c>
      <c r="S5302" t="s">
        <v>60</v>
      </c>
    </row>
    <row r="5303" spans="1:19" x14ac:dyDescent="0.35">
      <c r="A5303">
        <v>17404</v>
      </c>
      <c r="B5303" t="str">
        <f>"017404"</f>
        <v>017404</v>
      </c>
      <c r="C5303" t="s">
        <v>14376</v>
      </c>
      <c r="D5303" t="s">
        <v>3398</v>
      </c>
      <c r="E5303" t="s">
        <v>9538</v>
      </c>
      <c r="F5303" t="s">
        <v>3396</v>
      </c>
      <c r="G5303" t="s">
        <v>63</v>
      </c>
      <c r="H5303" t="s">
        <v>14377</v>
      </c>
      <c r="I5303" t="s">
        <v>14378</v>
      </c>
      <c r="J5303" t="s">
        <v>1844</v>
      </c>
      <c r="K5303" t="s">
        <v>55</v>
      </c>
      <c r="L5303" t="s">
        <v>1636</v>
      </c>
      <c r="M5303" t="s">
        <v>57</v>
      </c>
      <c r="N5303" t="str">
        <f>"017404"</f>
        <v>017404</v>
      </c>
      <c r="O5303" t="s">
        <v>14376</v>
      </c>
      <c r="P5303" t="s">
        <v>68</v>
      </c>
      <c r="Q5303" t="s">
        <v>68</v>
      </c>
      <c r="R5303" t="s">
        <v>68</v>
      </c>
      <c r="S5303" t="s">
        <v>69</v>
      </c>
    </row>
    <row r="5304" spans="1:19" x14ac:dyDescent="0.35">
      <c r="A5304">
        <v>17431</v>
      </c>
      <c r="B5304" t="str">
        <f>"017431"</f>
        <v>017431</v>
      </c>
      <c r="C5304" t="s">
        <v>14379</v>
      </c>
      <c r="D5304" t="s">
        <v>3398</v>
      </c>
      <c r="E5304" t="s">
        <v>9538</v>
      </c>
      <c r="F5304" t="s">
        <v>3396</v>
      </c>
      <c r="G5304" t="s">
        <v>212</v>
      </c>
      <c r="H5304" t="s">
        <v>14380</v>
      </c>
      <c r="I5304" t="s">
        <v>14381</v>
      </c>
      <c r="J5304" t="s">
        <v>215</v>
      </c>
      <c r="K5304" t="s">
        <v>55</v>
      </c>
      <c r="L5304" t="s">
        <v>1693</v>
      </c>
      <c r="M5304" t="s">
        <v>57</v>
      </c>
      <c r="N5304" t="str">
        <f>"134338"</f>
        <v>134338</v>
      </c>
      <c r="O5304" t="s">
        <v>12234</v>
      </c>
      <c r="P5304" t="s">
        <v>68</v>
      </c>
      <c r="Q5304" t="s">
        <v>68</v>
      </c>
      <c r="R5304" t="s">
        <v>68</v>
      </c>
      <c r="S5304" t="s">
        <v>217</v>
      </c>
    </row>
    <row r="5305" spans="1:19" x14ac:dyDescent="0.35">
      <c r="A5305">
        <v>17431</v>
      </c>
      <c r="B5305" t="str">
        <f>"017431"</f>
        <v>017431</v>
      </c>
      <c r="C5305" t="s">
        <v>14379</v>
      </c>
      <c r="D5305" t="s">
        <v>9541</v>
      </c>
      <c r="E5305" t="s">
        <v>9538</v>
      </c>
      <c r="F5305" t="s">
        <v>3396</v>
      </c>
      <c r="G5305" t="s">
        <v>212</v>
      </c>
      <c r="H5305" t="s">
        <v>14380</v>
      </c>
      <c r="I5305" t="s">
        <v>14381</v>
      </c>
      <c r="J5305" t="s">
        <v>215</v>
      </c>
      <c r="K5305" t="s">
        <v>55</v>
      </c>
      <c r="L5305" t="s">
        <v>1693</v>
      </c>
      <c r="M5305" t="s">
        <v>57</v>
      </c>
      <c r="N5305" t="str">
        <f>"134338"</f>
        <v>134338</v>
      </c>
      <c r="O5305" t="s">
        <v>12234</v>
      </c>
      <c r="P5305" t="s">
        <v>68</v>
      </c>
      <c r="Q5305" t="s">
        <v>68</v>
      </c>
      <c r="R5305" t="s">
        <v>68</v>
      </c>
      <c r="S5305" t="s">
        <v>217</v>
      </c>
    </row>
    <row r="5306" spans="1:19" x14ac:dyDescent="0.35">
      <c r="A5306">
        <v>17433</v>
      </c>
      <c r="B5306" t="str">
        <f>"017433"</f>
        <v>017433</v>
      </c>
      <c r="C5306" t="s">
        <v>14382</v>
      </c>
      <c r="D5306" t="s">
        <v>3394</v>
      </c>
      <c r="E5306" t="s">
        <v>9538</v>
      </c>
      <c r="F5306" t="s">
        <v>3396</v>
      </c>
      <c r="G5306" t="s">
        <v>212</v>
      </c>
      <c r="H5306" t="s">
        <v>14383</v>
      </c>
      <c r="I5306" t="s">
        <v>14384</v>
      </c>
      <c r="J5306" t="s">
        <v>1187</v>
      </c>
      <c r="K5306" t="s">
        <v>55</v>
      </c>
      <c r="L5306" t="s">
        <v>2134</v>
      </c>
      <c r="M5306" t="s">
        <v>57</v>
      </c>
      <c r="N5306" t="str">
        <f>"017433"</f>
        <v>017433</v>
      </c>
      <c r="O5306" t="s">
        <v>14382</v>
      </c>
      <c r="P5306" t="s">
        <v>68</v>
      </c>
      <c r="Q5306" t="s">
        <v>68</v>
      </c>
      <c r="R5306" t="s">
        <v>68</v>
      </c>
      <c r="S5306" t="s">
        <v>217</v>
      </c>
    </row>
    <row r="5307" spans="1:19" x14ac:dyDescent="0.35">
      <c r="A5307">
        <v>17490</v>
      </c>
      <c r="B5307" t="str">
        <f>"017490"</f>
        <v>017490</v>
      </c>
      <c r="C5307" t="s">
        <v>14385</v>
      </c>
      <c r="D5307" t="s">
        <v>3394</v>
      </c>
      <c r="E5307" t="s">
        <v>12048</v>
      </c>
      <c r="F5307" t="s">
        <v>3396</v>
      </c>
      <c r="G5307" t="s">
        <v>212</v>
      </c>
      <c r="H5307" t="s">
        <v>14386</v>
      </c>
      <c r="I5307" t="s">
        <v>14387</v>
      </c>
      <c r="J5307" t="s">
        <v>215</v>
      </c>
      <c r="K5307" t="s">
        <v>55</v>
      </c>
      <c r="L5307" t="s">
        <v>5034</v>
      </c>
      <c r="M5307" t="s">
        <v>57</v>
      </c>
      <c r="N5307" t="str">
        <f>"018019"</f>
        <v>018019</v>
      </c>
      <c r="O5307" t="s">
        <v>14388</v>
      </c>
      <c r="P5307" t="s">
        <v>68</v>
      </c>
      <c r="Q5307">
        <v>100</v>
      </c>
      <c r="R5307">
        <v>100</v>
      </c>
      <c r="S5307" t="s">
        <v>217</v>
      </c>
    </row>
    <row r="5308" spans="1:19" x14ac:dyDescent="0.35">
      <c r="A5308">
        <v>17490</v>
      </c>
      <c r="B5308" t="str">
        <f>"017490"</f>
        <v>017490</v>
      </c>
      <c r="C5308" t="s">
        <v>14385</v>
      </c>
      <c r="D5308" t="s">
        <v>12052</v>
      </c>
      <c r="E5308" t="s">
        <v>12048</v>
      </c>
      <c r="F5308" t="s">
        <v>3396</v>
      </c>
      <c r="G5308" t="s">
        <v>212</v>
      </c>
      <c r="H5308" t="s">
        <v>14386</v>
      </c>
      <c r="I5308" t="s">
        <v>14387</v>
      </c>
      <c r="J5308" t="s">
        <v>215</v>
      </c>
      <c r="K5308" t="s">
        <v>55</v>
      </c>
      <c r="L5308" t="s">
        <v>5034</v>
      </c>
      <c r="M5308" t="s">
        <v>57</v>
      </c>
      <c r="N5308" t="str">
        <f>"018019"</f>
        <v>018019</v>
      </c>
      <c r="O5308" t="s">
        <v>14388</v>
      </c>
      <c r="P5308" t="s">
        <v>68</v>
      </c>
      <c r="Q5308">
        <v>100</v>
      </c>
      <c r="R5308">
        <v>100</v>
      </c>
      <c r="S5308" t="s">
        <v>217</v>
      </c>
    </row>
    <row r="5309" spans="1:19" x14ac:dyDescent="0.35">
      <c r="A5309">
        <v>17490</v>
      </c>
      <c r="B5309" t="str">
        <f>"017490"</f>
        <v>017490</v>
      </c>
      <c r="C5309" t="s">
        <v>14385</v>
      </c>
      <c r="D5309" t="s">
        <v>4572</v>
      </c>
      <c r="E5309" t="s">
        <v>12048</v>
      </c>
      <c r="F5309" t="s">
        <v>3396</v>
      </c>
      <c r="G5309" t="s">
        <v>212</v>
      </c>
      <c r="H5309" t="s">
        <v>14386</v>
      </c>
      <c r="I5309" t="s">
        <v>14387</v>
      </c>
      <c r="J5309" t="s">
        <v>215</v>
      </c>
      <c r="K5309" t="s">
        <v>55</v>
      </c>
      <c r="L5309" t="s">
        <v>5034</v>
      </c>
      <c r="M5309" t="s">
        <v>57</v>
      </c>
      <c r="N5309" t="str">
        <f>"018019"</f>
        <v>018019</v>
      </c>
      <c r="O5309" t="s">
        <v>14388</v>
      </c>
      <c r="P5309" t="s">
        <v>68</v>
      </c>
      <c r="Q5309">
        <v>100</v>
      </c>
      <c r="R5309">
        <v>100</v>
      </c>
      <c r="S5309" t="s">
        <v>217</v>
      </c>
    </row>
    <row r="5310" spans="1:19" x14ac:dyDescent="0.35">
      <c r="A5310">
        <v>17446</v>
      </c>
      <c r="B5310" t="str">
        <f>"017446"</f>
        <v>017446</v>
      </c>
      <c r="C5310" t="s">
        <v>14389</v>
      </c>
      <c r="D5310" t="s">
        <v>3398</v>
      </c>
      <c r="E5310" t="s">
        <v>9538</v>
      </c>
      <c r="F5310" t="s">
        <v>3396</v>
      </c>
      <c r="G5310" t="s">
        <v>226</v>
      </c>
      <c r="H5310" t="s">
        <v>14390</v>
      </c>
      <c r="I5310" t="s">
        <v>14391</v>
      </c>
      <c r="J5310" t="s">
        <v>810</v>
      </c>
      <c r="K5310" t="s">
        <v>55</v>
      </c>
      <c r="L5310" t="s">
        <v>811</v>
      </c>
      <c r="M5310" t="s">
        <v>57</v>
      </c>
      <c r="N5310" t="str">
        <f>"017446"</f>
        <v>017446</v>
      </c>
      <c r="O5310" t="s">
        <v>14389</v>
      </c>
      <c r="P5310" t="s">
        <v>68</v>
      </c>
      <c r="Q5310" t="s">
        <v>68</v>
      </c>
      <c r="R5310" t="s">
        <v>68</v>
      </c>
      <c r="S5310" t="s">
        <v>156</v>
      </c>
    </row>
    <row r="5311" spans="1:19" x14ac:dyDescent="0.35">
      <c r="A5311">
        <v>17446</v>
      </c>
      <c r="B5311" t="str">
        <f>"017446"</f>
        <v>017446</v>
      </c>
      <c r="C5311" t="s">
        <v>14389</v>
      </c>
      <c r="D5311" t="s">
        <v>9541</v>
      </c>
      <c r="E5311" t="s">
        <v>9538</v>
      </c>
      <c r="F5311" t="s">
        <v>3396</v>
      </c>
      <c r="G5311" t="s">
        <v>226</v>
      </c>
      <c r="H5311" t="s">
        <v>14390</v>
      </c>
      <c r="I5311" t="s">
        <v>14391</v>
      </c>
      <c r="J5311" t="s">
        <v>810</v>
      </c>
      <c r="K5311" t="s">
        <v>55</v>
      </c>
      <c r="L5311" t="s">
        <v>811</v>
      </c>
      <c r="M5311" t="s">
        <v>57</v>
      </c>
      <c r="N5311" t="str">
        <f>"017446"</f>
        <v>017446</v>
      </c>
      <c r="O5311" t="s">
        <v>14389</v>
      </c>
      <c r="P5311" t="s">
        <v>68</v>
      </c>
      <c r="Q5311" t="s">
        <v>68</v>
      </c>
      <c r="R5311" t="s">
        <v>68</v>
      </c>
      <c r="S5311" t="s">
        <v>156</v>
      </c>
    </row>
    <row r="5312" spans="1:19" x14ac:dyDescent="0.35">
      <c r="A5312">
        <v>17448</v>
      </c>
      <c r="B5312" t="str">
        <f>"017448"</f>
        <v>017448</v>
      </c>
      <c r="C5312" t="s">
        <v>14392</v>
      </c>
      <c r="D5312" t="s">
        <v>3398</v>
      </c>
      <c r="E5312" t="s">
        <v>9538</v>
      </c>
      <c r="F5312" t="s">
        <v>3396</v>
      </c>
      <c r="G5312" t="s">
        <v>264</v>
      </c>
      <c r="H5312" t="s">
        <v>14393</v>
      </c>
      <c r="I5312" t="s">
        <v>14394</v>
      </c>
      <c r="J5312" t="s">
        <v>5319</v>
      </c>
      <c r="K5312" t="s">
        <v>55</v>
      </c>
      <c r="L5312" t="s">
        <v>3693</v>
      </c>
      <c r="M5312" t="s">
        <v>57</v>
      </c>
      <c r="N5312" t="str">
        <f>"017448"</f>
        <v>017448</v>
      </c>
      <c r="O5312" t="s">
        <v>14392</v>
      </c>
      <c r="P5312" t="s">
        <v>68</v>
      </c>
      <c r="Q5312" t="s">
        <v>68</v>
      </c>
      <c r="R5312" t="s">
        <v>68</v>
      </c>
      <c r="S5312" t="s">
        <v>77</v>
      </c>
    </row>
    <row r="5313" spans="1:19" x14ac:dyDescent="0.35">
      <c r="A5313">
        <v>17448</v>
      </c>
      <c r="B5313" t="str">
        <f>"017448"</f>
        <v>017448</v>
      </c>
      <c r="C5313" t="s">
        <v>14392</v>
      </c>
      <c r="D5313" t="s">
        <v>9541</v>
      </c>
      <c r="E5313" t="s">
        <v>9538</v>
      </c>
      <c r="F5313" t="s">
        <v>3396</v>
      </c>
      <c r="G5313" t="s">
        <v>264</v>
      </c>
      <c r="H5313" t="s">
        <v>14393</v>
      </c>
      <c r="I5313" t="s">
        <v>14394</v>
      </c>
      <c r="J5313" t="s">
        <v>5319</v>
      </c>
      <c r="K5313" t="s">
        <v>55</v>
      </c>
      <c r="L5313" t="s">
        <v>3693</v>
      </c>
      <c r="M5313" t="s">
        <v>57</v>
      </c>
      <c r="N5313" t="str">
        <f>"017448"</f>
        <v>017448</v>
      </c>
      <c r="O5313" t="s">
        <v>14392</v>
      </c>
      <c r="P5313" t="s">
        <v>68</v>
      </c>
      <c r="Q5313" t="s">
        <v>68</v>
      </c>
      <c r="R5313" t="s">
        <v>68</v>
      </c>
      <c r="S5313" t="s">
        <v>77</v>
      </c>
    </row>
    <row r="5314" spans="1:19" x14ac:dyDescent="0.35">
      <c r="A5314">
        <v>17456</v>
      </c>
      <c r="B5314" t="str">
        <f>"017456"</f>
        <v>017456</v>
      </c>
      <c r="C5314" t="s">
        <v>14395</v>
      </c>
      <c r="D5314" t="s">
        <v>3394</v>
      </c>
      <c r="E5314" t="s">
        <v>3395</v>
      </c>
      <c r="F5314" t="s">
        <v>3396</v>
      </c>
      <c r="G5314" t="s">
        <v>212</v>
      </c>
      <c r="H5314" t="s">
        <v>12686</v>
      </c>
      <c r="I5314" t="s">
        <v>12687</v>
      </c>
      <c r="J5314" t="s">
        <v>215</v>
      </c>
      <c r="K5314" t="s">
        <v>55</v>
      </c>
      <c r="L5314" t="s">
        <v>4487</v>
      </c>
      <c r="M5314" t="s">
        <v>57</v>
      </c>
      <c r="N5314" t="str">
        <f>"043752"</f>
        <v>043752</v>
      </c>
      <c r="O5314" t="s">
        <v>440</v>
      </c>
      <c r="P5314" t="s">
        <v>68</v>
      </c>
      <c r="Q5314" t="s">
        <v>68</v>
      </c>
      <c r="R5314" t="s">
        <v>68</v>
      </c>
      <c r="S5314" t="s">
        <v>217</v>
      </c>
    </row>
    <row r="5315" spans="1:19" x14ac:dyDescent="0.35">
      <c r="A5315">
        <v>17460</v>
      </c>
      <c r="B5315" t="str">
        <f>"017460"</f>
        <v>017460</v>
      </c>
      <c r="C5315" t="s">
        <v>11405</v>
      </c>
      <c r="D5315" t="s">
        <v>3394</v>
      </c>
      <c r="E5315" t="s">
        <v>9538</v>
      </c>
      <c r="F5315" t="s">
        <v>3396</v>
      </c>
      <c r="G5315" t="s">
        <v>212</v>
      </c>
      <c r="H5315" t="s">
        <v>14396</v>
      </c>
      <c r="I5315" t="s">
        <v>14397</v>
      </c>
      <c r="J5315" t="s">
        <v>215</v>
      </c>
      <c r="K5315" t="s">
        <v>55</v>
      </c>
      <c r="L5315" t="s">
        <v>3919</v>
      </c>
      <c r="M5315" t="s">
        <v>57</v>
      </c>
      <c r="N5315" t="str">
        <f>"017460"</f>
        <v>017460</v>
      </c>
      <c r="O5315" t="s">
        <v>11405</v>
      </c>
      <c r="P5315" t="s">
        <v>68</v>
      </c>
      <c r="Q5315" t="s">
        <v>68</v>
      </c>
      <c r="R5315" t="s">
        <v>68</v>
      </c>
      <c r="S5315" t="s">
        <v>217</v>
      </c>
    </row>
    <row r="5316" spans="1:19" x14ac:dyDescent="0.35">
      <c r="A5316">
        <v>17484</v>
      </c>
      <c r="B5316" t="str">
        <f>"017484"</f>
        <v>017484</v>
      </c>
      <c r="C5316" t="s">
        <v>14398</v>
      </c>
      <c r="D5316" t="s">
        <v>3400</v>
      </c>
      <c r="E5316" t="s">
        <v>3395</v>
      </c>
      <c r="F5316" t="s">
        <v>3396</v>
      </c>
      <c r="G5316" t="s">
        <v>212</v>
      </c>
      <c r="H5316" t="s">
        <v>8635</v>
      </c>
      <c r="I5316" t="s">
        <v>8636</v>
      </c>
      <c r="J5316" t="s">
        <v>489</v>
      </c>
      <c r="K5316" t="s">
        <v>55</v>
      </c>
      <c r="L5316" t="s">
        <v>490</v>
      </c>
      <c r="M5316" t="s">
        <v>57</v>
      </c>
      <c r="N5316" t="str">
        <f>"047399"</f>
        <v>047399</v>
      </c>
      <c r="O5316" t="s">
        <v>486</v>
      </c>
      <c r="P5316" t="s">
        <v>68</v>
      </c>
      <c r="Q5316">
        <v>37.9</v>
      </c>
      <c r="R5316">
        <v>11.5</v>
      </c>
      <c r="S5316" t="s">
        <v>217</v>
      </c>
    </row>
    <row r="5317" spans="1:19" x14ac:dyDescent="0.35">
      <c r="A5317">
        <v>17497</v>
      </c>
      <c r="B5317" t="str">
        <f>"017497"</f>
        <v>017497</v>
      </c>
      <c r="C5317" t="s">
        <v>14399</v>
      </c>
      <c r="D5317" t="s">
        <v>3398</v>
      </c>
      <c r="E5317" t="s">
        <v>12048</v>
      </c>
      <c r="F5317" t="s">
        <v>3396</v>
      </c>
      <c r="G5317" t="s">
        <v>663</v>
      </c>
      <c r="H5317" t="s">
        <v>14400</v>
      </c>
      <c r="I5317" t="s">
        <v>14401</v>
      </c>
      <c r="J5317" t="s">
        <v>666</v>
      </c>
      <c r="K5317" t="s">
        <v>55</v>
      </c>
      <c r="L5317" t="s">
        <v>1605</v>
      </c>
      <c r="M5317" t="s">
        <v>57</v>
      </c>
      <c r="N5317" t="str">
        <f>"017297"</f>
        <v>017297</v>
      </c>
      <c r="O5317" t="s">
        <v>12062</v>
      </c>
      <c r="P5317" t="s">
        <v>68</v>
      </c>
      <c r="Q5317">
        <v>100</v>
      </c>
      <c r="R5317">
        <v>34.099999999999994</v>
      </c>
      <c r="S5317" t="s">
        <v>77</v>
      </c>
    </row>
    <row r="5318" spans="1:19" x14ac:dyDescent="0.35">
      <c r="A5318">
        <v>17497</v>
      </c>
      <c r="B5318" t="str">
        <f>"017497"</f>
        <v>017497</v>
      </c>
      <c r="C5318" t="s">
        <v>14399</v>
      </c>
      <c r="D5318" t="s">
        <v>12052</v>
      </c>
      <c r="E5318" t="s">
        <v>12048</v>
      </c>
      <c r="F5318" t="s">
        <v>3396</v>
      </c>
      <c r="G5318" t="s">
        <v>663</v>
      </c>
      <c r="H5318" t="s">
        <v>14400</v>
      </c>
      <c r="I5318" t="s">
        <v>14401</v>
      </c>
      <c r="J5318" t="s">
        <v>666</v>
      </c>
      <c r="K5318" t="s">
        <v>55</v>
      </c>
      <c r="L5318" t="s">
        <v>1605</v>
      </c>
      <c r="M5318" t="s">
        <v>57</v>
      </c>
      <c r="N5318" t="str">
        <f>"017297"</f>
        <v>017297</v>
      </c>
      <c r="O5318" t="s">
        <v>12062</v>
      </c>
      <c r="P5318" t="s">
        <v>68</v>
      </c>
      <c r="Q5318">
        <v>100</v>
      </c>
      <c r="R5318">
        <v>34.099999999999994</v>
      </c>
      <c r="S5318" t="s">
        <v>77</v>
      </c>
    </row>
    <row r="5319" spans="1:19" x14ac:dyDescent="0.35">
      <c r="A5319">
        <v>17497</v>
      </c>
      <c r="B5319" t="str">
        <f>"017497"</f>
        <v>017497</v>
      </c>
      <c r="C5319" t="s">
        <v>14399</v>
      </c>
      <c r="D5319" t="s">
        <v>12063</v>
      </c>
      <c r="E5319" t="s">
        <v>12048</v>
      </c>
      <c r="F5319" t="s">
        <v>3396</v>
      </c>
      <c r="G5319" t="s">
        <v>663</v>
      </c>
      <c r="H5319" t="s">
        <v>14400</v>
      </c>
      <c r="I5319" t="s">
        <v>14401</v>
      </c>
      <c r="J5319" t="s">
        <v>666</v>
      </c>
      <c r="K5319" t="s">
        <v>55</v>
      </c>
      <c r="L5319" t="s">
        <v>1605</v>
      </c>
      <c r="M5319" t="s">
        <v>57</v>
      </c>
      <c r="N5319" t="str">
        <f>"017297"</f>
        <v>017297</v>
      </c>
      <c r="O5319" t="s">
        <v>12062</v>
      </c>
      <c r="P5319" t="s">
        <v>68</v>
      </c>
      <c r="Q5319">
        <v>100</v>
      </c>
      <c r="R5319">
        <v>34.099999999999994</v>
      </c>
      <c r="S5319" t="s">
        <v>77</v>
      </c>
    </row>
    <row r="5320" spans="1:19" x14ac:dyDescent="0.35">
      <c r="A5320">
        <v>17497</v>
      </c>
      <c r="B5320" t="str">
        <f>"017497"</f>
        <v>017497</v>
      </c>
      <c r="C5320" t="s">
        <v>14399</v>
      </c>
      <c r="D5320" t="s">
        <v>4572</v>
      </c>
      <c r="E5320" t="s">
        <v>12048</v>
      </c>
      <c r="F5320" t="s">
        <v>3396</v>
      </c>
      <c r="G5320" t="s">
        <v>663</v>
      </c>
      <c r="H5320" t="s">
        <v>14400</v>
      </c>
      <c r="I5320" t="s">
        <v>14401</v>
      </c>
      <c r="J5320" t="s">
        <v>666</v>
      </c>
      <c r="K5320" t="s">
        <v>55</v>
      </c>
      <c r="L5320" t="s">
        <v>1605</v>
      </c>
      <c r="M5320" t="s">
        <v>57</v>
      </c>
      <c r="N5320" t="str">
        <f>"017297"</f>
        <v>017297</v>
      </c>
      <c r="O5320" t="s">
        <v>12062</v>
      </c>
      <c r="P5320" t="s">
        <v>68</v>
      </c>
      <c r="Q5320">
        <v>100</v>
      </c>
      <c r="R5320">
        <v>34.099999999999994</v>
      </c>
      <c r="S5320" t="s">
        <v>77</v>
      </c>
    </row>
    <row r="5321" spans="1:19" x14ac:dyDescent="0.35">
      <c r="A5321">
        <v>17486</v>
      </c>
      <c r="B5321" t="str">
        <f>"017486"</f>
        <v>017486</v>
      </c>
      <c r="C5321" t="s">
        <v>14402</v>
      </c>
      <c r="D5321" t="s">
        <v>3394</v>
      </c>
      <c r="E5321" t="s">
        <v>3395</v>
      </c>
      <c r="F5321" t="s">
        <v>3396</v>
      </c>
      <c r="G5321" t="s">
        <v>135</v>
      </c>
      <c r="H5321" t="s">
        <v>2432</v>
      </c>
      <c r="I5321" t="s">
        <v>2433</v>
      </c>
      <c r="J5321" t="s">
        <v>2434</v>
      </c>
      <c r="K5321" t="s">
        <v>55</v>
      </c>
      <c r="L5321" t="s">
        <v>2435</v>
      </c>
      <c r="M5321" t="s">
        <v>57</v>
      </c>
      <c r="N5321" t="str">
        <f>"044917"</f>
        <v>044917</v>
      </c>
      <c r="O5321" t="s">
        <v>2431</v>
      </c>
      <c r="P5321" t="s">
        <v>68</v>
      </c>
      <c r="Q5321" t="s">
        <v>68</v>
      </c>
      <c r="R5321" t="s">
        <v>68</v>
      </c>
      <c r="S5321" t="s">
        <v>130</v>
      </c>
    </row>
    <row r="5322" spans="1:19" x14ac:dyDescent="0.35">
      <c r="A5322">
        <v>17494</v>
      </c>
      <c r="B5322" t="str">
        <f>"017494"</f>
        <v>017494</v>
      </c>
      <c r="C5322" t="s">
        <v>14403</v>
      </c>
      <c r="D5322" t="s">
        <v>3398</v>
      </c>
      <c r="E5322" t="s">
        <v>3395</v>
      </c>
      <c r="F5322" t="s">
        <v>3396</v>
      </c>
      <c r="G5322" t="s">
        <v>674</v>
      </c>
      <c r="H5322" t="s">
        <v>14404</v>
      </c>
      <c r="I5322" t="s">
        <v>14405</v>
      </c>
      <c r="J5322" t="s">
        <v>10750</v>
      </c>
      <c r="K5322" t="s">
        <v>55</v>
      </c>
      <c r="L5322" t="s">
        <v>10751</v>
      </c>
      <c r="M5322" t="s">
        <v>57</v>
      </c>
      <c r="N5322" t="str">
        <f>"048843"</f>
        <v>048843</v>
      </c>
      <c r="O5322" t="s">
        <v>1199</v>
      </c>
      <c r="P5322" t="s">
        <v>68</v>
      </c>
      <c r="Q5322">
        <v>83</v>
      </c>
      <c r="R5322">
        <v>8.5</v>
      </c>
      <c r="S5322" t="s">
        <v>130</v>
      </c>
    </row>
    <row r="5323" spans="1:19" x14ac:dyDescent="0.35">
      <c r="A5323">
        <v>17487</v>
      </c>
      <c r="B5323" t="str">
        <f>"017487"</f>
        <v>017487</v>
      </c>
      <c r="C5323" t="s">
        <v>14406</v>
      </c>
      <c r="D5323" t="s">
        <v>3398</v>
      </c>
      <c r="E5323" t="s">
        <v>9538</v>
      </c>
      <c r="F5323" t="s">
        <v>3396</v>
      </c>
      <c r="G5323" t="s">
        <v>600</v>
      </c>
      <c r="H5323" t="s">
        <v>14407</v>
      </c>
      <c r="I5323" t="s">
        <v>14408</v>
      </c>
      <c r="J5323" t="s">
        <v>2643</v>
      </c>
      <c r="K5323" t="s">
        <v>55</v>
      </c>
      <c r="L5323" t="s">
        <v>2644</v>
      </c>
      <c r="M5323" t="s">
        <v>57</v>
      </c>
      <c r="N5323" t="str">
        <f>"017487"</f>
        <v>017487</v>
      </c>
      <c r="O5323" t="s">
        <v>14409</v>
      </c>
      <c r="P5323" t="s">
        <v>68</v>
      </c>
      <c r="Q5323" t="s">
        <v>68</v>
      </c>
      <c r="R5323" t="s">
        <v>68</v>
      </c>
      <c r="S5323" t="s">
        <v>60</v>
      </c>
    </row>
    <row r="5324" spans="1:19" x14ac:dyDescent="0.35">
      <c r="A5324">
        <v>17487</v>
      </c>
      <c r="B5324" t="str">
        <f>"017487"</f>
        <v>017487</v>
      </c>
      <c r="C5324" t="s">
        <v>14406</v>
      </c>
      <c r="D5324" t="s">
        <v>9541</v>
      </c>
      <c r="E5324" t="s">
        <v>9538</v>
      </c>
      <c r="F5324" t="s">
        <v>3396</v>
      </c>
      <c r="G5324" t="s">
        <v>600</v>
      </c>
      <c r="H5324" t="s">
        <v>14407</v>
      </c>
      <c r="I5324" t="s">
        <v>14408</v>
      </c>
      <c r="J5324" t="s">
        <v>2643</v>
      </c>
      <c r="K5324" t="s">
        <v>55</v>
      </c>
      <c r="L5324" t="s">
        <v>2644</v>
      </c>
      <c r="M5324" t="s">
        <v>57</v>
      </c>
      <c r="N5324" t="str">
        <f>"017487"</f>
        <v>017487</v>
      </c>
      <c r="O5324" t="s">
        <v>14409</v>
      </c>
      <c r="P5324" t="s">
        <v>68</v>
      </c>
      <c r="Q5324" t="s">
        <v>68</v>
      </c>
      <c r="R5324" t="s">
        <v>68</v>
      </c>
      <c r="S5324" t="s">
        <v>60</v>
      </c>
    </row>
    <row r="5325" spans="1:19" x14ac:dyDescent="0.35">
      <c r="A5325">
        <v>17488</v>
      </c>
      <c r="B5325" t="str">
        <f>"017488"</f>
        <v>017488</v>
      </c>
      <c r="C5325" t="s">
        <v>14410</v>
      </c>
      <c r="D5325" t="s">
        <v>3398</v>
      </c>
      <c r="E5325" t="s">
        <v>9538</v>
      </c>
      <c r="F5325" t="s">
        <v>3396</v>
      </c>
      <c r="G5325" t="s">
        <v>110</v>
      </c>
      <c r="H5325" t="s">
        <v>14411</v>
      </c>
      <c r="I5325" t="s">
        <v>14412</v>
      </c>
      <c r="J5325" t="s">
        <v>113</v>
      </c>
      <c r="K5325" t="s">
        <v>55</v>
      </c>
      <c r="L5325" t="s">
        <v>114</v>
      </c>
      <c r="M5325" t="s">
        <v>57</v>
      </c>
      <c r="N5325" t="str">
        <f>"017488"</f>
        <v>017488</v>
      </c>
      <c r="O5325" t="s">
        <v>14413</v>
      </c>
      <c r="P5325" t="s">
        <v>68</v>
      </c>
      <c r="Q5325" t="s">
        <v>68</v>
      </c>
      <c r="R5325" t="s">
        <v>68</v>
      </c>
      <c r="S5325" t="s">
        <v>60</v>
      </c>
    </row>
    <row r="5326" spans="1:19" x14ac:dyDescent="0.35">
      <c r="A5326">
        <v>17488</v>
      </c>
      <c r="B5326" t="str">
        <f>"017488"</f>
        <v>017488</v>
      </c>
      <c r="C5326" t="s">
        <v>14410</v>
      </c>
      <c r="D5326" t="s">
        <v>9541</v>
      </c>
      <c r="E5326" t="s">
        <v>9538</v>
      </c>
      <c r="F5326" t="s">
        <v>3396</v>
      </c>
      <c r="G5326" t="s">
        <v>110</v>
      </c>
      <c r="H5326" t="s">
        <v>14411</v>
      </c>
      <c r="I5326" t="s">
        <v>14412</v>
      </c>
      <c r="J5326" t="s">
        <v>113</v>
      </c>
      <c r="K5326" t="s">
        <v>55</v>
      </c>
      <c r="L5326" t="s">
        <v>114</v>
      </c>
      <c r="M5326" t="s">
        <v>57</v>
      </c>
      <c r="N5326" t="str">
        <f>"017488"</f>
        <v>017488</v>
      </c>
      <c r="O5326" t="s">
        <v>14413</v>
      </c>
      <c r="P5326" t="s">
        <v>68</v>
      </c>
      <c r="Q5326" t="s">
        <v>68</v>
      </c>
      <c r="R5326" t="s">
        <v>68</v>
      </c>
      <c r="S5326" t="s">
        <v>60</v>
      </c>
    </row>
    <row r="5327" spans="1:19" x14ac:dyDescent="0.35">
      <c r="A5327">
        <v>17498</v>
      </c>
      <c r="B5327" t="str">
        <f>"017498"</f>
        <v>017498</v>
      </c>
      <c r="C5327" t="s">
        <v>14414</v>
      </c>
      <c r="D5327" t="s">
        <v>3394</v>
      </c>
      <c r="E5327" t="s">
        <v>12048</v>
      </c>
      <c r="F5327" t="s">
        <v>3396</v>
      </c>
      <c r="G5327" t="s">
        <v>200</v>
      </c>
      <c r="H5327" t="s">
        <v>14415</v>
      </c>
      <c r="I5327" t="s">
        <v>14416</v>
      </c>
      <c r="J5327" t="s">
        <v>304</v>
      </c>
      <c r="K5327" t="s">
        <v>55</v>
      </c>
      <c r="L5327" t="s">
        <v>3835</v>
      </c>
      <c r="M5327" t="s">
        <v>57</v>
      </c>
      <c r="N5327" t="str">
        <f>"N/A"</f>
        <v>N/A</v>
      </c>
      <c r="O5327" t="s">
        <v>49</v>
      </c>
      <c r="P5327" t="s">
        <v>68</v>
      </c>
      <c r="Q5327">
        <v>12.9</v>
      </c>
      <c r="R5327">
        <v>20.5</v>
      </c>
      <c r="S5327" t="s">
        <v>156</v>
      </c>
    </row>
    <row r="5328" spans="1:19" x14ac:dyDescent="0.35">
      <c r="A5328">
        <v>17498</v>
      </c>
      <c r="B5328" t="str">
        <f>"017498"</f>
        <v>017498</v>
      </c>
      <c r="C5328" t="s">
        <v>14414</v>
      </c>
      <c r="D5328" t="s">
        <v>12052</v>
      </c>
      <c r="E5328" t="s">
        <v>12048</v>
      </c>
      <c r="F5328" t="s">
        <v>3396</v>
      </c>
      <c r="G5328" t="s">
        <v>200</v>
      </c>
      <c r="H5328" t="s">
        <v>14415</v>
      </c>
      <c r="I5328" t="s">
        <v>14416</v>
      </c>
      <c r="J5328" t="s">
        <v>304</v>
      </c>
      <c r="K5328" t="s">
        <v>55</v>
      </c>
      <c r="L5328" t="s">
        <v>3835</v>
      </c>
      <c r="M5328" t="s">
        <v>57</v>
      </c>
      <c r="N5328" t="str">
        <f>"N/A"</f>
        <v>N/A</v>
      </c>
      <c r="O5328" t="s">
        <v>49</v>
      </c>
      <c r="P5328" t="s">
        <v>68</v>
      </c>
      <c r="Q5328">
        <v>12.9</v>
      </c>
      <c r="R5328">
        <v>20.5</v>
      </c>
      <c r="S5328" t="s">
        <v>156</v>
      </c>
    </row>
    <row r="5329" spans="1:19" x14ac:dyDescent="0.35">
      <c r="A5329">
        <v>17498</v>
      </c>
      <c r="B5329" t="str">
        <f>"017498"</f>
        <v>017498</v>
      </c>
      <c r="C5329" t="s">
        <v>14414</v>
      </c>
      <c r="D5329" t="s">
        <v>4572</v>
      </c>
      <c r="E5329" t="s">
        <v>12048</v>
      </c>
      <c r="F5329" t="s">
        <v>3396</v>
      </c>
      <c r="G5329" t="s">
        <v>200</v>
      </c>
      <c r="H5329" t="s">
        <v>14415</v>
      </c>
      <c r="I5329" t="s">
        <v>14416</v>
      </c>
      <c r="J5329" t="s">
        <v>304</v>
      </c>
      <c r="K5329" t="s">
        <v>55</v>
      </c>
      <c r="L5329" t="s">
        <v>3835</v>
      </c>
      <c r="M5329" t="s">
        <v>57</v>
      </c>
      <c r="N5329" t="str">
        <f>"N/A"</f>
        <v>N/A</v>
      </c>
      <c r="O5329" t="s">
        <v>49</v>
      </c>
      <c r="P5329" t="s">
        <v>68</v>
      </c>
      <c r="Q5329">
        <v>12.9</v>
      </c>
      <c r="R5329">
        <v>20.5</v>
      </c>
      <c r="S5329" t="s">
        <v>156</v>
      </c>
    </row>
    <row r="5330" spans="1:19" x14ac:dyDescent="0.35">
      <c r="A5330">
        <v>17520</v>
      </c>
      <c r="B5330" t="str">
        <f>"017520"</f>
        <v>017520</v>
      </c>
      <c r="C5330" t="s">
        <v>14417</v>
      </c>
      <c r="D5330" t="s">
        <v>3394</v>
      </c>
      <c r="E5330" t="s">
        <v>3395</v>
      </c>
      <c r="F5330" t="s">
        <v>3396</v>
      </c>
      <c r="G5330" t="s">
        <v>135</v>
      </c>
      <c r="H5330" t="s">
        <v>14418</v>
      </c>
      <c r="I5330" t="s">
        <v>14419</v>
      </c>
      <c r="J5330" t="s">
        <v>279</v>
      </c>
      <c r="K5330" t="s">
        <v>55</v>
      </c>
      <c r="L5330" t="s">
        <v>280</v>
      </c>
      <c r="M5330" t="s">
        <v>57</v>
      </c>
      <c r="N5330" t="str">
        <f>"044826"</f>
        <v>044826</v>
      </c>
      <c r="O5330" t="s">
        <v>276</v>
      </c>
      <c r="P5330" t="s">
        <v>68</v>
      </c>
      <c r="Q5330">
        <v>100</v>
      </c>
      <c r="R5330">
        <v>59.5</v>
      </c>
      <c r="S5330" t="s">
        <v>130</v>
      </c>
    </row>
    <row r="5331" spans="1:19" x14ac:dyDescent="0.35">
      <c r="A5331">
        <v>17535</v>
      </c>
      <c r="B5331" t="str">
        <f>"017535"</f>
        <v>017535</v>
      </c>
      <c r="C5331" t="s">
        <v>14420</v>
      </c>
      <c r="D5331" t="s">
        <v>3400</v>
      </c>
      <c r="E5331" t="s">
        <v>12048</v>
      </c>
      <c r="F5331" t="s">
        <v>3396</v>
      </c>
      <c r="G5331" t="s">
        <v>63</v>
      </c>
      <c r="H5331" t="s">
        <v>14421</v>
      </c>
      <c r="I5331" t="s">
        <v>14422</v>
      </c>
      <c r="J5331" t="s">
        <v>66</v>
      </c>
      <c r="K5331" t="s">
        <v>55</v>
      </c>
      <c r="L5331" t="s">
        <v>2232</v>
      </c>
      <c r="M5331" t="s">
        <v>57</v>
      </c>
      <c r="N5331" t="str">
        <f t="shared" ref="N5331:N5336" si="31">"017093"</f>
        <v>017093</v>
      </c>
      <c r="O5331" t="s">
        <v>13664</v>
      </c>
      <c r="P5331" t="s">
        <v>68</v>
      </c>
      <c r="Q5331">
        <v>99.4</v>
      </c>
      <c r="R5331">
        <v>44.3</v>
      </c>
      <c r="S5331" t="s">
        <v>69</v>
      </c>
    </row>
    <row r="5332" spans="1:19" x14ac:dyDescent="0.35">
      <c r="A5332">
        <v>17535</v>
      </c>
      <c r="B5332" t="str">
        <f>"017535"</f>
        <v>017535</v>
      </c>
      <c r="C5332" t="s">
        <v>14420</v>
      </c>
      <c r="D5332" t="s">
        <v>12052</v>
      </c>
      <c r="E5332" t="s">
        <v>12048</v>
      </c>
      <c r="F5332" t="s">
        <v>3396</v>
      </c>
      <c r="G5332" t="s">
        <v>63</v>
      </c>
      <c r="H5332" t="s">
        <v>14421</v>
      </c>
      <c r="I5332" t="s">
        <v>14422</v>
      </c>
      <c r="J5332" t="s">
        <v>66</v>
      </c>
      <c r="K5332" t="s">
        <v>55</v>
      </c>
      <c r="L5332" t="s">
        <v>2232</v>
      </c>
      <c r="M5332" t="s">
        <v>57</v>
      </c>
      <c r="N5332" t="str">
        <f t="shared" si="31"/>
        <v>017093</v>
      </c>
      <c r="O5332" t="s">
        <v>13664</v>
      </c>
      <c r="P5332" t="s">
        <v>68</v>
      </c>
      <c r="Q5332">
        <v>99.4</v>
      </c>
      <c r="R5332">
        <v>44.3</v>
      </c>
      <c r="S5332" t="s">
        <v>69</v>
      </c>
    </row>
    <row r="5333" spans="1:19" x14ac:dyDescent="0.35">
      <c r="A5333">
        <v>17535</v>
      </c>
      <c r="B5333" t="str">
        <f>"017535"</f>
        <v>017535</v>
      </c>
      <c r="C5333" t="s">
        <v>14420</v>
      </c>
      <c r="D5333" t="s">
        <v>4572</v>
      </c>
      <c r="E5333" t="s">
        <v>12048</v>
      </c>
      <c r="F5333" t="s">
        <v>3396</v>
      </c>
      <c r="G5333" t="s">
        <v>63</v>
      </c>
      <c r="H5333" t="s">
        <v>14421</v>
      </c>
      <c r="I5333" t="s">
        <v>14422</v>
      </c>
      <c r="J5333" t="s">
        <v>66</v>
      </c>
      <c r="K5333" t="s">
        <v>55</v>
      </c>
      <c r="L5333" t="s">
        <v>2232</v>
      </c>
      <c r="M5333" t="s">
        <v>57</v>
      </c>
      <c r="N5333" t="str">
        <f t="shared" si="31"/>
        <v>017093</v>
      </c>
      <c r="O5333" t="s">
        <v>13664</v>
      </c>
      <c r="P5333" t="s">
        <v>68</v>
      </c>
      <c r="Q5333">
        <v>99.4</v>
      </c>
      <c r="R5333">
        <v>44.3</v>
      </c>
      <c r="S5333" t="s">
        <v>69</v>
      </c>
    </row>
    <row r="5334" spans="1:19" x14ac:dyDescent="0.35">
      <c r="A5334">
        <v>17536</v>
      </c>
      <c r="B5334" t="str">
        <f>"017536"</f>
        <v>017536</v>
      </c>
      <c r="C5334" t="s">
        <v>14423</v>
      </c>
      <c r="D5334" t="s">
        <v>3394</v>
      </c>
      <c r="E5334" t="s">
        <v>12048</v>
      </c>
      <c r="F5334" t="s">
        <v>3396</v>
      </c>
      <c r="G5334" t="s">
        <v>200</v>
      </c>
      <c r="H5334" t="s">
        <v>14424</v>
      </c>
      <c r="I5334" t="s">
        <v>14425</v>
      </c>
      <c r="J5334" t="s">
        <v>304</v>
      </c>
      <c r="K5334" t="s">
        <v>55</v>
      </c>
      <c r="L5334" t="s">
        <v>3858</v>
      </c>
      <c r="M5334" t="s">
        <v>57</v>
      </c>
      <c r="N5334" t="str">
        <f t="shared" si="31"/>
        <v>017093</v>
      </c>
      <c r="O5334" t="s">
        <v>13664</v>
      </c>
      <c r="P5334" t="s">
        <v>68</v>
      </c>
      <c r="Q5334">
        <v>99.4</v>
      </c>
      <c r="R5334">
        <v>86.2</v>
      </c>
      <c r="S5334" t="s">
        <v>156</v>
      </c>
    </row>
    <row r="5335" spans="1:19" x14ac:dyDescent="0.35">
      <c r="A5335">
        <v>17536</v>
      </c>
      <c r="B5335" t="str">
        <f>"017536"</f>
        <v>017536</v>
      </c>
      <c r="C5335" t="s">
        <v>14423</v>
      </c>
      <c r="D5335" t="s">
        <v>12052</v>
      </c>
      <c r="E5335" t="s">
        <v>12048</v>
      </c>
      <c r="F5335" t="s">
        <v>3396</v>
      </c>
      <c r="G5335" t="s">
        <v>200</v>
      </c>
      <c r="H5335" t="s">
        <v>14424</v>
      </c>
      <c r="I5335" t="s">
        <v>14425</v>
      </c>
      <c r="J5335" t="s">
        <v>304</v>
      </c>
      <c r="K5335" t="s">
        <v>55</v>
      </c>
      <c r="L5335" t="s">
        <v>3858</v>
      </c>
      <c r="M5335" t="s">
        <v>57</v>
      </c>
      <c r="N5335" t="str">
        <f t="shared" si="31"/>
        <v>017093</v>
      </c>
      <c r="O5335" t="s">
        <v>13664</v>
      </c>
      <c r="P5335" t="s">
        <v>68</v>
      </c>
      <c r="Q5335">
        <v>99.4</v>
      </c>
      <c r="R5335">
        <v>86.2</v>
      </c>
      <c r="S5335" t="s">
        <v>156</v>
      </c>
    </row>
    <row r="5336" spans="1:19" x14ac:dyDescent="0.35">
      <c r="A5336">
        <v>17536</v>
      </c>
      <c r="B5336" t="str">
        <f>"017536"</f>
        <v>017536</v>
      </c>
      <c r="C5336" t="s">
        <v>14423</v>
      </c>
      <c r="D5336" t="s">
        <v>4572</v>
      </c>
      <c r="E5336" t="s">
        <v>12048</v>
      </c>
      <c r="F5336" t="s">
        <v>3396</v>
      </c>
      <c r="G5336" t="s">
        <v>200</v>
      </c>
      <c r="H5336" t="s">
        <v>14424</v>
      </c>
      <c r="I5336" t="s">
        <v>14425</v>
      </c>
      <c r="J5336" t="s">
        <v>304</v>
      </c>
      <c r="K5336" t="s">
        <v>55</v>
      </c>
      <c r="L5336" t="s">
        <v>3858</v>
      </c>
      <c r="M5336" t="s">
        <v>57</v>
      </c>
      <c r="N5336" t="str">
        <f t="shared" si="31"/>
        <v>017093</v>
      </c>
      <c r="O5336" t="s">
        <v>13664</v>
      </c>
      <c r="P5336" t="s">
        <v>68</v>
      </c>
      <c r="Q5336">
        <v>99.4</v>
      </c>
      <c r="R5336">
        <v>86.2</v>
      </c>
      <c r="S5336" t="s">
        <v>156</v>
      </c>
    </row>
    <row r="5337" spans="1:19" x14ac:dyDescent="0.35">
      <c r="A5337">
        <v>17537</v>
      </c>
      <c r="B5337" t="str">
        <f>"017537"</f>
        <v>017537</v>
      </c>
      <c r="C5337" t="s">
        <v>14426</v>
      </c>
      <c r="D5337" t="s">
        <v>3394</v>
      </c>
      <c r="E5337" t="s">
        <v>12048</v>
      </c>
      <c r="F5337" t="s">
        <v>3396</v>
      </c>
      <c r="G5337" t="s">
        <v>600</v>
      </c>
      <c r="H5337" t="s">
        <v>14427</v>
      </c>
      <c r="I5337" t="s">
        <v>14428</v>
      </c>
      <c r="J5337" t="s">
        <v>1348</v>
      </c>
      <c r="K5337" t="s">
        <v>55</v>
      </c>
      <c r="L5337" t="s">
        <v>4906</v>
      </c>
      <c r="M5337" t="s">
        <v>57</v>
      </c>
      <c r="N5337" t="str">
        <f>"017100"</f>
        <v>017100</v>
      </c>
      <c r="O5337" t="s">
        <v>13912</v>
      </c>
      <c r="P5337" t="s">
        <v>68</v>
      </c>
      <c r="Q5337">
        <v>99.3</v>
      </c>
      <c r="R5337">
        <v>100</v>
      </c>
      <c r="S5337" t="s">
        <v>60</v>
      </c>
    </row>
    <row r="5338" spans="1:19" x14ac:dyDescent="0.35">
      <c r="A5338">
        <v>17537</v>
      </c>
      <c r="B5338" t="str">
        <f>"017537"</f>
        <v>017537</v>
      </c>
      <c r="C5338" t="s">
        <v>14426</v>
      </c>
      <c r="D5338" t="s">
        <v>12052</v>
      </c>
      <c r="E5338" t="s">
        <v>12048</v>
      </c>
      <c r="F5338" t="s">
        <v>3396</v>
      </c>
      <c r="G5338" t="s">
        <v>600</v>
      </c>
      <c r="H5338" t="s">
        <v>14427</v>
      </c>
      <c r="I5338" t="s">
        <v>14428</v>
      </c>
      <c r="J5338" t="s">
        <v>1348</v>
      </c>
      <c r="K5338" t="s">
        <v>55</v>
      </c>
      <c r="L5338" t="s">
        <v>4906</v>
      </c>
      <c r="M5338" t="s">
        <v>57</v>
      </c>
      <c r="N5338" t="str">
        <f>"017100"</f>
        <v>017100</v>
      </c>
      <c r="O5338" t="s">
        <v>13912</v>
      </c>
      <c r="P5338" t="s">
        <v>68</v>
      </c>
      <c r="Q5338">
        <v>99.3</v>
      </c>
      <c r="R5338">
        <v>100</v>
      </c>
      <c r="S5338" t="s">
        <v>60</v>
      </c>
    </row>
    <row r="5339" spans="1:19" x14ac:dyDescent="0.35">
      <c r="A5339">
        <v>17537</v>
      </c>
      <c r="B5339" t="str">
        <f>"017537"</f>
        <v>017537</v>
      </c>
      <c r="C5339" t="s">
        <v>14426</v>
      </c>
      <c r="D5339" t="s">
        <v>4572</v>
      </c>
      <c r="E5339" t="s">
        <v>12048</v>
      </c>
      <c r="F5339" t="s">
        <v>3396</v>
      </c>
      <c r="G5339" t="s">
        <v>600</v>
      </c>
      <c r="H5339" t="s">
        <v>14427</v>
      </c>
      <c r="I5339" t="s">
        <v>14428</v>
      </c>
      <c r="J5339" t="s">
        <v>1348</v>
      </c>
      <c r="K5339" t="s">
        <v>55</v>
      </c>
      <c r="L5339" t="s">
        <v>4906</v>
      </c>
      <c r="M5339" t="s">
        <v>57</v>
      </c>
      <c r="N5339" t="str">
        <f>"017100"</f>
        <v>017100</v>
      </c>
      <c r="O5339" t="s">
        <v>13912</v>
      </c>
      <c r="P5339" t="s">
        <v>68</v>
      </c>
      <c r="Q5339">
        <v>99.3</v>
      </c>
      <c r="R5339">
        <v>100</v>
      </c>
      <c r="S5339" t="s">
        <v>60</v>
      </c>
    </row>
    <row r="5340" spans="1:19" x14ac:dyDescent="0.35">
      <c r="A5340">
        <v>17538</v>
      </c>
      <c r="B5340" t="str">
        <f>"017538"</f>
        <v>017538</v>
      </c>
      <c r="C5340" t="s">
        <v>14429</v>
      </c>
      <c r="D5340" t="s">
        <v>3394</v>
      </c>
      <c r="E5340" t="s">
        <v>12048</v>
      </c>
      <c r="F5340" t="s">
        <v>3396</v>
      </c>
      <c r="G5340" t="s">
        <v>600</v>
      </c>
      <c r="H5340" t="s">
        <v>14430</v>
      </c>
      <c r="I5340" t="s">
        <v>14431</v>
      </c>
      <c r="J5340" t="s">
        <v>1348</v>
      </c>
      <c r="K5340" t="s">
        <v>55</v>
      </c>
      <c r="L5340" t="s">
        <v>4840</v>
      </c>
      <c r="M5340" t="s">
        <v>57</v>
      </c>
      <c r="N5340" t="str">
        <f>"015427"</f>
        <v>015427</v>
      </c>
      <c r="O5340" t="s">
        <v>12157</v>
      </c>
      <c r="P5340" t="s">
        <v>68</v>
      </c>
      <c r="Q5340">
        <v>99.4</v>
      </c>
      <c r="R5340">
        <v>100</v>
      </c>
      <c r="S5340" t="s">
        <v>60</v>
      </c>
    </row>
    <row r="5341" spans="1:19" x14ac:dyDescent="0.35">
      <c r="A5341">
        <v>17538</v>
      </c>
      <c r="B5341" t="str">
        <f>"017538"</f>
        <v>017538</v>
      </c>
      <c r="C5341" t="s">
        <v>14429</v>
      </c>
      <c r="D5341" t="s">
        <v>12052</v>
      </c>
      <c r="E5341" t="s">
        <v>12048</v>
      </c>
      <c r="F5341" t="s">
        <v>3396</v>
      </c>
      <c r="G5341" t="s">
        <v>600</v>
      </c>
      <c r="H5341" t="s">
        <v>14430</v>
      </c>
      <c r="I5341" t="s">
        <v>14431</v>
      </c>
      <c r="J5341" t="s">
        <v>1348</v>
      </c>
      <c r="K5341" t="s">
        <v>55</v>
      </c>
      <c r="L5341" t="s">
        <v>4840</v>
      </c>
      <c r="M5341" t="s">
        <v>57</v>
      </c>
      <c r="N5341" t="str">
        <f>"015427"</f>
        <v>015427</v>
      </c>
      <c r="O5341" t="s">
        <v>12157</v>
      </c>
      <c r="P5341" t="s">
        <v>68</v>
      </c>
      <c r="Q5341">
        <v>99.4</v>
      </c>
      <c r="R5341">
        <v>100</v>
      </c>
      <c r="S5341" t="s">
        <v>60</v>
      </c>
    </row>
    <row r="5342" spans="1:19" x14ac:dyDescent="0.35">
      <c r="A5342">
        <v>17538</v>
      </c>
      <c r="B5342" t="str">
        <f>"017538"</f>
        <v>017538</v>
      </c>
      <c r="C5342" t="s">
        <v>14429</v>
      </c>
      <c r="D5342" t="s">
        <v>4572</v>
      </c>
      <c r="E5342" t="s">
        <v>12048</v>
      </c>
      <c r="F5342" t="s">
        <v>3396</v>
      </c>
      <c r="G5342" t="s">
        <v>600</v>
      </c>
      <c r="H5342" t="s">
        <v>14430</v>
      </c>
      <c r="I5342" t="s">
        <v>14431</v>
      </c>
      <c r="J5342" t="s">
        <v>1348</v>
      </c>
      <c r="K5342" t="s">
        <v>55</v>
      </c>
      <c r="L5342" t="s">
        <v>4840</v>
      </c>
      <c r="M5342" t="s">
        <v>57</v>
      </c>
      <c r="N5342" t="str">
        <f>"015427"</f>
        <v>015427</v>
      </c>
      <c r="O5342" t="s">
        <v>12157</v>
      </c>
      <c r="P5342" t="s">
        <v>68</v>
      </c>
      <c r="Q5342">
        <v>99.4</v>
      </c>
      <c r="R5342">
        <v>100</v>
      </c>
      <c r="S5342" t="s">
        <v>60</v>
      </c>
    </row>
    <row r="5343" spans="1:19" x14ac:dyDescent="0.35">
      <c r="A5343">
        <v>17585</v>
      </c>
      <c r="B5343" t="str">
        <f>"017585"</f>
        <v>017585</v>
      </c>
      <c r="C5343" t="s">
        <v>14432</v>
      </c>
      <c r="D5343" t="s">
        <v>3400</v>
      </c>
      <c r="E5343" t="s">
        <v>12048</v>
      </c>
      <c r="F5343" t="s">
        <v>3396</v>
      </c>
      <c r="G5343" t="s">
        <v>312</v>
      </c>
      <c r="H5343" t="s">
        <v>14433</v>
      </c>
      <c r="I5343" t="s">
        <v>14434</v>
      </c>
      <c r="J5343" t="s">
        <v>312</v>
      </c>
      <c r="K5343" t="s">
        <v>55</v>
      </c>
      <c r="L5343" t="s">
        <v>315</v>
      </c>
      <c r="M5343" t="s">
        <v>57</v>
      </c>
      <c r="N5343" t="str">
        <f>"015427"</f>
        <v>015427</v>
      </c>
      <c r="O5343" t="s">
        <v>12157</v>
      </c>
      <c r="P5343" t="s">
        <v>68</v>
      </c>
      <c r="Q5343">
        <v>99.2</v>
      </c>
      <c r="R5343">
        <v>24.700000000000003</v>
      </c>
      <c r="S5343" t="s">
        <v>156</v>
      </c>
    </row>
    <row r="5344" spans="1:19" x14ac:dyDescent="0.35">
      <c r="A5344">
        <v>17585</v>
      </c>
      <c r="B5344" t="str">
        <f>"017585"</f>
        <v>017585</v>
      </c>
      <c r="C5344" t="s">
        <v>14432</v>
      </c>
      <c r="D5344" t="s">
        <v>12471</v>
      </c>
      <c r="E5344" t="s">
        <v>12048</v>
      </c>
      <c r="F5344" t="s">
        <v>3396</v>
      </c>
      <c r="G5344" t="s">
        <v>312</v>
      </c>
      <c r="H5344" t="s">
        <v>14433</v>
      </c>
      <c r="I5344" t="s">
        <v>14434</v>
      </c>
      <c r="J5344" t="s">
        <v>312</v>
      </c>
      <c r="K5344" t="s">
        <v>55</v>
      </c>
      <c r="L5344" t="s">
        <v>315</v>
      </c>
      <c r="M5344" t="s">
        <v>57</v>
      </c>
      <c r="N5344" t="str">
        <f>"015427"</f>
        <v>015427</v>
      </c>
      <c r="O5344" t="s">
        <v>12157</v>
      </c>
      <c r="P5344" t="s">
        <v>68</v>
      </c>
      <c r="Q5344">
        <v>99.2</v>
      </c>
      <c r="R5344">
        <v>24.700000000000003</v>
      </c>
      <c r="S5344" t="s">
        <v>156</v>
      </c>
    </row>
    <row r="5345" spans="1:19" x14ac:dyDescent="0.35">
      <c r="A5345">
        <v>17599</v>
      </c>
      <c r="B5345" t="str">
        <f>"017599"</f>
        <v>017599</v>
      </c>
      <c r="C5345" t="s">
        <v>14435</v>
      </c>
      <c r="D5345" t="s">
        <v>3398</v>
      </c>
      <c r="E5345" t="s">
        <v>12048</v>
      </c>
      <c r="F5345" t="s">
        <v>3396</v>
      </c>
      <c r="G5345" t="s">
        <v>212</v>
      </c>
      <c r="H5345" t="s">
        <v>14436</v>
      </c>
      <c r="I5345" t="s">
        <v>14437</v>
      </c>
      <c r="J5345" t="s">
        <v>215</v>
      </c>
      <c r="K5345" t="s">
        <v>55</v>
      </c>
      <c r="L5345" t="s">
        <v>4767</v>
      </c>
      <c r="M5345" t="s">
        <v>57</v>
      </c>
      <c r="N5345" t="str">
        <f>"019070"</f>
        <v>019070</v>
      </c>
      <c r="O5345" t="s">
        <v>12133</v>
      </c>
      <c r="P5345" t="s">
        <v>68</v>
      </c>
      <c r="Q5345">
        <v>100</v>
      </c>
      <c r="R5345">
        <v>100</v>
      </c>
      <c r="S5345" t="s">
        <v>217</v>
      </c>
    </row>
    <row r="5346" spans="1:19" x14ac:dyDescent="0.35">
      <c r="A5346">
        <v>17599</v>
      </c>
      <c r="B5346" t="str">
        <f>"017599"</f>
        <v>017599</v>
      </c>
      <c r="C5346" t="s">
        <v>14435</v>
      </c>
      <c r="D5346" t="s">
        <v>12052</v>
      </c>
      <c r="E5346" t="s">
        <v>12048</v>
      </c>
      <c r="F5346" t="s">
        <v>3396</v>
      </c>
      <c r="G5346" t="s">
        <v>212</v>
      </c>
      <c r="H5346" t="s">
        <v>14436</v>
      </c>
      <c r="I5346" t="s">
        <v>14437</v>
      </c>
      <c r="J5346" t="s">
        <v>215</v>
      </c>
      <c r="K5346" t="s">
        <v>55</v>
      </c>
      <c r="L5346" t="s">
        <v>4767</v>
      </c>
      <c r="M5346" t="s">
        <v>57</v>
      </c>
      <c r="N5346" t="str">
        <f>"019070"</f>
        <v>019070</v>
      </c>
      <c r="O5346" t="s">
        <v>12133</v>
      </c>
      <c r="P5346" t="s">
        <v>68</v>
      </c>
      <c r="Q5346">
        <v>100</v>
      </c>
      <c r="R5346">
        <v>100</v>
      </c>
      <c r="S5346" t="s">
        <v>217</v>
      </c>
    </row>
    <row r="5347" spans="1:19" x14ac:dyDescent="0.35">
      <c r="A5347">
        <v>17599</v>
      </c>
      <c r="B5347" t="str">
        <f>"017599"</f>
        <v>017599</v>
      </c>
      <c r="C5347" t="s">
        <v>14435</v>
      </c>
      <c r="D5347" t="s">
        <v>12063</v>
      </c>
      <c r="E5347" t="s">
        <v>12048</v>
      </c>
      <c r="F5347" t="s">
        <v>3396</v>
      </c>
      <c r="G5347" t="s">
        <v>212</v>
      </c>
      <c r="H5347" t="s">
        <v>14436</v>
      </c>
      <c r="I5347" t="s">
        <v>14437</v>
      </c>
      <c r="J5347" t="s">
        <v>215</v>
      </c>
      <c r="K5347" t="s">
        <v>55</v>
      </c>
      <c r="L5347" t="s">
        <v>4767</v>
      </c>
      <c r="M5347" t="s">
        <v>57</v>
      </c>
      <c r="N5347" t="str">
        <f>"019070"</f>
        <v>019070</v>
      </c>
      <c r="O5347" t="s">
        <v>12133</v>
      </c>
      <c r="P5347" t="s">
        <v>68</v>
      </c>
      <c r="Q5347">
        <v>100</v>
      </c>
      <c r="R5347">
        <v>100</v>
      </c>
      <c r="S5347" t="s">
        <v>217</v>
      </c>
    </row>
    <row r="5348" spans="1:19" x14ac:dyDescent="0.35">
      <c r="A5348">
        <v>17592</v>
      </c>
      <c r="B5348" t="str">
        <f>"017592"</f>
        <v>017592</v>
      </c>
      <c r="C5348" t="s">
        <v>14438</v>
      </c>
      <c r="D5348" t="s">
        <v>3394</v>
      </c>
      <c r="E5348" t="s">
        <v>3395</v>
      </c>
      <c r="F5348" t="s">
        <v>3396</v>
      </c>
      <c r="G5348" t="s">
        <v>212</v>
      </c>
      <c r="H5348" t="s">
        <v>14439</v>
      </c>
      <c r="I5348" t="s">
        <v>14440</v>
      </c>
      <c r="J5348" t="s">
        <v>215</v>
      </c>
      <c r="K5348" t="s">
        <v>55</v>
      </c>
      <c r="L5348" t="s">
        <v>216</v>
      </c>
      <c r="M5348" t="s">
        <v>57</v>
      </c>
      <c r="N5348" t="str">
        <f>"044289"</f>
        <v>044289</v>
      </c>
      <c r="O5348" t="s">
        <v>2441</v>
      </c>
      <c r="P5348" t="s">
        <v>68</v>
      </c>
      <c r="Q5348" t="s">
        <v>68</v>
      </c>
      <c r="R5348" t="s">
        <v>68</v>
      </c>
      <c r="S5348" t="s">
        <v>217</v>
      </c>
    </row>
    <row r="5349" spans="1:19" x14ac:dyDescent="0.35">
      <c r="A5349">
        <v>17643</v>
      </c>
      <c r="B5349" t="str">
        <f>"017643"</f>
        <v>017643</v>
      </c>
      <c r="C5349" t="s">
        <v>14441</v>
      </c>
      <c r="D5349" t="s">
        <v>3398</v>
      </c>
      <c r="E5349" t="s">
        <v>12048</v>
      </c>
      <c r="F5349" t="s">
        <v>3396</v>
      </c>
      <c r="G5349" t="s">
        <v>200</v>
      </c>
      <c r="H5349" t="s">
        <v>14442</v>
      </c>
      <c r="I5349" t="s">
        <v>14443</v>
      </c>
      <c r="J5349" t="s">
        <v>3036</v>
      </c>
      <c r="K5349" t="s">
        <v>55</v>
      </c>
      <c r="L5349" t="s">
        <v>3037</v>
      </c>
      <c r="M5349" t="s">
        <v>57</v>
      </c>
      <c r="N5349" t="str">
        <f>"014982"</f>
        <v>014982</v>
      </c>
      <c r="O5349" t="s">
        <v>12475</v>
      </c>
      <c r="P5349" t="s">
        <v>68</v>
      </c>
      <c r="Q5349">
        <v>43.2</v>
      </c>
      <c r="R5349">
        <v>29.799999999999997</v>
      </c>
      <c r="S5349" t="s">
        <v>156</v>
      </c>
    </row>
    <row r="5350" spans="1:19" x14ac:dyDescent="0.35">
      <c r="A5350">
        <v>17643</v>
      </c>
      <c r="B5350" t="str">
        <f>"017643"</f>
        <v>017643</v>
      </c>
      <c r="C5350" t="s">
        <v>14441</v>
      </c>
      <c r="D5350" t="s">
        <v>12052</v>
      </c>
      <c r="E5350" t="s">
        <v>12048</v>
      </c>
      <c r="F5350" t="s">
        <v>3396</v>
      </c>
      <c r="G5350" t="s">
        <v>200</v>
      </c>
      <c r="H5350" t="s">
        <v>14442</v>
      </c>
      <c r="I5350" t="s">
        <v>14443</v>
      </c>
      <c r="J5350" t="s">
        <v>3036</v>
      </c>
      <c r="K5350" t="s">
        <v>55</v>
      </c>
      <c r="L5350" t="s">
        <v>3037</v>
      </c>
      <c r="M5350" t="s">
        <v>57</v>
      </c>
      <c r="N5350" t="str">
        <f>"014982"</f>
        <v>014982</v>
      </c>
      <c r="O5350" t="s">
        <v>12475</v>
      </c>
      <c r="P5350" t="s">
        <v>68</v>
      </c>
      <c r="Q5350">
        <v>43.2</v>
      </c>
      <c r="R5350">
        <v>29.799999999999997</v>
      </c>
      <c r="S5350" t="s">
        <v>156</v>
      </c>
    </row>
    <row r="5351" spans="1:19" x14ac:dyDescent="0.35">
      <c r="A5351">
        <v>17643</v>
      </c>
      <c r="B5351" t="str">
        <f>"017643"</f>
        <v>017643</v>
      </c>
      <c r="C5351" t="s">
        <v>14441</v>
      </c>
      <c r="D5351" t="s">
        <v>12476</v>
      </c>
      <c r="E5351" t="s">
        <v>12048</v>
      </c>
      <c r="F5351" t="s">
        <v>3396</v>
      </c>
      <c r="G5351" t="s">
        <v>200</v>
      </c>
      <c r="H5351" t="s">
        <v>14442</v>
      </c>
      <c r="I5351" t="s">
        <v>14443</v>
      </c>
      <c r="J5351" t="s">
        <v>3036</v>
      </c>
      <c r="K5351" t="s">
        <v>55</v>
      </c>
      <c r="L5351" t="s">
        <v>3037</v>
      </c>
      <c r="M5351" t="s">
        <v>57</v>
      </c>
      <c r="N5351" t="str">
        <f>"014982"</f>
        <v>014982</v>
      </c>
      <c r="O5351" t="s">
        <v>12475</v>
      </c>
      <c r="P5351" t="s">
        <v>68</v>
      </c>
      <c r="Q5351">
        <v>43.2</v>
      </c>
      <c r="R5351">
        <v>29.799999999999997</v>
      </c>
      <c r="S5351" t="s">
        <v>156</v>
      </c>
    </row>
    <row r="5352" spans="1:19" x14ac:dyDescent="0.35">
      <c r="A5352">
        <v>17643</v>
      </c>
      <c r="B5352" t="str">
        <f>"017643"</f>
        <v>017643</v>
      </c>
      <c r="C5352" t="s">
        <v>14441</v>
      </c>
      <c r="D5352" t="s">
        <v>12063</v>
      </c>
      <c r="E5352" t="s">
        <v>12048</v>
      </c>
      <c r="F5352" t="s">
        <v>3396</v>
      </c>
      <c r="G5352" t="s">
        <v>200</v>
      </c>
      <c r="H5352" t="s">
        <v>14442</v>
      </c>
      <c r="I5352" t="s">
        <v>14443</v>
      </c>
      <c r="J5352" t="s">
        <v>3036</v>
      </c>
      <c r="K5352" t="s">
        <v>55</v>
      </c>
      <c r="L5352" t="s">
        <v>3037</v>
      </c>
      <c r="M5352" t="s">
        <v>57</v>
      </c>
      <c r="N5352" t="str">
        <f>"014982"</f>
        <v>014982</v>
      </c>
      <c r="O5352" t="s">
        <v>12475</v>
      </c>
      <c r="P5352" t="s">
        <v>68</v>
      </c>
      <c r="Q5352">
        <v>43.2</v>
      </c>
      <c r="R5352">
        <v>29.799999999999997</v>
      </c>
      <c r="S5352" t="s">
        <v>156</v>
      </c>
    </row>
    <row r="5353" spans="1:19" x14ac:dyDescent="0.35">
      <c r="A5353">
        <v>17610</v>
      </c>
      <c r="B5353" t="str">
        <f>"017610"</f>
        <v>017610</v>
      </c>
      <c r="C5353" t="s">
        <v>14444</v>
      </c>
      <c r="D5353" t="s">
        <v>3394</v>
      </c>
      <c r="E5353" t="s">
        <v>3395</v>
      </c>
      <c r="F5353" t="s">
        <v>3396</v>
      </c>
      <c r="G5353" t="s">
        <v>52</v>
      </c>
      <c r="H5353" t="s">
        <v>837</v>
      </c>
      <c r="I5353" t="s">
        <v>838</v>
      </c>
      <c r="J5353" t="s">
        <v>52</v>
      </c>
      <c r="K5353" t="s">
        <v>55</v>
      </c>
      <c r="L5353" t="s">
        <v>56</v>
      </c>
      <c r="M5353" t="s">
        <v>57</v>
      </c>
      <c r="N5353" t="str">
        <f>"046763"</f>
        <v>046763</v>
      </c>
      <c r="O5353" t="s">
        <v>2667</v>
      </c>
      <c r="P5353" t="s">
        <v>68</v>
      </c>
      <c r="Q5353" t="s">
        <v>68</v>
      </c>
      <c r="R5353" t="s">
        <v>68</v>
      </c>
      <c r="S5353" t="s">
        <v>60</v>
      </c>
    </row>
    <row r="5354" spans="1:19" x14ac:dyDescent="0.35">
      <c r="A5354">
        <v>17615</v>
      </c>
      <c r="B5354" t="str">
        <f>"017615"</f>
        <v>017615</v>
      </c>
      <c r="C5354" t="s">
        <v>14445</v>
      </c>
      <c r="D5354" t="s">
        <v>3394</v>
      </c>
      <c r="E5354" t="s">
        <v>3395</v>
      </c>
      <c r="F5354" t="s">
        <v>3396</v>
      </c>
      <c r="G5354" t="s">
        <v>200</v>
      </c>
      <c r="H5354" t="s">
        <v>14446</v>
      </c>
      <c r="I5354" t="s">
        <v>14447</v>
      </c>
      <c r="J5354" t="s">
        <v>304</v>
      </c>
      <c r="K5354" t="s">
        <v>55</v>
      </c>
      <c r="L5354" t="s">
        <v>3552</v>
      </c>
      <c r="M5354" t="s">
        <v>57</v>
      </c>
      <c r="N5354" t="str">
        <f>"044909"</f>
        <v>044909</v>
      </c>
      <c r="O5354" t="s">
        <v>3318</v>
      </c>
      <c r="P5354" t="s">
        <v>68</v>
      </c>
      <c r="Q5354">
        <v>89.3</v>
      </c>
      <c r="R5354">
        <v>89.3</v>
      </c>
      <c r="S5354" t="s">
        <v>156</v>
      </c>
    </row>
    <row r="5355" spans="1:19" x14ac:dyDescent="0.35">
      <c r="A5355">
        <v>17611</v>
      </c>
      <c r="B5355" t="str">
        <f>"017611"</f>
        <v>017611</v>
      </c>
      <c r="C5355" t="s">
        <v>14448</v>
      </c>
      <c r="D5355" t="s">
        <v>3398</v>
      </c>
      <c r="E5355" t="s">
        <v>9538</v>
      </c>
      <c r="F5355" t="s">
        <v>3396</v>
      </c>
      <c r="G5355" t="s">
        <v>63</v>
      </c>
      <c r="H5355" t="s">
        <v>14449</v>
      </c>
      <c r="I5355" t="s">
        <v>14450</v>
      </c>
      <c r="J5355" t="s">
        <v>3960</v>
      </c>
      <c r="K5355" t="s">
        <v>55</v>
      </c>
      <c r="L5355" t="s">
        <v>3961</v>
      </c>
      <c r="M5355" t="s">
        <v>57</v>
      </c>
      <c r="N5355" t="str">
        <f>"017611"</f>
        <v>017611</v>
      </c>
      <c r="O5355" t="s">
        <v>14448</v>
      </c>
      <c r="P5355" t="s">
        <v>68</v>
      </c>
      <c r="Q5355" t="s">
        <v>68</v>
      </c>
      <c r="R5355" t="s">
        <v>68</v>
      </c>
      <c r="S5355" t="s">
        <v>69</v>
      </c>
    </row>
    <row r="5356" spans="1:19" x14ac:dyDescent="0.35">
      <c r="A5356">
        <v>17640</v>
      </c>
      <c r="B5356" t="str">
        <f>"017640"</f>
        <v>017640</v>
      </c>
      <c r="C5356" t="s">
        <v>14451</v>
      </c>
      <c r="D5356" t="s">
        <v>3400</v>
      </c>
      <c r="E5356" t="s">
        <v>3395</v>
      </c>
      <c r="F5356" t="s">
        <v>3396</v>
      </c>
      <c r="G5356" t="s">
        <v>383</v>
      </c>
      <c r="H5356" t="s">
        <v>14452</v>
      </c>
      <c r="I5356" t="s">
        <v>14453</v>
      </c>
      <c r="J5356" t="s">
        <v>386</v>
      </c>
      <c r="K5356" t="s">
        <v>55</v>
      </c>
      <c r="L5356" t="s">
        <v>387</v>
      </c>
      <c r="M5356" t="s">
        <v>57</v>
      </c>
      <c r="N5356" t="str">
        <f>"043703"</f>
        <v>043703</v>
      </c>
      <c r="O5356" t="s">
        <v>3083</v>
      </c>
      <c r="P5356" t="s">
        <v>68</v>
      </c>
      <c r="Q5356">
        <v>100</v>
      </c>
      <c r="R5356">
        <v>56.8</v>
      </c>
      <c r="S5356" t="s">
        <v>77</v>
      </c>
    </row>
    <row r="5357" spans="1:19" x14ac:dyDescent="0.35">
      <c r="A5357">
        <v>17640</v>
      </c>
      <c r="B5357" t="str">
        <f>"017640"</f>
        <v>017640</v>
      </c>
      <c r="C5357" t="s">
        <v>14451</v>
      </c>
      <c r="D5357" t="s">
        <v>3929</v>
      </c>
      <c r="E5357" t="s">
        <v>3395</v>
      </c>
      <c r="F5357" t="s">
        <v>3396</v>
      </c>
      <c r="G5357" t="s">
        <v>383</v>
      </c>
      <c r="H5357" t="s">
        <v>14452</v>
      </c>
      <c r="I5357" t="s">
        <v>14453</v>
      </c>
      <c r="J5357" t="s">
        <v>386</v>
      </c>
      <c r="K5357" t="s">
        <v>55</v>
      </c>
      <c r="L5357" t="s">
        <v>387</v>
      </c>
      <c r="M5357" t="s">
        <v>57</v>
      </c>
      <c r="N5357" t="str">
        <f>"043703"</f>
        <v>043703</v>
      </c>
      <c r="O5357" t="s">
        <v>3083</v>
      </c>
      <c r="P5357" t="s">
        <v>68</v>
      </c>
      <c r="Q5357">
        <v>100</v>
      </c>
      <c r="R5357">
        <v>56.8</v>
      </c>
      <c r="S5357" t="s">
        <v>77</v>
      </c>
    </row>
    <row r="5358" spans="1:19" x14ac:dyDescent="0.35">
      <c r="A5358">
        <v>17734</v>
      </c>
      <c r="B5358" t="str">
        <f>"017734"</f>
        <v>017734</v>
      </c>
      <c r="C5358" t="s">
        <v>14454</v>
      </c>
      <c r="D5358" t="s">
        <v>3394</v>
      </c>
      <c r="E5358" t="s">
        <v>3395</v>
      </c>
      <c r="F5358" t="s">
        <v>3396</v>
      </c>
      <c r="G5358" t="s">
        <v>543</v>
      </c>
      <c r="H5358" t="s">
        <v>14455</v>
      </c>
      <c r="I5358" t="s">
        <v>14456</v>
      </c>
      <c r="J5358" t="s">
        <v>3061</v>
      </c>
      <c r="K5358" t="s">
        <v>55</v>
      </c>
      <c r="L5358" t="s">
        <v>3062</v>
      </c>
      <c r="M5358" t="s">
        <v>57</v>
      </c>
      <c r="N5358" t="str">
        <f>"044958"</f>
        <v>044958</v>
      </c>
      <c r="O5358" t="s">
        <v>3058</v>
      </c>
      <c r="P5358" t="s">
        <v>68</v>
      </c>
      <c r="Q5358" t="s">
        <v>68</v>
      </c>
      <c r="R5358" t="s">
        <v>68</v>
      </c>
      <c r="S5358" t="s">
        <v>180</v>
      </c>
    </row>
    <row r="5359" spans="1:19" x14ac:dyDescent="0.35">
      <c r="A5359">
        <v>17838</v>
      </c>
      <c r="B5359" t="str">
        <f>"017838"</f>
        <v>017838</v>
      </c>
      <c r="C5359" t="s">
        <v>14457</v>
      </c>
      <c r="D5359" t="s">
        <v>3398</v>
      </c>
      <c r="E5359" t="s">
        <v>9538</v>
      </c>
      <c r="F5359" t="s">
        <v>3396</v>
      </c>
      <c r="G5359" t="s">
        <v>233</v>
      </c>
      <c r="H5359" t="s">
        <v>14458</v>
      </c>
      <c r="I5359" t="s">
        <v>14459</v>
      </c>
      <c r="J5359" t="s">
        <v>2261</v>
      </c>
      <c r="K5359" t="s">
        <v>55</v>
      </c>
      <c r="L5359" t="s">
        <v>2262</v>
      </c>
      <c r="M5359" t="s">
        <v>57</v>
      </c>
      <c r="N5359" t="str">
        <f>"017838"</f>
        <v>017838</v>
      </c>
      <c r="O5359" t="s">
        <v>14457</v>
      </c>
      <c r="P5359" t="s">
        <v>68</v>
      </c>
      <c r="Q5359" t="s">
        <v>68</v>
      </c>
      <c r="R5359" t="s">
        <v>68</v>
      </c>
      <c r="S5359" t="s">
        <v>130</v>
      </c>
    </row>
    <row r="5360" spans="1:19" x14ac:dyDescent="0.35">
      <c r="A5360">
        <v>17998</v>
      </c>
      <c r="B5360" t="str">
        <f>"017998"</f>
        <v>017998</v>
      </c>
      <c r="C5360" t="s">
        <v>14460</v>
      </c>
      <c r="D5360" t="s">
        <v>3394</v>
      </c>
      <c r="E5360" t="s">
        <v>9538</v>
      </c>
      <c r="F5360" t="s">
        <v>3396</v>
      </c>
      <c r="G5360" t="s">
        <v>212</v>
      </c>
      <c r="H5360" t="s">
        <v>14461</v>
      </c>
      <c r="I5360" t="s">
        <v>14462</v>
      </c>
      <c r="J5360" t="s">
        <v>215</v>
      </c>
      <c r="K5360" t="s">
        <v>55</v>
      </c>
      <c r="L5360" t="s">
        <v>1405</v>
      </c>
      <c r="M5360" t="s">
        <v>57</v>
      </c>
      <c r="N5360" t="str">
        <f>"017998"</f>
        <v>017998</v>
      </c>
      <c r="O5360" t="s">
        <v>14460</v>
      </c>
      <c r="P5360" t="s">
        <v>68</v>
      </c>
      <c r="Q5360" t="s">
        <v>68</v>
      </c>
      <c r="R5360" t="s">
        <v>68</v>
      </c>
      <c r="S5360" t="s">
        <v>217</v>
      </c>
    </row>
    <row r="5361" spans="1:19" x14ac:dyDescent="0.35">
      <c r="A5361">
        <v>18003</v>
      </c>
      <c r="B5361" t="str">
        <f>"018003"</f>
        <v>018003</v>
      </c>
      <c r="C5361" t="s">
        <v>14463</v>
      </c>
      <c r="D5361" t="s">
        <v>3398</v>
      </c>
      <c r="E5361" t="s">
        <v>9538</v>
      </c>
      <c r="F5361" t="s">
        <v>3396</v>
      </c>
      <c r="G5361" t="s">
        <v>481</v>
      </c>
      <c r="H5361" t="s">
        <v>14464</v>
      </c>
      <c r="I5361" t="s">
        <v>14465</v>
      </c>
      <c r="J5361" t="s">
        <v>484</v>
      </c>
      <c r="K5361" t="s">
        <v>55</v>
      </c>
      <c r="L5361" t="s">
        <v>485</v>
      </c>
      <c r="M5361" t="s">
        <v>57</v>
      </c>
      <c r="N5361" t="str">
        <f>"018003"</f>
        <v>018003</v>
      </c>
      <c r="O5361" t="s">
        <v>14463</v>
      </c>
      <c r="P5361" t="s">
        <v>68</v>
      </c>
      <c r="Q5361" t="s">
        <v>68</v>
      </c>
      <c r="R5361" t="s">
        <v>68</v>
      </c>
      <c r="S5361" t="s">
        <v>69</v>
      </c>
    </row>
    <row r="5362" spans="1:19" x14ac:dyDescent="0.35">
      <c r="A5362">
        <v>18011</v>
      </c>
      <c r="B5362" t="str">
        <f>"018011"</f>
        <v>018011</v>
      </c>
      <c r="C5362" t="s">
        <v>14466</v>
      </c>
      <c r="D5362" t="s">
        <v>3394</v>
      </c>
      <c r="E5362" t="s">
        <v>9538</v>
      </c>
      <c r="F5362" t="s">
        <v>3396</v>
      </c>
      <c r="G5362" t="s">
        <v>63</v>
      </c>
      <c r="H5362" t="s">
        <v>14467</v>
      </c>
      <c r="I5362" t="s">
        <v>14468</v>
      </c>
      <c r="J5362" t="s">
        <v>285</v>
      </c>
      <c r="K5362" t="s">
        <v>55</v>
      </c>
      <c r="L5362" t="s">
        <v>3458</v>
      </c>
      <c r="M5362" t="s">
        <v>57</v>
      </c>
      <c r="N5362" t="str">
        <f>"018011"</f>
        <v>018011</v>
      </c>
      <c r="O5362" t="s">
        <v>14466</v>
      </c>
      <c r="P5362" t="s">
        <v>68</v>
      </c>
      <c r="Q5362" t="s">
        <v>68</v>
      </c>
      <c r="R5362" t="s">
        <v>68</v>
      </c>
      <c r="S5362" t="s">
        <v>69</v>
      </c>
    </row>
    <row r="5363" spans="1:19" x14ac:dyDescent="0.35">
      <c r="A5363">
        <v>18984</v>
      </c>
      <c r="B5363" t="str">
        <f>"018984"</f>
        <v>018984</v>
      </c>
      <c r="C5363" t="s">
        <v>14469</v>
      </c>
      <c r="D5363" t="s">
        <v>3394</v>
      </c>
      <c r="E5363" t="s">
        <v>3395</v>
      </c>
      <c r="F5363" t="s">
        <v>3396</v>
      </c>
      <c r="G5363" t="s">
        <v>1020</v>
      </c>
      <c r="H5363" t="s">
        <v>14470</v>
      </c>
      <c r="I5363" t="s">
        <v>14471</v>
      </c>
      <c r="J5363" t="s">
        <v>1231</v>
      </c>
      <c r="K5363" t="s">
        <v>55</v>
      </c>
      <c r="L5363" t="s">
        <v>1232</v>
      </c>
      <c r="M5363" t="s">
        <v>57</v>
      </c>
      <c r="N5363" t="str">
        <f>"050351"</f>
        <v>050351</v>
      </c>
      <c r="O5363" t="s">
        <v>1228</v>
      </c>
      <c r="P5363" t="s">
        <v>68</v>
      </c>
      <c r="Q5363">
        <v>26.2</v>
      </c>
      <c r="R5363">
        <v>6.0999999999999943</v>
      </c>
      <c r="S5363" t="s">
        <v>156</v>
      </c>
    </row>
    <row r="5364" spans="1:19" x14ac:dyDescent="0.35">
      <c r="A5364">
        <v>18018</v>
      </c>
      <c r="B5364" t="str">
        <f>"018018"</f>
        <v>018018</v>
      </c>
      <c r="C5364" t="s">
        <v>14472</v>
      </c>
      <c r="D5364" t="s">
        <v>3398</v>
      </c>
      <c r="E5364" t="s">
        <v>9538</v>
      </c>
      <c r="F5364" t="s">
        <v>3396</v>
      </c>
      <c r="G5364" t="s">
        <v>600</v>
      </c>
      <c r="H5364" t="s">
        <v>14473</v>
      </c>
      <c r="I5364" t="s">
        <v>14474</v>
      </c>
      <c r="J5364" t="s">
        <v>1348</v>
      </c>
      <c r="K5364" t="s">
        <v>55</v>
      </c>
      <c r="L5364" t="s">
        <v>4906</v>
      </c>
      <c r="M5364" t="s">
        <v>57</v>
      </c>
      <c r="N5364" t="str">
        <f>"018018"</f>
        <v>018018</v>
      </c>
      <c r="O5364" t="s">
        <v>14472</v>
      </c>
      <c r="P5364" t="s">
        <v>68</v>
      </c>
      <c r="Q5364" t="s">
        <v>68</v>
      </c>
      <c r="R5364" t="s">
        <v>68</v>
      </c>
      <c r="S5364" t="s">
        <v>60</v>
      </c>
    </row>
    <row r="5365" spans="1:19" x14ac:dyDescent="0.35">
      <c r="A5365">
        <v>18018</v>
      </c>
      <c r="B5365" t="str">
        <f>"018018"</f>
        <v>018018</v>
      </c>
      <c r="C5365" t="s">
        <v>14472</v>
      </c>
      <c r="D5365" t="s">
        <v>9541</v>
      </c>
      <c r="E5365" t="s">
        <v>9538</v>
      </c>
      <c r="F5365" t="s">
        <v>3396</v>
      </c>
      <c r="G5365" t="s">
        <v>600</v>
      </c>
      <c r="H5365" t="s">
        <v>14473</v>
      </c>
      <c r="I5365" t="s">
        <v>14474</v>
      </c>
      <c r="J5365" t="s">
        <v>1348</v>
      </c>
      <c r="K5365" t="s">
        <v>55</v>
      </c>
      <c r="L5365" t="s">
        <v>4906</v>
      </c>
      <c r="M5365" t="s">
        <v>57</v>
      </c>
      <c r="N5365" t="str">
        <f>"018018"</f>
        <v>018018</v>
      </c>
      <c r="O5365" t="s">
        <v>14472</v>
      </c>
      <c r="P5365" t="s">
        <v>68</v>
      </c>
      <c r="Q5365" t="s">
        <v>68</v>
      </c>
      <c r="R5365" t="s">
        <v>68</v>
      </c>
      <c r="S5365" t="s">
        <v>60</v>
      </c>
    </row>
    <row r="5366" spans="1:19" x14ac:dyDescent="0.35">
      <c r="A5366">
        <v>18998</v>
      </c>
      <c r="B5366" t="str">
        <f>"018998"</f>
        <v>018998</v>
      </c>
      <c r="C5366" t="s">
        <v>14475</v>
      </c>
      <c r="D5366" t="s">
        <v>3394</v>
      </c>
      <c r="E5366" t="s">
        <v>3395</v>
      </c>
      <c r="F5366" t="s">
        <v>3396</v>
      </c>
      <c r="G5366" t="s">
        <v>600</v>
      </c>
      <c r="H5366" t="s">
        <v>14476</v>
      </c>
      <c r="I5366" t="s">
        <v>14477</v>
      </c>
      <c r="J5366" t="s">
        <v>1956</v>
      </c>
      <c r="K5366" t="s">
        <v>55</v>
      </c>
      <c r="L5366" t="s">
        <v>7495</v>
      </c>
      <c r="M5366" t="s">
        <v>57</v>
      </c>
      <c r="N5366" t="str">
        <f>"047027"</f>
        <v>047027</v>
      </c>
      <c r="O5366" t="s">
        <v>1953</v>
      </c>
      <c r="P5366" t="s">
        <v>68</v>
      </c>
      <c r="Q5366">
        <v>41.9</v>
      </c>
      <c r="R5366">
        <v>63.9</v>
      </c>
      <c r="S5366" t="s">
        <v>60</v>
      </c>
    </row>
    <row r="5367" spans="1:19" x14ac:dyDescent="0.35">
      <c r="A5367">
        <v>18997</v>
      </c>
      <c r="B5367" t="str">
        <f>"018997"</f>
        <v>018997</v>
      </c>
      <c r="C5367" t="s">
        <v>14478</v>
      </c>
      <c r="D5367" t="s">
        <v>3394</v>
      </c>
      <c r="E5367" t="s">
        <v>9538</v>
      </c>
      <c r="F5367" t="s">
        <v>3396</v>
      </c>
      <c r="G5367" t="s">
        <v>212</v>
      </c>
      <c r="H5367" t="s">
        <v>14479</v>
      </c>
      <c r="I5367" t="s">
        <v>14480</v>
      </c>
      <c r="J5367" t="s">
        <v>2325</v>
      </c>
      <c r="K5367" t="s">
        <v>55</v>
      </c>
      <c r="L5367" t="s">
        <v>2326</v>
      </c>
      <c r="M5367" t="s">
        <v>57</v>
      </c>
      <c r="N5367" t="str">
        <f>"018997"</f>
        <v>018997</v>
      </c>
      <c r="O5367" t="s">
        <v>14478</v>
      </c>
      <c r="P5367" t="s">
        <v>68</v>
      </c>
      <c r="Q5367" t="s">
        <v>68</v>
      </c>
      <c r="R5367" t="s">
        <v>68</v>
      </c>
      <c r="S5367" t="s">
        <v>217</v>
      </c>
    </row>
    <row r="5368" spans="1:19" x14ac:dyDescent="0.35">
      <c r="A5368">
        <v>18997</v>
      </c>
      <c r="B5368" t="str">
        <f>"018997"</f>
        <v>018997</v>
      </c>
      <c r="C5368" t="s">
        <v>14478</v>
      </c>
      <c r="D5368" t="s">
        <v>9541</v>
      </c>
      <c r="E5368" t="s">
        <v>9538</v>
      </c>
      <c r="F5368" t="s">
        <v>3396</v>
      </c>
      <c r="G5368" t="s">
        <v>212</v>
      </c>
      <c r="H5368" t="s">
        <v>14479</v>
      </c>
      <c r="I5368" t="s">
        <v>14480</v>
      </c>
      <c r="J5368" t="s">
        <v>2325</v>
      </c>
      <c r="K5368" t="s">
        <v>55</v>
      </c>
      <c r="L5368" t="s">
        <v>2326</v>
      </c>
      <c r="M5368" t="s">
        <v>57</v>
      </c>
      <c r="N5368" t="str">
        <f>"018997"</f>
        <v>018997</v>
      </c>
      <c r="O5368" t="s">
        <v>14478</v>
      </c>
      <c r="P5368" t="s">
        <v>68</v>
      </c>
      <c r="Q5368" t="s">
        <v>68</v>
      </c>
      <c r="R5368" t="s">
        <v>68</v>
      </c>
      <c r="S5368" t="s">
        <v>217</v>
      </c>
    </row>
    <row r="5369" spans="1:19" x14ac:dyDescent="0.35">
      <c r="A5369">
        <v>19017</v>
      </c>
      <c r="B5369" t="str">
        <f>"019017"</f>
        <v>019017</v>
      </c>
      <c r="C5369" t="s">
        <v>14481</v>
      </c>
      <c r="D5369" t="s">
        <v>3394</v>
      </c>
      <c r="E5369" t="s">
        <v>3395</v>
      </c>
      <c r="F5369" t="s">
        <v>3396</v>
      </c>
      <c r="G5369" t="s">
        <v>1948</v>
      </c>
      <c r="H5369" t="s">
        <v>14482</v>
      </c>
      <c r="I5369" t="s">
        <v>14483</v>
      </c>
      <c r="J5369" t="s">
        <v>1753</v>
      </c>
      <c r="K5369" t="s">
        <v>55</v>
      </c>
      <c r="L5369" t="s">
        <v>1754</v>
      </c>
      <c r="M5369" t="s">
        <v>57</v>
      </c>
      <c r="N5369" t="str">
        <f>"047027"</f>
        <v>047027</v>
      </c>
      <c r="O5369" t="s">
        <v>1953</v>
      </c>
      <c r="P5369" t="s">
        <v>68</v>
      </c>
      <c r="Q5369">
        <v>2.4</v>
      </c>
      <c r="R5369">
        <v>42.1</v>
      </c>
      <c r="S5369" t="s">
        <v>60</v>
      </c>
    </row>
    <row r="5370" spans="1:19" x14ac:dyDescent="0.35">
      <c r="A5370">
        <v>19019</v>
      </c>
      <c r="B5370" t="str">
        <f>"019019"</f>
        <v>019019</v>
      </c>
      <c r="C5370" t="s">
        <v>14484</v>
      </c>
      <c r="D5370" t="s">
        <v>3394</v>
      </c>
      <c r="E5370" t="s">
        <v>3395</v>
      </c>
      <c r="F5370" t="s">
        <v>3396</v>
      </c>
      <c r="G5370" t="s">
        <v>600</v>
      </c>
      <c r="H5370" t="s">
        <v>14485</v>
      </c>
      <c r="I5370" t="s">
        <v>14486</v>
      </c>
      <c r="J5370" t="s">
        <v>1956</v>
      </c>
      <c r="K5370" t="s">
        <v>55</v>
      </c>
      <c r="L5370" t="s">
        <v>1957</v>
      </c>
      <c r="M5370" t="s">
        <v>57</v>
      </c>
      <c r="N5370" t="str">
        <f>"047027"</f>
        <v>047027</v>
      </c>
      <c r="O5370" t="s">
        <v>1953</v>
      </c>
      <c r="P5370" t="s">
        <v>68</v>
      </c>
      <c r="Q5370" t="s">
        <v>68</v>
      </c>
      <c r="R5370" t="s">
        <v>68</v>
      </c>
      <c r="S5370" t="s">
        <v>60</v>
      </c>
    </row>
    <row r="5371" spans="1:19" x14ac:dyDescent="0.35">
      <c r="A5371">
        <v>19016</v>
      </c>
      <c r="B5371" t="str">
        <f>"019016"</f>
        <v>019016</v>
      </c>
      <c r="C5371" t="s">
        <v>14487</v>
      </c>
      <c r="D5371" t="s">
        <v>3394</v>
      </c>
      <c r="E5371" t="s">
        <v>3395</v>
      </c>
      <c r="F5371" t="s">
        <v>3396</v>
      </c>
      <c r="G5371" t="s">
        <v>383</v>
      </c>
      <c r="H5371" t="s">
        <v>14488</v>
      </c>
      <c r="I5371" t="s">
        <v>14489</v>
      </c>
      <c r="J5371" t="s">
        <v>1215</v>
      </c>
      <c r="K5371" t="s">
        <v>55</v>
      </c>
      <c r="L5371" t="s">
        <v>1216</v>
      </c>
      <c r="M5371" t="s">
        <v>57</v>
      </c>
      <c r="N5371" t="str">
        <f>"045161"</f>
        <v>045161</v>
      </c>
      <c r="O5371" t="s">
        <v>1212</v>
      </c>
      <c r="P5371" t="s">
        <v>68</v>
      </c>
      <c r="Q5371" t="s">
        <v>68</v>
      </c>
      <c r="R5371" t="s">
        <v>68</v>
      </c>
      <c r="S5371" t="s">
        <v>77</v>
      </c>
    </row>
    <row r="5372" spans="1:19" x14ac:dyDescent="0.35">
      <c r="A5372">
        <v>19039</v>
      </c>
      <c r="B5372" t="str">
        <f>"019039"</f>
        <v>019039</v>
      </c>
      <c r="C5372" t="s">
        <v>14490</v>
      </c>
      <c r="D5372" t="s">
        <v>3394</v>
      </c>
      <c r="E5372" t="s">
        <v>9538</v>
      </c>
      <c r="F5372" t="s">
        <v>3396</v>
      </c>
      <c r="G5372" t="s">
        <v>63</v>
      </c>
      <c r="H5372" t="s">
        <v>14083</v>
      </c>
      <c r="I5372" t="s">
        <v>14084</v>
      </c>
      <c r="J5372" t="s">
        <v>285</v>
      </c>
      <c r="K5372" t="s">
        <v>55</v>
      </c>
      <c r="L5372" t="s">
        <v>3798</v>
      </c>
      <c r="M5372" t="s">
        <v>57</v>
      </c>
      <c r="N5372" t="str">
        <f>"019039"</f>
        <v>019039</v>
      </c>
      <c r="O5372" t="s">
        <v>14490</v>
      </c>
      <c r="P5372" t="s">
        <v>68</v>
      </c>
      <c r="Q5372" t="s">
        <v>68</v>
      </c>
      <c r="R5372" t="s">
        <v>68</v>
      </c>
      <c r="S5372" t="s">
        <v>69</v>
      </c>
    </row>
    <row r="5373" spans="1:19" x14ac:dyDescent="0.35">
      <c r="A5373">
        <v>19057</v>
      </c>
      <c r="B5373" t="str">
        <f>"019057"</f>
        <v>019057</v>
      </c>
      <c r="C5373" t="s">
        <v>14491</v>
      </c>
      <c r="D5373" t="s">
        <v>3394</v>
      </c>
      <c r="E5373" t="s">
        <v>3395</v>
      </c>
      <c r="F5373" t="s">
        <v>3396</v>
      </c>
      <c r="G5373" t="s">
        <v>63</v>
      </c>
      <c r="H5373" t="s">
        <v>1269</v>
      </c>
      <c r="I5373" t="s">
        <v>1270</v>
      </c>
      <c r="J5373" t="s">
        <v>1271</v>
      </c>
      <c r="K5373" t="s">
        <v>55</v>
      </c>
      <c r="L5373" t="s">
        <v>1272</v>
      </c>
      <c r="M5373" t="s">
        <v>57</v>
      </c>
      <c r="N5373" t="str">
        <f>"044198"</f>
        <v>044198</v>
      </c>
      <c r="O5373" t="s">
        <v>1268</v>
      </c>
      <c r="P5373" t="s">
        <v>68</v>
      </c>
      <c r="Q5373" t="s">
        <v>68</v>
      </c>
      <c r="R5373" t="s">
        <v>68</v>
      </c>
      <c r="S5373" t="s">
        <v>69</v>
      </c>
    </row>
    <row r="5374" spans="1:19" x14ac:dyDescent="0.35">
      <c r="A5374">
        <v>19081</v>
      </c>
      <c r="B5374" t="str">
        <f>"019081"</f>
        <v>019081</v>
      </c>
      <c r="C5374" t="s">
        <v>14492</v>
      </c>
      <c r="D5374" t="s">
        <v>3398</v>
      </c>
      <c r="E5374" t="s">
        <v>9538</v>
      </c>
      <c r="F5374" t="s">
        <v>3396</v>
      </c>
      <c r="G5374" t="s">
        <v>200</v>
      </c>
      <c r="H5374" t="s">
        <v>14493</v>
      </c>
      <c r="I5374" t="s">
        <v>14494</v>
      </c>
      <c r="J5374" t="s">
        <v>431</v>
      </c>
      <c r="K5374" t="s">
        <v>55</v>
      </c>
      <c r="L5374" t="s">
        <v>432</v>
      </c>
      <c r="M5374" t="s">
        <v>57</v>
      </c>
      <c r="N5374" t="str">
        <f>"019081"</f>
        <v>019081</v>
      </c>
      <c r="O5374" t="s">
        <v>14492</v>
      </c>
      <c r="P5374" t="s">
        <v>68</v>
      </c>
      <c r="Q5374" t="s">
        <v>68</v>
      </c>
      <c r="R5374" t="s">
        <v>68</v>
      </c>
      <c r="S5374" t="s">
        <v>156</v>
      </c>
    </row>
    <row r="5375" spans="1:19" x14ac:dyDescent="0.35">
      <c r="A5375">
        <v>19081</v>
      </c>
      <c r="B5375" t="str">
        <f>"019081"</f>
        <v>019081</v>
      </c>
      <c r="C5375" t="s">
        <v>14492</v>
      </c>
      <c r="D5375" t="s">
        <v>9541</v>
      </c>
      <c r="E5375" t="s">
        <v>9538</v>
      </c>
      <c r="F5375" t="s">
        <v>3396</v>
      </c>
      <c r="G5375" t="s">
        <v>200</v>
      </c>
      <c r="H5375" t="s">
        <v>14493</v>
      </c>
      <c r="I5375" t="s">
        <v>14494</v>
      </c>
      <c r="J5375" t="s">
        <v>431</v>
      </c>
      <c r="K5375" t="s">
        <v>55</v>
      </c>
      <c r="L5375" t="s">
        <v>432</v>
      </c>
      <c r="M5375" t="s">
        <v>57</v>
      </c>
      <c r="N5375" t="str">
        <f>"019081"</f>
        <v>019081</v>
      </c>
      <c r="O5375" t="s">
        <v>14492</v>
      </c>
      <c r="P5375" t="s">
        <v>68</v>
      </c>
      <c r="Q5375" t="s">
        <v>68</v>
      </c>
      <c r="R5375" t="s">
        <v>68</v>
      </c>
      <c r="S5375" t="s">
        <v>156</v>
      </c>
    </row>
    <row r="5376" spans="1:19" x14ac:dyDescent="0.35">
      <c r="A5376">
        <v>19086</v>
      </c>
      <c r="B5376" t="str">
        <f>"019086"</f>
        <v>019086</v>
      </c>
      <c r="C5376" t="s">
        <v>14495</v>
      </c>
      <c r="D5376" t="s">
        <v>3394</v>
      </c>
      <c r="E5376" t="s">
        <v>9538</v>
      </c>
      <c r="F5376" t="s">
        <v>3396</v>
      </c>
      <c r="G5376" t="s">
        <v>52</v>
      </c>
      <c r="H5376" t="s">
        <v>14496</v>
      </c>
      <c r="I5376" t="s">
        <v>14497</v>
      </c>
      <c r="J5376" t="s">
        <v>2670</v>
      </c>
      <c r="K5376" t="s">
        <v>55</v>
      </c>
      <c r="L5376" t="s">
        <v>2671</v>
      </c>
      <c r="M5376" t="s">
        <v>57</v>
      </c>
      <c r="N5376" t="str">
        <f>"019086"</f>
        <v>019086</v>
      </c>
      <c r="O5376" t="s">
        <v>14495</v>
      </c>
      <c r="P5376" t="s">
        <v>68</v>
      </c>
      <c r="Q5376" t="s">
        <v>68</v>
      </c>
      <c r="R5376" t="s">
        <v>68</v>
      </c>
      <c r="S5376" t="s">
        <v>60</v>
      </c>
    </row>
    <row r="5377" spans="1:19" x14ac:dyDescent="0.35">
      <c r="A5377">
        <v>19097</v>
      </c>
      <c r="B5377" t="str">
        <f>"019097"</f>
        <v>019097</v>
      </c>
      <c r="C5377" t="s">
        <v>14498</v>
      </c>
      <c r="D5377" t="s">
        <v>3394</v>
      </c>
      <c r="E5377" t="s">
        <v>9538</v>
      </c>
      <c r="F5377" t="s">
        <v>3396</v>
      </c>
      <c r="G5377" t="s">
        <v>600</v>
      </c>
      <c r="H5377" t="s">
        <v>14499</v>
      </c>
      <c r="I5377" t="s">
        <v>14500</v>
      </c>
      <c r="J5377" t="s">
        <v>1348</v>
      </c>
      <c r="K5377" t="s">
        <v>55</v>
      </c>
      <c r="L5377" t="s">
        <v>3462</v>
      </c>
      <c r="M5377" t="s">
        <v>57</v>
      </c>
      <c r="N5377" t="str">
        <f>"019097"</f>
        <v>019097</v>
      </c>
      <c r="O5377" t="s">
        <v>14498</v>
      </c>
      <c r="P5377" t="s">
        <v>68</v>
      </c>
      <c r="Q5377" t="s">
        <v>68</v>
      </c>
      <c r="R5377" t="s">
        <v>68</v>
      </c>
      <c r="S5377" t="s">
        <v>60</v>
      </c>
    </row>
    <row r="5378" spans="1:19" x14ac:dyDescent="0.35">
      <c r="A5378">
        <v>19194</v>
      </c>
      <c r="B5378" t="str">
        <f>"019194"</f>
        <v>019194</v>
      </c>
      <c r="C5378" t="s">
        <v>14501</v>
      </c>
      <c r="D5378" t="s">
        <v>3398</v>
      </c>
      <c r="E5378" t="s">
        <v>3395</v>
      </c>
      <c r="F5378" t="s">
        <v>3396</v>
      </c>
      <c r="G5378" t="s">
        <v>63</v>
      </c>
      <c r="H5378" t="s">
        <v>10815</v>
      </c>
      <c r="I5378" t="s">
        <v>10816</v>
      </c>
      <c r="J5378" t="s">
        <v>285</v>
      </c>
      <c r="K5378" t="s">
        <v>55</v>
      </c>
      <c r="L5378" t="s">
        <v>3458</v>
      </c>
      <c r="M5378" t="s">
        <v>57</v>
      </c>
      <c r="N5378" t="str">
        <f>"043786"</f>
        <v>043786</v>
      </c>
      <c r="O5378" t="s">
        <v>1340</v>
      </c>
      <c r="P5378" t="s">
        <v>68</v>
      </c>
      <c r="Q5378">
        <v>100</v>
      </c>
      <c r="R5378">
        <v>88.5</v>
      </c>
      <c r="S5378" t="s">
        <v>69</v>
      </c>
    </row>
    <row r="5379" spans="1:19" x14ac:dyDescent="0.35">
      <c r="A5379">
        <v>19143</v>
      </c>
      <c r="B5379" t="str">
        <f>"019143"</f>
        <v>019143</v>
      </c>
      <c r="C5379" t="s">
        <v>14502</v>
      </c>
      <c r="D5379" t="s">
        <v>3394</v>
      </c>
      <c r="E5379" t="s">
        <v>3395</v>
      </c>
      <c r="F5379" t="s">
        <v>3396</v>
      </c>
      <c r="G5379" t="s">
        <v>52</v>
      </c>
      <c r="H5379" t="s">
        <v>14503</v>
      </c>
      <c r="I5379" t="s">
        <v>14504</v>
      </c>
      <c r="J5379" t="s">
        <v>2874</v>
      </c>
      <c r="K5379" t="s">
        <v>55</v>
      </c>
      <c r="L5379" t="s">
        <v>2875</v>
      </c>
      <c r="M5379" t="s">
        <v>57</v>
      </c>
      <c r="N5379" t="str">
        <f>"046748"</f>
        <v>046748</v>
      </c>
      <c r="O5379" t="s">
        <v>2871</v>
      </c>
      <c r="P5379" t="s">
        <v>68</v>
      </c>
      <c r="Q5379" t="s">
        <v>68</v>
      </c>
      <c r="R5379" t="s">
        <v>68</v>
      </c>
      <c r="S5379" t="s">
        <v>60</v>
      </c>
    </row>
    <row r="5380" spans="1:19" x14ac:dyDescent="0.35">
      <c r="A5380">
        <v>19152</v>
      </c>
      <c r="B5380" t="str">
        <f>"019152"</f>
        <v>019152</v>
      </c>
      <c r="C5380" t="s">
        <v>14505</v>
      </c>
      <c r="D5380" t="s">
        <v>3398</v>
      </c>
      <c r="E5380" t="s">
        <v>12048</v>
      </c>
      <c r="F5380" t="s">
        <v>3396</v>
      </c>
      <c r="G5380" t="s">
        <v>663</v>
      </c>
      <c r="H5380" t="s">
        <v>14506</v>
      </c>
      <c r="I5380" t="s">
        <v>14507</v>
      </c>
      <c r="J5380" t="s">
        <v>1604</v>
      </c>
      <c r="K5380" t="s">
        <v>55</v>
      </c>
      <c r="L5380" t="s">
        <v>1605</v>
      </c>
      <c r="M5380" t="s">
        <v>57</v>
      </c>
      <c r="N5380" t="str">
        <f>"019239"</f>
        <v>019239</v>
      </c>
      <c r="O5380" t="s">
        <v>14508</v>
      </c>
      <c r="P5380" t="s">
        <v>68</v>
      </c>
      <c r="Q5380">
        <v>95.3</v>
      </c>
      <c r="R5380">
        <v>20.299999999999997</v>
      </c>
      <c r="S5380" t="s">
        <v>77</v>
      </c>
    </row>
    <row r="5381" spans="1:19" x14ac:dyDescent="0.35">
      <c r="A5381">
        <v>19152</v>
      </c>
      <c r="B5381" t="str">
        <f>"019152"</f>
        <v>019152</v>
      </c>
      <c r="C5381" t="s">
        <v>14505</v>
      </c>
      <c r="D5381" t="s">
        <v>12052</v>
      </c>
      <c r="E5381" t="s">
        <v>12048</v>
      </c>
      <c r="F5381" t="s">
        <v>3396</v>
      </c>
      <c r="G5381" t="s">
        <v>663</v>
      </c>
      <c r="H5381" t="s">
        <v>14506</v>
      </c>
      <c r="I5381" t="s">
        <v>14507</v>
      </c>
      <c r="J5381" t="s">
        <v>1604</v>
      </c>
      <c r="K5381" t="s">
        <v>55</v>
      </c>
      <c r="L5381" t="s">
        <v>1605</v>
      </c>
      <c r="M5381" t="s">
        <v>57</v>
      </c>
      <c r="N5381" t="str">
        <f>"019239"</f>
        <v>019239</v>
      </c>
      <c r="O5381" t="s">
        <v>14508</v>
      </c>
      <c r="P5381" t="s">
        <v>68</v>
      </c>
      <c r="Q5381">
        <v>95.3</v>
      </c>
      <c r="R5381">
        <v>20.299999999999997</v>
      </c>
      <c r="S5381" t="s">
        <v>77</v>
      </c>
    </row>
    <row r="5382" spans="1:19" x14ac:dyDescent="0.35">
      <c r="A5382">
        <v>19152</v>
      </c>
      <c r="B5382" t="str">
        <f>"019152"</f>
        <v>019152</v>
      </c>
      <c r="C5382" t="s">
        <v>14505</v>
      </c>
      <c r="D5382" t="s">
        <v>12063</v>
      </c>
      <c r="E5382" t="s">
        <v>12048</v>
      </c>
      <c r="F5382" t="s">
        <v>3396</v>
      </c>
      <c r="G5382" t="s">
        <v>663</v>
      </c>
      <c r="H5382" t="s">
        <v>14506</v>
      </c>
      <c r="I5382" t="s">
        <v>14507</v>
      </c>
      <c r="J5382" t="s">
        <v>1604</v>
      </c>
      <c r="K5382" t="s">
        <v>55</v>
      </c>
      <c r="L5382" t="s">
        <v>1605</v>
      </c>
      <c r="M5382" t="s">
        <v>57</v>
      </c>
      <c r="N5382" t="str">
        <f>"019239"</f>
        <v>019239</v>
      </c>
      <c r="O5382" t="s">
        <v>14508</v>
      </c>
      <c r="P5382" t="s">
        <v>68</v>
      </c>
      <c r="Q5382">
        <v>95.3</v>
      </c>
      <c r="R5382">
        <v>20.299999999999997</v>
      </c>
      <c r="S5382" t="s">
        <v>77</v>
      </c>
    </row>
    <row r="5383" spans="1:19" x14ac:dyDescent="0.35">
      <c r="A5383">
        <v>19152</v>
      </c>
      <c r="B5383" t="str">
        <f>"019152"</f>
        <v>019152</v>
      </c>
      <c r="C5383" t="s">
        <v>14505</v>
      </c>
      <c r="D5383" t="s">
        <v>4572</v>
      </c>
      <c r="E5383" t="s">
        <v>12048</v>
      </c>
      <c r="F5383" t="s">
        <v>3396</v>
      </c>
      <c r="G5383" t="s">
        <v>663</v>
      </c>
      <c r="H5383" t="s">
        <v>14506</v>
      </c>
      <c r="I5383" t="s">
        <v>14507</v>
      </c>
      <c r="J5383" t="s">
        <v>1604</v>
      </c>
      <c r="K5383" t="s">
        <v>55</v>
      </c>
      <c r="L5383" t="s">
        <v>1605</v>
      </c>
      <c r="M5383" t="s">
        <v>57</v>
      </c>
      <c r="N5383" t="str">
        <f>"019239"</f>
        <v>019239</v>
      </c>
      <c r="O5383" t="s">
        <v>14508</v>
      </c>
      <c r="P5383" t="s">
        <v>68</v>
      </c>
      <c r="Q5383">
        <v>95.3</v>
      </c>
      <c r="R5383">
        <v>20.299999999999997</v>
      </c>
      <c r="S5383" t="s">
        <v>77</v>
      </c>
    </row>
    <row r="5384" spans="1:19" x14ac:dyDescent="0.35">
      <c r="A5384">
        <v>19156</v>
      </c>
      <c r="B5384" t="str">
        <f>"019156"</f>
        <v>019156</v>
      </c>
      <c r="C5384" t="s">
        <v>14509</v>
      </c>
      <c r="D5384" t="s">
        <v>3400</v>
      </c>
      <c r="E5384" t="s">
        <v>12048</v>
      </c>
      <c r="F5384" t="s">
        <v>3396</v>
      </c>
      <c r="G5384" t="s">
        <v>71</v>
      </c>
      <c r="H5384" t="s">
        <v>14510</v>
      </c>
      <c r="I5384" t="s">
        <v>14511</v>
      </c>
      <c r="J5384" t="s">
        <v>447</v>
      </c>
      <c r="K5384" t="s">
        <v>55</v>
      </c>
      <c r="L5384" t="s">
        <v>448</v>
      </c>
      <c r="M5384" t="s">
        <v>57</v>
      </c>
      <c r="N5384" t="str">
        <f>"N/A"</f>
        <v>N/A</v>
      </c>
      <c r="O5384" t="s">
        <v>49</v>
      </c>
      <c r="P5384" t="s">
        <v>68</v>
      </c>
      <c r="Q5384">
        <v>63.2</v>
      </c>
      <c r="R5384">
        <v>13.599999999999994</v>
      </c>
      <c r="S5384" t="s">
        <v>77</v>
      </c>
    </row>
    <row r="5385" spans="1:19" x14ac:dyDescent="0.35">
      <c r="A5385">
        <v>19156</v>
      </c>
      <c r="B5385" t="str">
        <f>"019156"</f>
        <v>019156</v>
      </c>
      <c r="C5385" t="s">
        <v>14509</v>
      </c>
      <c r="D5385" t="s">
        <v>12471</v>
      </c>
      <c r="E5385" t="s">
        <v>12048</v>
      </c>
      <c r="F5385" t="s">
        <v>3396</v>
      </c>
      <c r="G5385" t="s">
        <v>71</v>
      </c>
      <c r="H5385" t="s">
        <v>14510</v>
      </c>
      <c r="I5385" t="s">
        <v>14511</v>
      </c>
      <c r="J5385" t="s">
        <v>447</v>
      </c>
      <c r="K5385" t="s">
        <v>55</v>
      </c>
      <c r="L5385" t="s">
        <v>448</v>
      </c>
      <c r="M5385" t="s">
        <v>57</v>
      </c>
      <c r="N5385" t="str">
        <f>"N/A"</f>
        <v>N/A</v>
      </c>
      <c r="O5385" t="s">
        <v>49</v>
      </c>
      <c r="P5385" t="s">
        <v>68</v>
      </c>
      <c r="Q5385">
        <v>63.2</v>
      </c>
      <c r="R5385">
        <v>13.599999999999994</v>
      </c>
      <c r="S5385" t="s">
        <v>77</v>
      </c>
    </row>
    <row r="5386" spans="1:19" x14ac:dyDescent="0.35">
      <c r="A5386">
        <v>19156</v>
      </c>
      <c r="B5386" t="str">
        <f>"019156"</f>
        <v>019156</v>
      </c>
      <c r="C5386" t="s">
        <v>14509</v>
      </c>
      <c r="D5386" t="s">
        <v>12476</v>
      </c>
      <c r="E5386" t="s">
        <v>12048</v>
      </c>
      <c r="F5386" t="s">
        <v>3396</v>
      </c>
      <c r="G5386" t="s">
        <v>71</v>
      </c>
      <c r="H5386" t="s">
        <v>14510</v>
      </c>
      <c r="I5386" t="s">
        <v>14511</v>
      </c>
      <c r="J5386" t="s">
        <v>447</v>
      </c>
      <c r="K5386" t="s">
        <v>55</v>
      </c>
      <c r="L5386" t="s">
        <v>448</v>
      </c>
      <c r="M5386" t="s">
        <v>57</v>
      </c>
      <c r="N5386" t="str">
        <f>"N/A"</f>
        <v>N/A</v>
      </c>
      <c r="O5386" t="s">
        <v>49</v>
      </c>
      <c r="P5386" t="s">
        <v>68</v>
      </c>
      <c r="Q5386">
        <v>63.2</v>
      </c>
      <c r="R5386">
        <v>13.599999999999994</v>
      </c>
      <c r="S5386" t="s">
        <v>77</v>
      </c>
    </row>
    <row r="5387" spans="1:19" x14ac:dyDescent="0.35">
      <c r="A5387">
        <v>19154</v>
      </c>
      <c r="B5387" t="str">
        <f>"019154"</f>
        <v>019154</v>
      </c>
      <c r="C5387" t="s">
        <v>14512</v>
      </c>
      <c r="D5387" t="s">
        <v>3394</v>
      </c>
      <c r="E5387" t="s">
        <v>3395</v>
      </c>
      <c r="F5387" t="s">
        <v>3396</v>
      </c>
      <c r="G5387" t="s">
        <v>674</v>
      </c>
      <c r="H5387" t="s">
        <v>14404</v>
      </c>
      <c r="I5387" t="s">
        <v>14405</v>
      </c>
      <c r="J5387" t="s">
        <v>10750</v>
      </c>
      <c r="K5387" t="s">
        <v>55</v>
      </c>
      <c r="L5387" t="s">
        <v>10751</v>
      </c>
      <c r="M5387" t="s">
        <v>57</v>
      </c>
      <c r="N5387" t="str">
        <f>"048843"</f>
        <v>048843</v>
      </c>
      <c r="O5387" t="s">
        <v>1199</v>
      </c>
      <c r="P5387" t="s">
        <v>68</v>
      </c>
      <c r="Q5387" t="s">
        <v>68</v>
      </c>
      <c r="R5387" t="s">
        <v>68</v>
      </c>
      <c r="S5387" t="s">
        <v>130</v>
      </c>
    </row>
    <row r="5388" spans="1:19" x14ac:dyDescent="0.35">
      <c r="A5388">
        <v>19212</v>
      </c>
      <c r="B5388" t="str">
        <f>"019212"</f>
        <v>019212</v>
      </c>
      <c r="C5388" t="s">
        <v>14513</v>
      </c>
      <c r="D5388" t="s">
        <v>3400</v>
      </c>
      <c r="E5388" t="s">
        <v>12048</v>
      </c>
      <c r="F5388" t="s">
        <v>3396</v>
      </c>
      <c r="G5388" t="s">
        <v>600</v>
      </c>
      <c r="H5388" t="s">
        <v>14514</v>
      </c>
      <c r="I5388" t="s">
        <v>14515</v>
      </c>
      <c r="J5388" t="s">
        <v>1348</v>
      </c>
      <c r="K5388" t="s">
        <v>55</v>
      </c>
      <c r="L5388" t="s">
        <v>3732</v>
      </c>
      <c r="M5388" t="s">
        <v>57</v>
      </c>
      <c r="N5388" t="str">
        <f>"019272"</f>
        <v>019272</v>
      </c>
      <c r="O5388" t="s">
        <v>14516</v>
      </c>
      <c r="P5388" t="s">
        <v>68</v>
      </c>
      <c r="Q5388">
        <v>73.3</v>
      </c>
      <c r="R5388">
        <v>100</v>
      </c>
      <c r="S5388" t="s">
        <v>60</v>
      </c>
    </row>
    <row r="5389" spans="1:19" x14ac:dyDescent="0.35">
      <c r="A5389">
        <v>19212</v>
      </c>
      <c r="B5389" t="str">
        <f>"019212"</f>
        <v>019212</v>
      </c>
      <c r="C5389" t="s">
        <v>14513</v>
      </c>
      <c r="D5389" t="s">
        <v>12052</v>
      </c>
      <c r="E5389" t="s">
        <v>12048</v>
      </c>
      <c r="F5389" t="s">
        <v>3396</v>
      </c>
      <c r="G5389" t="s">
        <v>600</v>
      </c>
      <c r="H5389" t="s">
        <v>14514</v>
      </c>
      <c r="I5389" t="s">
        <v>14515</v>
      </c>
      <c r="J5389" t="s">
        <v>1348</v>
      </c>
      <c r="K5389" t="s">
        <v>55</v>
      </c>
      <c r="L5389" t="s">
        <v>3732</v>
      </c>
      <c r="M5389" t="s">
        <v>57</v>
      </c>
      <c r="N5389" t="str">
        <f>"019272"</f>
        <v>019272</v>
      </c>
      <c r="O5389" t="s">
        <v>14516</v>
      </c>
      <c r="P5389" t="s">
        <v>68</v>
      </c>
      <c r="Q5389">
        <v>73.3</v>
      </c>
      <c r="R5389">
        <v>100</v>
      </c>
      <c r="S5389" t="s">
        <v>60</v>
      </c>
    </row>
    <row r="5390" spans="1:19" x14ac:dyDescent="0.35">
      <c r="A5390">
        <v>19167</v>
      </c>
      <c r="B5390" t="str">
        <f>"019167"</f>
        <v>019167</v>
      </c>
      <c r="C5390" t="s">
        <v>14517</v>
      </c>
      <c r="D5390" t="s">
        <v>3394</v>
      </c>
      <c r="E5390" t="s">
        <v>3395</v>
      </c>
      <c r="F5390" t="s">
        <v>3396</v>
      </c>
      <c r="G5390" t="s">
        <v>175</v>
      </c>
      <c r="H5390" t="s">
        <v>5616</v>
      </c>
      <c r="I5390" t="s">
        <v>5617</v>
      </c>
      <c r="J5390" t="s">
        <v>178</v>
      </c>
      <c r="K5390" t="s">
        <v>55</v>
      </c>
      <c r="L5390" t="s">
        <v>179</v>
      </c>
      <c r="M5390" t="s">
        <v>57</v>
      </c>
      <c r="N5390" t="str">
        <f>"044099"</f>
        <v>044099</v>
      </c>
      <c r="O5390" t="s">
        <v>174</v>
      </c>
      <c r="P5390" t="s">
        <v>68</v>
      </c>
      <c r="Q5390" t="s">
        <v>68</v>
      </c>
      <c r="R5390" t="s">
        <v>68</v>
      </c>
      <c r="S5390" t="s">
        <v>180</v>
      </c>
    </row>
    <row r="5391" spans="1:19" x14ac:dyDescent="0.35">
      <c r="A5391">
        <v>19168</v>
      </c>
      <c r="B5391" t="str">
        <f>"019168"</f>
        <v>019168</v>
      </c>
      <c r="C5391" t="s">
        <v>14518</v>
      </c>
      <c r="D5391" t="s">
        <v>3394</v>
      </c>
      <c r="E5391" t="s">
        <v>3395</v>
      </c>
      <c r="F5391" t="s">
        <v>3396</v>
      </c>
      <c r="G5391" t="s">
        <v>264</v>
      </c>
      <c r="H5391" t="s">
        <v>7361</v>
      </c>
      <c r="I5391" t="s">
        <v>7362</v>
      </c>
      <c r="J5391" t="s">
        <v>267</v>
      </c>
      <c r="K5391" t="s">
        <v>55</v>
      </c>
      <c r="L5391" t="s">
        <v>5205</v>
      </c>
      <c r="M5391" t="s">
        <v>57</v>
      </c>
      <c r="N5391" t="str">
        <f>"043489"</f>
        <v>043489</v>
      </c>
      <c r="O5391" t="s">
        <v>3176</v>
      </c>
      <c r="P5391" t="s">
        <v>68</v>
      </c>
      <c r="Q5391" t="s">
        <v>68</v>
      </c>
      <c r="R5391" t="s">
        <v>68</v>
      </c>
      <c r="S5391" t="s">
        <v>77</v>
      </c>
    </row>
    <row r="5392" spans="1:19" x14ac:dyDescent="0.35">
      <c r="A5392">
        <v>19169</v>
      </c>
      <c r="B5392" t="str">
        <f>"019169"</f>
        <v>019169</v>
      </c>
      <c r="C5392" t="s">
        <v>14519</v>
      </c>
      <c r="D5392" t="s">
        <v>3394</v>
      </c>
      <c r="E5392" t="s">
        <v>3395</v>
      </c>
      <c r="F5392" t="s">
        <v>3396</v>
      </c>
      <c r="G5392" t="s">
        <v>481</v>
      </c>
      <c r="H5392" t="s">
        <v>6872</v>
      </c>
      <c r="I5392" t="s">
        <v>6873</v>
      </c>
      <c r="J5392" t="s">
        <v>484</v>
      </c>
      <c r="K5392" t="s">
        <v>55</v>
      </c>
      <c r="L5392" t="s">
        <v>485</v>
      </c>
      <c r="M5392" t="s">
        <v>57</v>
      </c>
      <c r="N5392" t="str">
        <f>"045492"</f>
        <v>045492</v>
      </c>
      <c r="O5392" t="s">
        <v>3003</v>
      </c>
      <c r="P5392" t="s">
        <v>68</v>
      </c>
      <c r="Q5392" t="s">
        <v>68</v>
      </c>
      <c r="R5392" t="s">
        <v>68</v>
      </c>
      <c r="S5392" t="s">
        <v>69</v>
      </c>
    </row>
    <row r="5393" spans="1:19" x14ac:dyDescent="0.35">
      <c r="A5393">
        <v>19170</v>
      </c>
      <c r="B5393" t="str">
        <f>"019170"</f>
        <v>019170</v>
      </c>
      <c r="C5393" t="s">
        <v>14520</v>
      </c>
      <c r="D5393" t="s">
        <v>3394</v>
      </c>
      <c r="E5393" t="s">
        <v>3395</v>
      </c>
      <c r="F5393" t="s">
        <v>3396</v>
      </c>
      <c r="G5393" t="s">
        <v>200</v>
      </c>
      <c r="H5393" t="s">
        <v>8590</v>
      </c>
      <c r="I5393" t="s">
        <v>8591</v>
      </c>
      <c r="J5393" t="s">
        <v>203</v>
      </c>
      <c r="K5393" t="s">
        <v>55</v>
      </c>
      <c r="L5393" t="s">
        <v>204</v>
      </c>
      <c r="M5393" t="s">
        <v>57</v>
      </c>
      <c r="N5393" t="str">
        <f>"044875"</f>
        <v>044875</v>
      </c>
      <c r="O5393" t="s">
        <v>521</v>
      </c>
      <c r="P5393" t="s">
        <v>68</v>
      </c>
      <c r="Q5393" t="s">
        <v>68</v>
      </c>
      <c r="R5393" t="s">
        <v>68</v>
      </c>
      <c r="S5393" t="s">
        <v>156</v>
      </c>
    </row>
    <row r="5394" spans="1:19" x14ac:dyDescent="0.35">
      <c r="A5394">
        <v>19171</v>
      </c>
      <c r="B5394" t="str">
        <f>"019171"</f>
        <v>019171</v>
      </c>
      <c r="C5394" t="s">
        <v>14521</v>
      </c>
      <c r="D5394" t="s">
        <v>3394</v>
      </c>
      <c r="E5394" t="s">
        <v>3395</v>
      </c>
      <c r="F5394" t="s">
        <v>3396</v>
      </c>
      <c r="G5394" t="s">
        <v>169</v>
      </c>
      <c r="H5394" t="s">
        <v>5717</v>
      </c>
      <c r="I5394" t="s">
        <v>5718</v>
      </c>
      <c r="J5394" t="s">
        <v>172</v>
      </c>
      <c r="K5394" t="s">
        <v>55</v>
      </c>
      <c r="L5394" t="s">
        <v>173</v>
      </c>
      <c r="M5394" t="s">
        <v>57</v>
      </c>
      <c r="N5394" t="str">
        <f>"044990"</f>
        <v>044990</v>
      </c>
      <c r="O5394" t="s">
        <v>692</v>
      </c>
      <c r="P5394" t="s">
        <v>68</v>
      </c>
      <c r="Q5394" t="s">
        <v>68</v>
      </c>
      <c r="R5394" t="s">
        <v>68</v>
      </c>
      <c r="S5394" t="s">
        <v>77</v>
      </c>
    </row>
    <row r="5395" spans="1:19" x14ac:dyDescent="0.35">
      <c r="A5395">
        <v>19172</v>
      </c>
      <c r="B5395" t="str">
        <f>"019172"</f>
        <v>019172</v>
      </c>
      <c r="C5395" t="s">
        <v>14522</v>
      </c>
      <c r="D5395" t="s">
        <v>3394</v>
      </c>
      <c r="E5395" t="s">
        <v>3395</v>
      </c>
      <c r="F5395" t="s">
        <v>3396</v>
      </c>
      <c r="G5395" t="s">
        <v>1679</v>
      </c>
      <c r="H5395" t="s">
        <v>9445</v>
      </c>
      <c r="I5395" t="s">
        <v>9446</v>
      </c>
      <c r="J5395" t="s">
        <v>2968</v>
      </c>
      <c r="K5395" t="s">
        <v>55</v>
      </c>
      <c r="L5395" t="s">
        <v>2969</v>
      </c>
      <c r="M5395" t="s">
        <v>57</v>
      </c>
      <c r="N5395" t="str">
        <f>"069682"</f>
        <v>069682</v>
      </c>
      <c r="O5395" t="s">
        <v>2965</v>
      </c>
      <c r="P5395" t="s">
        <v>68</v>
      </c>
      <c r="Q5395" t="s">
        <v>68</v>
      </c>
      <c r="R5395" t="s">
        <v>68</v>
      </c>
      <c r="S5395" t="s">
        <v>130</v>
      </c>
    </row>
    <row r="5396" spans="1:19" x14ac:dyDescent="0.35">
      <c r="A5396">
        <v>19173</v>
      </c>
      <c r="B5396" t="str">
        <f>"019173"</f>
        <v>019173</v>
      </c>
      <c r="C5396" t="s">
        <v>14523</v>
      </c>
      <c r="D5396" t="s">
        <v>3394</v>
      </c>
      <c r="E5396" t="s">
        <v>3395</v>
      </c>
      <c r="F5396" t="s">
        <v>3396</v>
      </c>
      <c r="G5396" t="s">
        <v>175</v>
      </c>
      <c r="H5396" t="s">
        <v>2822</v>
      </c>
      <c r="I5396" t="s">
        <v>2823</v>
      </c>
      <c r="J5396" t="s">
        <v>2824</v>
      </c>
      <c r="K5396" t="s">
        <v>55</v>
      </c>
      <c r="L5396" t="s">
        <v>2825</v>
      </c>
      <c r="M5396" t="s">
        <v>57</v>
      </c>
      <c r="N5396" t="str">
        <f>"046680"</f>
        <v>046680</v>
      </c>
      <c r="O5396" t="s">
        <v>2821</v>
      </c>
      <c r="P5396" t="s">
        <v>68</v>
      </c>
      <c r="Q5396" t="s">
        <v>68</v>
      </c>
      <c r="R5396" t="s">
        <v>68</v>
      </c>
      <c r="S5396" t="s">
        <v>180</v>
      </c>
    </row>
    <row r="5397" spans="1:19" x14ac:dyDescent="0.35">
      <c r="A5397">
        <v>19175</v>
      </c>
      <c r="B5397" t="str">
        <f>"019175"</f>
        <v>019175</v>
      </c>
      <c r="C5397" t="s">
        <v>14524</v>
      </c>
      <c r="D5397" t="s">
        <v>3394</v>
      </c>
      <c r="E5397" t="s">
        <v>3395</v>
      </c>
      <c r="F5397" t="s">
        <v>3396</v>
      </c>
      <c r="G5397" t="s">
        <v>200</v>
      </c>
      <c r="H5397" t="s">
        <v>6130</v>
      </c>
      <c r="I5397" t="s">
        <v>6131</v>
      </c>
      <c r="J5397" t="s">
        <v>304</v>
      </c>
      <c r="K5397" t="s">
        <v>55</v>
      </c>
      <c r="L5397" t="s">
        <v>3170</v>
      </c>
      <c r="M5397" t="s">
        <v>57</v>
      </c>
      <c r="N5397" t="str">
        <f>"044909"</f>
        <v>044909</v>
      </c>
      <c r="O5397" t="s">
        <v>3318</v>
      </c>
      <c r="P5397" t="s">
        <v>68</v>
      </c>
      <c r="Q5397" t="s">
        <v>68</v>
      </c>
      <c r="R5397" t="s">
        <v>68</v>
      </c>
      <c r="S5397" t="s">
        <v>156</v>
      </c>
    </row>
    <row r="5398" spans="1:19" x14ac:dyDescent="0.35">
      <c r="A5398">
        <v>19176</v>
      </c>
      <c r="B5398" t="str">
        <f>"019176"</f>
        <v>019176</v>
      </c>
      <c r="C5398" t="s">
        <v>14525</v>
      </c>
      <c r="D5398" t="s">
        <v>3394</v>
      </c>
      <c r="E5398" t="s">
        <v>3395</v>
      </c>
      <c r="F5398" t="s">
        <v>3396</v>
      </c>
      <c r="G5398" t="s">
        <v>219</v>
      </c>
      <c r="H5398" t="s">
        <v>5572</v>
      </c>
      <c r="I5398" t="s">
        <v>5573</v>
      </c>
      <c r="J5398" t="s">
        <v>2582</v>
      </c>
      <c r="K5398" t="s">
        <v>55</v>
      </c>
      <c r="L5398" t="s">
        <v>2583</v>
      </c>
      <c r="M5398" t="s">
        <v>57</v>
      </c>
      <c r="N5398" t="str">
        <f>"049619"</f>
        <v>049619</v>
      </c>
      <c r="O5398" t="s">
        <v>2579</v>
      </c>
      <c r="P5398" t="s">
        <v>68</v>
      </c>
      <c r="Q5398" t="s">
        <v>68</v>
      </c>
      <c r="R5398" t="s">
        <v>68</v>
      </c>
      <c r="S5398" t="s">
        <v>130</v>
      </c>
    </row>
    <row r="5399" spans="1:19" x14ac:dyDescent="0.35">
      <c r="A5399">
        <v>19177</v>
      </c>
      <c r="B5399" t="str">
        <f>"019177"</f>
        <v>019177</v>
      </c>
      <c r="C5399" t="s">
        <v>14526</v>
      </c>
      <c r="D5399" t="s">
        <v>3394</v>
      </c>
      <c r="E5399" t="s">
        <v>3395</v>
      </c>
      <c r="F5399" t="s">
        <v>3396</v>
      </c>
      <c r="G5399" t="s">
        <v>383</v>
      </c>
      <c r="H5399" t="s">
        <v>14527</v>
      </c>
      <c r="I5399" t="s">
        <v>14528</v>
      </c>
      <c r="J5399" t="s">
        <v>120</v>
      </c>
      <c r="K5399" t="s">
        <v>55</v>
      </c>
      <c r="L5399" t="s">
        <v>121</v>
      </c>
      <c r="M5399" t="s">
        <v>57</v>
      </c>
      <c r="N5399" t="str">
        <f>"048389"</f>
        <v>048389</v>
      </c>
      <c r="O5399" t="s">
        <v>1978</v>
      </c>
      <c r="P5399" t="s">
        <v>68</v>
      </c>
      <c r="Q5399" t="s">
        <v>68</v>
      </c>
      <c r="R5399" t="s">
        <v>68</v>
      </c>
      <c r="S5399" t="s">
        <v>77</v>
      </c>
    </row>
    <row r="5400" spans="1:19" x14ac:dyDescent="0.35">
      <c r="A5400">
        <v>19192</v>
      </c>
      <c r="B5400" t="str">
        <f>"019192"</f>
        <v>019192</v>
      </c>
      <c r="C5400" t="s">
        <v>14529</v>
      </c>
      <c r="D5400" t="s">
        <v>3398</v>
      </c>
      <c r="E5400" t="s">
        <v>3395</v>
      </c>
      <c r="F5400" t="s">
        <v>3396</v>
      </c>
      <c r="G5400" t="s">
        <v>212</v>
      </c>
      <c r="H5400" t="s">
        <v>14530</v>
      </c>
      <c r="I5400" t="s">
        <v>14531</v>
      </c>
      <c r="J5400" t="s">
        <v>215</v>
      </c>
      <c r="K5400" t="s">
        <v>55</v>
      </c>
      <c r="L5400" t="s">
        <v>1693</v>
      </c>
      <c r="M5400" t="s">
        <v>57</v>
      </c>
      <c r="N5400" t="str">
        <f>"043752"</f>
        <v>043752</v>
      </c>
      <c r="O5400" t="s">
        <v>440</v>
      </c>
      <c r="P5400" t="s">
        <v>68</v>
      </c>
      <c r="Q5400">
        <v>56</v>
      </c>
      <c r="R5400">
        <v>76</v>
      </c>
      <c r="S5400" t="s">
        <v>217</v>
      </c>
    </row>
    <row r="5401" spans="1:19" x14ac:dyDescent="0.35">
      <c r="A5401">
        <v>19193</v>
      </c>
      <c r="B5401" t="str">
        <f>"019193"</f>
        <v>019193</v>
      </c>
      <c r="C5401" t="s">
        <v>14532</v>
      </c>
      <c r="D5401" t="s">
        <v>3394</v>
      </c>
      <c r="E5401" t="s">
        <v>3395</v>
      </c>
      <c r="F5401" t="s">
        <v>3396</v>
      </c>
      <c r="G5401" t="s">
        <v>212</v>
      </c>
      <c r="H5401" t="s">
        <v>14533</v>
      </c>
      <c r="I5401" t="s">
        <v>14534</v>
      </c>
      <c r="J5401" t="s">
        <v>215</v>
      </c>
      <c r="K5401" t="s">
        <v>55</v>
      </c>
      <c r="L5401" t="s">
        <v>3974</v>
      </c>
      <c r="M5401" t="s">
        <v>57</v>
      </c>
      <c r="N5401" t="str">
        <f>"043752"</f>
        <v>043752</v>
      </c>
      <c r="O5401" t="s">
        <v>440</v>
      </c>
      <c r="P5401" t="s">
        <v>68</v>
      </c>
      <c r="Q5401" t="s">
        <v>68</v>
      </c>
      <c r="R5401" t="s">
        <v>68</v>
      </c>
      <c r="S5401" t="s">
        <v>217</v>
      </c>
    </row>
    <row r="5402" spans="1:19" x14ac:dyDescent="0.35">
      <c r="A5402">
        <v>19235</v>
      </c>
      <c r="B5402" t="str">
        <f>"019235"</f>
        <v>019235</v>
      </c>
      <c r="C5402" t="s">
        <v>14535</v>
      </c>
      <c r="D5402" t="s">
        <v>3394</v>
      </c>
      <c r="E5402" t="s">
        <v>12048</v>
      </c>
      <c r="F5402" t="s">
        <v>3396</v>
      </c>
      <c r="G5402" t="s">
        <v>600</v>
      </c>
      <c r="H5402" t="s">
        <v>12468</v>
      </c>
      <c r="I5402" t="s">
        <v>12469</v>
      </c>
      <c r="J5402" t="s">
        <v>1348</v>
      </c>
      <c r="K5402" t="s">
        <v>55</v>
      </c>
      <c r="L5402" t="s">
        <v>3462</v>
      </c>
      <c r="M5402" t="s">
        <v>57</v>
      </c>
      <c r="N5402" t="str">
        <f>"019254"</f>
        <v>019254</v>
      </c>
      <c r="O5402" t="s">
        <v>12470</v>
      </c>
      <c r="P5402" t="s">
        <v>68</v>
      </c>
      <c r="Q5402">
        <v>100</v>
      </c>
      <c r="R5402">
        <v>100</v>
      </c>
      <c r="S5402" t="s">
        <v>60</v>
      </c>
    </row>
    <row r="5403" spans="1:19" x14ac:dyDescent="0.35">
      <c r="A5403">
        <v>19235</v>
      </c>
      <c r="B5403" t="str">
        <f>"019235"</f>
        <v>019235</v>
      </c>
      <c r="C5403" t="s">
        <v>14535</v>
      </c>
      <c r="D5403" t="s">
        <v>12052</v>
      </c>
      <c r="E5403" t="s">
        <v>12048</v>
      </c>
      <c r="F5403" t="s">
        <v>3396</v>
      </c>
      <c r="G5403" t="s">
        <v>600</v>
      </c>
      <c r="H5403" t="s">
        <v>12468</v>
      </c>
      <c r="I5403" t="s">
        <v>12469</v>
      </c>
      <c r="J5403" t="s">
        <v>1348</v>
      </c>
      <c r="K5403" t="s">
        <v>55</v>
      </c>
      <c r="L5403" t="s">
        <v>3462</v>
      </c>
      <c r="M5403" t="s">
        <v>57</v>
      </c>
      <c r="N5403" t="str">
        <f>"019254"</f>
        <v>019254</v>
      </c>
      <c r="O5403" t="s">
        <v>12470</v>
      </c>
      <c r="P5403" t="s">
        <v>68</v>
      </c>
      <c r="Q5403">
        <v>100</v>
      </c>
      <c r="R5403">
        <v>100</v>
      </c>
      <c r="S5403" t="s">
        <v>60</v>
      </c>
    </row>
    <row r="5404" spans="1:19" x14ac:dyDescent="0.35">
      <c r="A5404">
        <v>19201</v>
      </c>
      <c r="B5404" t="str">
        <f>"019201"</f>
        <v>019201</v>
      </c>
      <c r="C5404" t="s">
        <v>14536</v>
      </c>
      <c r="D5404" t="s">
        <v>3398</v>
      </c>
      <c r="E5404" t="s">
        <v>12048</v>
      </c>
      <c r="F5404" t="s">
        <v>3396</v>
      </c>
      <c r="G5404" t="s">
        <v>600</v>
      </c>
      <c r="H5404" t="s">
        <v>14537</v>
      </c>
      <c r="I5404" t="s">
        <v>14538</v>
      </c>
      <c r="J5404" t="s">
        <v>1348</v>
      </c>
      <c r="K5404" t="s">
        <v>55</v>
      </c>
      <c r="L5404" t="s">
        <v>3637</v>
      </c>
      <c r="M5404" t="s">
        <v>57</v>
      </c>
      <c r="N5404" t="str">
        <f>"017297"</f>
        <v>017297</v>
      </c>
      <c r="O5404" t="s">
        <v>12062</v>
      </c>
      <c r="P5404" t="s">
        <v>68</v>
      </c>
      <c r="Q5404">
        <v>100</v>
      </c>
      <c r="R5404">
        <v>61.8</v>
      </c>
      <c r="S5404" t="s">
        <v>60</v>
      </c>
    </row>
    <row r="5405" spans="1:19" x14ac:dyDescent="0.35">
      <c r="A5405">
        <v>19201</v>
      </c>
      <c r="B5405" t="str">
        <f>"019201"</f>
        <v>019201</v>
      </c>
      <c r="C5405" t="s">
        <v>14536</v>
      </c>
      <c r="D5405" t="s">
        <v>12052</v>
      </c>
      <c r="E5405" t="s">
        <v>12048</v>
      </c>
      <c r="F5405" t="s">
        <v>3396</v>
      </c>
      <c r="G5405" t="s">
        <v>600</v>
      </c>
      <c r="H5405" t="s">
        <v>14537</v>
      </c>
      <c r="I5405" t="s">
        <v>14538</v>
      </c>
      <c r="J5405" t="s">
        <v>1348</v>
      </c>
      <c r="K5405" t="s">
        <v>55</v>
      </c>
      <c r="L5405" t="s">
        <v>3637</v>
      </c>
      <c r="M5405" t="s">
        <v>57</v>
      </c>
      <c r="N5405" t="str">
        <f>"017297"</f>
        <v>017297</v>
      </c>
      <c r="O5405" t="s">
        <v>12062</v>
      </c>
      <c r="P5405" t="s">
        <v>68</v>
      </c>
      <c r="Q5405">
        <v>100</v>
      </c>
      <c r="R5405">
        <v>61.8</v>
      </c>
      <c r="S5405" t="s">
        <v>60</v>
      </c>
    </row>
    <row r="5406" spans="1:19" x14ac:dyDescent="0.35">
      <c r="A5406">
        <v>19201</v>
      </c>
      <c r="B5406" t="str">
        <f>"019201"</f>
        <v>019201</v>
      </c>
      <c r="C5406" t="s">
        <v>14536</v>
      </c>
      <c r="D5406" t="s">
        <v>12063</v>
      </c>
      <c r="E5406" t="s">
        <v>12048</v>
      </c>
      <c r="F5406" t="s">
        <v>3396</v>
      </c>
      <c r="G5406" t="s">
        <v>600</v>
      </c>
      <c r="H5406" t="s">
        <v>14537</v>
      </c>
      <c r="I5406" t="s">
        <v>14538</v>
      </c>
      <c r="J5406" t="s">
        <v>1348</v>
      </c>
      <c r="K5406" t="s">
        <v>55</v>
      </c>
      <c r="L5406" t="s">
        <v>3637</v>
      </c>
      <c r="M5406" t="s">
        <v>57</v>
      </c>
      <c r="N5406" t="str">
        <f>"017297"</f>
        <v>017297</v>
      </c>
      <c r="O5406" t="s">
        <v>12062</v>
      </c>
      <c r="P5406" t="s">
        <v>68</v>
      </c>
      <c r="Q5406">
        <v>100</v>
      </c>
      <c r="R5406">
        <v>61.8</v>
      </c>
      <c r="S5406" t="s">
        <v>60</v>
      </c>
    </row>
    <row r="5407" spans="1:19" x14ac:dyDescent="0.35">
      <c r="A5407">
        <v>19199</v>
      </c>
      <c r="B5407" t="str">
        <f>"019199"</f>
        <v>019199</v>
      </c>
      <c r="C5407" t="s">
        <v>14539</v>
      </c>
      <c r="D5407" t="s">
        <v>3400</v>
      </c>
      <c r="E5407" t="s">
        <v>12048</v>
      </c>
      <c r="F5407" t="s">
        <v>3396</v>
      </c>
      <c r="G5407" t="s">
        <v>600</v>
      </c>
      <c r="H5407" t="s">
        <v>14540</v>
      </c>
      <c r="I5407" t="s">
        <v>14541</v>
      </c>
      <c r="J5407" t="s">
        <v>1348</v>
      </c>
      <c r="K5407" t="s">
        <v>55</v>
      </c>
      <c r="L5407" t="s">
        <v>5209</v>
      </c>
      <c r="M5407" t="s">
        <v>57</v>
      </c>
      <c r="N5407" t="str">
        <f t="shared" ref="N5407:N5412" si="32">"017100"</f>
        <v>017100</v>
      </c>
      <c r="O5407" t="s">
        <v>13912</v>
      </c>
      <c r="P5407" t="s">
        <v>68</v>
      </c>
      <c r="Q5407">
        <v>99.5</v>
      </c>
      <c r="R5407">
        <v>75.400000000000006</v>
      </c>
      <c r="S5407" t="s">
        <v>60</v>
      </c>
    </row>
    <row r="5408" spans="1:19" x14ac:dyDescent="0.35">
      <c r="A5408">
        <v>19199</v>
      </c>
      <c r="B5408" t="str">
        <f>"019199"</f>
        <v>019199</v>
      </c>
      <c r="C5408" t="s">
        <v>14539</v>
      </c>
      <c r="D5408" t="s">
        <v>12052</v>
      </c>
      <c r="E5408" t="s">
        <v>12048</v>
      </c>
      <c r="F5408" t="s">
        <v>3396</v>
      </c>
      <c r="G5408" t="s">
        <v>600</v>
      </c>
      <c r="H5408" t="s">
        <v>14540</v>
      </c>
      <c r="I5408" t="s">
        <v>14541</v>
      </c>
      <c r="J5408" t="s">
        <v>1348</v>
      </c>
      <c r="K5408" t="s">
        <v>55</v>
      </c>
      <c r="L5408" t="s">
        <v>5209</v>
      </c>
      <c r="M5408" t="s">
        <v>57</v>
      </c>
      <c r="N5408" t="str">
        <f t="shared" si="32"/>
        <v>017100</v>
      </c>
      <c r="O5408" t="s">
        <v>13912</v>
      </c>
      <c r="P5408" t="s">
        <v>68</v>
      </c>
      <c r="Q5408">
        <v>99.5</v>
      </c>
      <c r="R5408">
        <v>75.400000000000006</v>
      </c>
      <c r="S5408" t="s">
        <v>60</v>
      </c>
    </row>
    <row r="5409" spans="1:19" x14ac:dyDescent="0.35">
      <c r="A5409">
        <v>19199</v>
      </c>
      <c r="B5409" t="str">
        <f>"019199"</f>
        <v>019199</v>
      </c>
      <c r="C5409" t="s">
        <v>14539</v>
      </c>
      <c r="D5409" t="s">
        <v>4572</v>
      </c>
      <c r="E5409" t="s">
        <v>12048</v>
      </c>
      <c r="F5409" t="s">
        <v>3396</v>
      </c>
      <c r="G5409" t="s">
        <v>600</v>
      </c>
      <c r="H5409" t="s">
        <v>14540</v>
      </c>
      <c r="I5409" t="s">
        <v>14541</v>
      </c>
      <c r="J5409" t="s">
        <v>1348</v>
      </c>
      <c r="K5409" t="s">
        <v>55</v>
      </c>
      <c r="L5409" t="s">
        <v>5209</v>
      </c>
      <c r="M5409" t="s">
        <v>57</v>
      </c>
      <c r="N5409" t="str">
        <f t="shared" si="32"/>
        <v>017100</v>
      </c>
      <c r="O5409" t="s">
        <v>13912</v>
      </c>
      <c r="P5409" t="s">
        <v>68</v>
      </c>
      <c r="Q5409">
        <v>99.5</v>
      </c>
      <c r="R5409">
        <v>75.400000000000006</v>
      </c>
      <c r="S5409" t="s">
        <v>60</v>
      </c>
    </row>
    <row r="5410" spans="1:19" x14ac:dyDescent="0.35">
      <c r="A5410">
        <v>19200</v>
      </c>
      <c r="B5410" t="str">
        <f>"019200"</f>
        <v>019200</v>
      </c>
      <c r="C5410" t="s">
        <v>14542</v>
      </c>
      <c r="D5410" t="s">
        <v>3400</v>
      </c>
      <c r="E5410" t="s">
        <v>12048</v>
      </c>
      <c r="F5410" t="s">
        <v>3396</v>
      </c>
      <c r="G5410" t="s">
        <v>600</v>
      </c>
      <c r="H5410" t="s">
        <v>14543</v>
      </c>
      <c r="I5410" t="s">
        <v>14544</v>
      </c>
      <c r="J5410" t="s">
        <v>1348</v>
      </c>
      <c r="K5410" t="s">
        <v>55</v>
      </c>
      <c r="L5410" t="s">
        <v>2733</v>
      </c>
      <c r="M5410" t="s">
        <v>57</v>
      </c>
      <c r="N5410" t="str">
        <f t="shared" si="32"/>
        <v>017100</v>
      </c>
      <c r="O5410" t="s">
        <v>13912</v>
      </c>
      <c r="P5410" t="s">
        <v>68</v>
      </c>
      <c r="Q5410">
        <v>99.3</v>
      </c>
      <c r="R5410">
        <v>81</v>
      </c>
      <c r="S5410" t="s">
        <v>60</v>
      </c>
    </row>
    <row r="5411" spans="1:19" x14ac:dyDescent="0.35">
      <c r="A5411">
        <v>19200</v>
      </c>
      <c r="B5411" t="str">
        <f>"019200"</f>
        <v>019200</v>
      </c>
      <c r="C5411" t="s">
        <v>14542</v>
      </c>
      <c r="D5411" t="s">
        <v>12052</v>
      </c>
      <c r="E5411" t="s">
        <v>12048</v>
      </c>
      <c r="F5411" t="s">
        <v>3396</v>
      </c>
      <c r="G5411" t="s">
        <v>600</v>
      </c>
      <c r="H5411" t="s">
        <v>14543</v>
      </c>
      <c r="I5411" t="s">
        <v>14544</v>
      </c>
      <c r="J5411" t="s">
        <v>1348</v>
      </c>
      <c r="K5411" t="s">
        <v>55</v>
      </c>
      <c r="L5411" t="s">
        <v>2733</v>
      </c>
      <c r="M5411" t="s">
        <v>57</v>
      </c>
      <c r="N5411" t="str">
        <f t="shared" si="32"/>
        <v>017100</v>
      </c>
      <c r="O5411" t="s">
        <v>13912</v>
      </c>
      <c r="P5411" t="s">
        <v>68</v>
      </c>
      <c r="Q5411">
        <v>99.3</v>
      </c>
      <c r="R5411">
        <v>81</v>
      </c>
      <c r="S5411" t="s">
        <v>60</v>
      </c>
    </row>
    <row r="5412" spans="1:19" x14ac:dyDescent="0.35">
      <c r="A5412">
        <v>19200</v>
      </c>
      <c r="B5412" t="str">
        <f>"019200"</f>
        <v>019200</v>
      </c>
      <c r="C5412" t="s">
        <v>14542</v>
      </c>
      <c r="D5412" t="s">
        <v>4572</v>
      </c>
      <c r="E5412" t="s">
        <v>12048</v>
      </c>
      <c r="F5412" t="s">
        <v>3396</v>
      </c>
      <c r="G5412" t="s">
        <v>600</v>
      </c>
      <c r="H5412" t="s">
        <v>14543</v>
      </c>
      <c r="I5412" t="s">
        <v>14544</v>
      </c>
      <c r="J5412" t="s">
        <v>1348</v>
      </c>
      <c r="K5412" t="s">
        <v>55</v>
      </c>
      <c r="L5412" t="s">
        <v>2733</v>
      </c>
      <c r="M5412" t="s">
        <v>57</v>
      </c>
      <c r="N5412" t="str">
        <f t="shared" si="32"/>
        <v>017100</v>
      </c>
      <c r="O5412" t="s">
        <v>13912</v>
      </c>
      <c r="P5412" t="s">
        <v>68</v>
      </c>
      <c r="Q5412">
        <v>99.3</v>
      </c>
      <c r="R5412">
        <v>81</v>
      </c>
      <c r="S5412" t="s">
        <v>60</v>
      </c>
    </row>
    <row r="5413" spans="1:19" x14ac:dyDescent="0.35">
      <c r="A5413">
        <v>19221</v>
      </c>
      <c r="B5413" t="str">
        <f>"019221"</f>
        <v>019221</v>
      </c>
      <c r="C5413" t="s">
        <v>14545</v>
      </c>
      <c r="D5413" t="s">
        <v>3400</v>
      </c>
      <c r="E5413" t="s">
        <v>12048</v>
      </c>
      <c r="F5413" t="s">
        <v>3396</v>
      </c>
      <c r="G5413" t="s">
        <v>264</v>
      </c>
      <c r="H5413" t="s">
        <v>14546</v>
      </c>
      <c r="I5413" t="s">
        <v>14547</v>
      </c>
      <c r="J5413" t="s">
        <v>267</v>
      </c>
      <c r="K5413" t="s">
        <v>55</v>
      </c>
      <c r="L5413" t="s">
        <v>5503</v>
      </c>
      <c r="M5413" t="s">
        <v>57</v>
      </c>
      <c r="N5413" t="str">
        <f>"017091"</f>
        <v>017091</v>
      </c>
      <c r="O5413" t="s">
        <v>13922</v>
      </c>
      <c r="P5413" t="s">
        <v>68</v>
      </c>
      <c r="Q5413">
        <v>99.6</v>
      </c>
      <c r="R5413">
        <v>92.2</v>
      </c>
      <c r="S5413" t="s">
        <v>77</v>
      </c>
    </row>
    <row r="5414" spans="1:19" x14ac:dyDescent="0.35">
      <c r="A5414">
        <v>19221</v>
      </c>
      <c r="B5414" t="str">
        <f>"019221"</f>
        <v>019221</v>
      </c>
      <c r="C5414" t="s">
        <v>14545</v>
      </c>
      <c r="D5414" t="s">
        <v>12052</v>
      </c>
      <c r="E5414" t="s">
        <v>12048</v>
      </c>
      <c r="F5414" t="s">
        <v>3396</v>
      </c>
      <c r="G5414" t="s">
        <v>264</v>
      </c>
      <c r="H5414" t="s">
        <v>14546</v>
      </c>
      <c r="I5414" t="s">
        <v>14547</v>
      </c>
      <c r="J5414" t="s">
        <v>267</v>
      </c>
      <c r="K5414" t="s">
        <v>55</v>
      </c>
      <c r="L5414" t="s">
        <v>5503</v>
      </c>
      <c r="M5414" t="s">
        <v>57</v>
      </c>
      <c r="N5414" t="str">
        <f>"017091"</f>
        <v>017091</v>
      </c>
      <c r="O5414" t="s">
        <v>13922</v>
      </c>
      <c r="P5414" t="s">
        <v>68</v>
      </c>
      <c r="Q5414">
        <v>99.6</v>
      </c>
      <c r="R5414">
        <v>92.2</v>
      </c>
      <c r="S5414" t="s">
        <v>77</v>
      </c>
    </row>
    <row r="5415" spans="1:19" x14ac:dyDescent="0.35">
      <c r="A5415">
        <v>19221</v>
      </c>
      <c r="B5415" t="str">
        <f>"019221"</f>
        <v>019221</v>
      </c>
      <c r="C5415" t="s">
        <v>14545</v>
      </c>
      <c r="D5415" t="s">
        <v>4572</v>
      </c>
      <c r="E5415" t="s">
        <v>12048</v>
      </c>
      <c r="F5415" t="s">
        <v>3396</v>
      </c>
      <c r="G5415" t="s">
        <v>264</v>
      </c>
      <c r="H5415" t="s">
        <v>14546</v>
      </c>
      <c r="I5415" t="s">
        <v>14547</v>
      </c>
      <c r="J5415" t="s">
        <v>267</v>
      </c>
      <c r="K5415" t="s">
        <v>55</v>
      </c>
      <c r="L5415" t="s">
        <v>5503</v>
      </c>
      <c r="M5415" t="s">
        <v>57</v>
      </c>
      <c r="N5415" t="str">
        <f>"017091"</f>
        <v>017091</v>
      </c>
      <c r="O5415" t="s">
        <v>13922</v>
      </c>
      <c r="P5415" t="s">
        <v>68</v>
      </c>
      <c r="Q5415">
        <v>99.6</v>
      </c>
      <c r="R5415">
        <v>92.2</v>
      </c>
      <c r="S5415" t="s">
        <v>77</v>
      </c>
    </row>
    <row r="5416" spans="1:19" x14ac:dyDescent="0.35">
      <c r="A5416">
        <v>19226</v>
      </c>
      <c r="B5416" t="str">
        <f>"019226"</f>
        <v>019226</v>
      </c>
      <c r="C5416" t="s">
        <v>14548</v>
      </c>
      <c r="D5416" t="s">
        <v>3398</v>
      </c>
      <c r="E5416" t="s">
        <v>12048</v>
      </c>
      <c r="F5416" t="s">
        <v>3396</v>
      </c>
      <c r="G5416" t="s">
        <v>600</v>
      </c>
      <c r="H5416" t="s">
        <v>14549</v>
      </c>
      <c r="I5416" t="s">
        <v>14550</v>
      </c>
      <c r="J5416" t="s">
        <v>1348</v>
      </c>
      <c r="K5416" t="s">
        <v>55</v>
      </c>
      <c r="L5416" t="s">
        <v>3637</v>
      </c>
      <c r="M5416" t="s">
        <v>57</v>
      </c>
      <c r="N5416" t="str">
        <f>"N/A"</f>
        <v>N/A</v>
      </c>
      <c r="O5416" t="s">
        <v>49</v>
      </c>
      <c r="P5416" t="s">
        <v>68</v>
      </c>
      <c r="Q5416">
        <v>96.4</v>
      </c>
      <c r="R5416">
        <v>66.400000000000006</v>
      </c>
      <c r="S5416" t="s">
        <v>60</v>
      </c>
    </row>
    <row r="5417" spans="1:19" x14ac:dyDescent="0.35">
      <c r="A5417">
        <v>19226</v>
      </c>
      <c r="B5417" t="str">
        <f>"019226"</f>
        <v>019226</v>
      </c>
      <c r="C5417" t="s">
        <v>14548</v>
      </c>
      <c r="D5417" t="s">
        <v>12471</v>
      </c>
      <c r="E5417" t="s">
        <v>12048</v>
      </c>
      <c r="F5417" t="s">
        <v>3396</v>
      </c>
      <c r="G5417" t="s">
        <v>600</v>
      </c>
      <c r="H5417" t="s">
        <v>14549</v>
      </c>
      <c r="I5417" t="s">
        <v>14550</v>
      </c>
      <c r="J5417" t="s">
        <v>1348</v>
      </c>
      <c r="K5417" t="s">
        <v>55</v>
      </c>
      <c r="L5417" t="s">
        <v>3637</v>
      </c>
      <c r="M5417" t="s">
        <v>57</v>
      </c>
      <c r="N5417" t="str">
        <f>"N/A"</f>
        <v>N/A</v>
      </c>
      <c r="O5417" t="s">
        <v>49</v>
      </c>
      <c r="P5417" t="s">
        <v>68</v>
      </c>
      <c r="Q5417">
        <v>96.4</v>
      </c>
      <c r="R5417">
        <v>66.400000000000006</v>
      </c>
      <c r="S5417" t="s">
        <v>60</v>
      </c>
    </row>
    <row r="5418" spans="1:19" x14ac:dyDescent="0.35">
      <c r="A5418">
        <v>19226</v>
      </c>
      <c r="B5418" t="str">
        <f>"019226"</f>
        <v>019226</v>
      </c>
      <c r="C5418" t="s">
        <v>14548</v>
      </c>
      <c r="D5418" t="s">
        <v>12063</v>
      </c>
      <c r="E5418" t="s">
        <v>12048</v>
      </c>
      <c r="F5418" t="s">
        <v>3396</v>
      </c>
      <c r="G5418" t="s">
        <v>600</v>
      </c>
      <c r="H5418" t="s">
        <v>14549</v>
      </c>
      <c r="I5418" t="s">
        <v>14550</v>
      </c>
      <c r="J5418" t="s">
        <v>1348</v>
      </c>
      <c r="K5418" t="s">
        <v>55</v>
      </c>
      <c r="L5418" t="s">
        <v>3637</v>
      </c>
      <c r="M5418" t="s">
        <v>57</v>
      </c>
      <c r="N5418" t="str">
        <f>"N/A"</f>
        <v>N/A</v>
      </c>
      <c r="O5418" t="s">
        <v>49</v>
      </c>
      <c r="P5418" t="s">
        <v>68</v>
      </c>
      <c r="Q5418">
        <v>96.4</v>
      </c>
      <c r="R5418">
        <v>66.400000000000006</v>
      </c>
      <c r="S5418" t="s">
        <v>60</v>
      </c>
    </row>
    <row r="5419" spans="1:19" x14ac:dyDescent="0.35">
      <c r="A5419">
        <v>19197</v>
      </c>
      <c r="B5419" t="str">
        <f>"019197"</f>
        <v>019197</v>
      </c>
      <c r="C5419" t="s">
        <v>14551</v>
      </c>
      <c r="D5419" t="s">
        <v>3398</v>
      </c>
      <c r="E5419" t="s">
        <v>12048</v>
      </c>
      <c r="F5419" t="s">
        <v>3396</v>
      </c>
      <c r="G5419" t="s">
        <v>63</v>
      </c>
      <c r="H5419" t="s">
        <v>14552</v>
      </c>
      <c r="I5419" t="s">
        <v>14553</v>
      </c>
      <c r="J5419" t="s">
        <v>2290</v>
      </c>
      <c r="K5419" t="s">
        <v>55</v>
      </c>
      <c r="L5419" t="s">
        <v>2291</v>
      </c>
      <c r="M5419" t="s">
        <v>57</v>
      </c>
      <c r="N5419" t="str">
        <f>"016462"</f>
        <v>016462</v>
      </c>
      <c r="O5419" t="s">
        <v>14105</v>
      </c>
      <c r="P5419" t="s">
        <v>68</v>
      </c>
      <c r="Q5419">
        <v>100</v>
      </c>
      <c r="R5419">
        <v>100</v>
      </c>
      <c r="S5419" t="s">
        <v>69</v>
      </c>
    </row>
    <row r="5420" spans="1:19" x14ac:dyDescent="0.35">
      <c r="A5420">
        <v>19197</v>
      </c>
      <c r="B5420" t="str">
        <f>"019197"</f>
        <v>019197</v>
      </c>
      <c r="C5420" t="s">
        <v>14551</v>
      </c>
      <c r="D5420" t="s">
        <v>12052</v>
      </c>
      <c r="E5420" t="s">
        <v>12048</v>
      </c>
      <c r="F5420" t="s">
        <v>3396</v>
      </c>
      <c r="G5420" t="s">
        <v>63</v>
      </c>
      <c r="H5420" t="s">
        <v>14552</v>
      </c>
      <c r="I5420" t="s">
        <v>14553</v>
      </c>
      <c r="J5420" t="s">
        <v>2290</v>
      </c>
      <c r="K5420" t="s">
        <v>55</v>
      </c>
      <c r="L5420" t="s">
        <v>2291</v>
      </c>
      <c r="M5420" t="s">
        <v>57</v>
      </c>
      <c r="N5420" t="str">
        <f>"016462"</f>
        <v>016462</v>
      </c>
      <c r="O5420" t="s">
        <v>14105</v>
      </c>
      <c r="P5420" t="s">
        <v>68</v>
      </c>
      <c r="Q5420">
        <v>100</v>
      </c>
      <c r="R5420">
        <v>100</v>
      </c>
      <c r="S5420" t="s">
        <v>69</v>
      </c>
    </row>
    <row r="5421" spans="1:19" x14ac:dyDescent="0.35">
      <c r="A5421">
        <v>19197</v>
      </c>
      <c r="B5421" t="str">
        <f>"019197"</f>
        <v>019197</v>
      </c>
      <c r="C5421" t="s">
        <v>14551</v>
      </c>
      <c r="D5421" t="s">
        <v>12063</v>
      </c>
      <c r="E5421" t="s">
        <v>12048</v>
      </c>
      <c r="F5421" t="s">
        <v>3396</v>
      </c>
      <c r="G5421" t="s">
        <v>63</v>
      </c>
      <c r="H5421" t="s">
        <v>14552</v>
      </c>
      <c r="I5421" t="s">
        <v>14553</v>
      </c>
      <c r="J5421" t="s">
        <v>2290</v>
      </c>
      <c r="K5421" t="s">
        <v>55</v>
      </c>
      <c r="L5421" t="s">
        <v>2291</v>
      </c>
      <c r="M5421" t="s">
        <v>57</v>
      </c>
      <c r="N5421" t="str">
        <f>"016462"</f>
        <v>016462</v>
      </c>
      <c r="O5421" t="s">
        <v>14105</v>
      </c>
      <c r="P5421" t="s">
        <v>68</v>
      </c>
      <c r="Q5421">
        <v>100</v>
      </c>
      <c r="R5421">
        <v>100</v>
      </c>
      <c r="S5421" t="s">
        <v>69</v>
      </c>
    </row>
    <row r="5422" spans="1:19" x14ac:dyDescent="0.35">
      <c r="A5422">
        <v>19220</v>
      </c>
      <c r="B5422" t="str">
        <f>"019220"</f>
        <v>019220</v>
      </c>
      <c r="C5422" t="s">
        <v>14554</v>
      </c>
      <c r="D5422" t="s">
        <v>3398</v>
      </c>
      <c r="E5422" t="s">
        <v>12048</v>
      </c>
      <c r="F5422" t="s">
        <v>3396</v>
      </c>
      <c r="G5422" t="s">
        <v>63</v>
      </c>
      <c r="H5422" t="s">
        <v>14555</v>
      </c>
      <c r="I5422" t="s">
        <v>14556</v>
      </c>
      <c r="J5422" t="s">
        <v>2834</v>
      </c>
      <c r="K5422" t="s">
        <v>55</v>
      </c>
      <c r="L5422" t="s">
        <v>508</v>
      </c>
      <c r="M5422" t="s">
        <v>57</v>
      </c>
      <c r="N5422" t="str">
        <f>"017390"</f>
        <v>017390</v>
      </c>
      <c r="O5422" t="s">
        <v>14557</v>
      </c>
      <c r="P5422" t="s">
        <v>68</v>
      </c>
      <c r="Q5422">
        <v>93.2</v>
      </c>
      <c r="R5422">
        <v>90.8</v>
      </c>
      <c r="S5422" t="s">
        <v>69</v>
      </c>
    </row>
    <row r="5423" spans="1:19" x14ac:dyDescent="0.35">
      <c r="A5423">
        <v>19220</v>
      </c>
      <c r="B5423" t="str">
        <f>"019220"</f>
        <v>019220</v>
      </c>
      <c r="C5423" t="s">
        <v>14554</v>
      </c>
      <c r="D5423" t="s">
        <v>12052</v>
      </c>
      <c r="E5423" t="s">
        <v>12048</v>
      </c>
      <c r="F5423" t="s">
        <v>3396</v>
      </c>
      <c r="G5423" t="s">
        <v>63</v>
      </c>
      <c r="H5423" t="s">
        <v>14555</v>
      </c>
      <c r="I5423" t="s">
        <v>14556</v>
      </c>
      <c r="J5423" t="s">
        <v>2834</v>
      </c>
      <c r="K5423" t="s">
        <v>55</v>
      </c>
      <c r="L5423" t="s">
        <v>508</v>
      </c>
      <c r="M5423" t="s">
        <v>57</v>
      </c>
      <c r="N5423" t="str">
        <f>"017390"</f>
        <v>017390</v>
      </c>
      <c r="O5423" t="s">
        <v>14557</v>
      </c>
      <c r="P5423" t="s">
        <v>68</v>
      </c>
      <c r="Q5423">
        <v>93.2</v>
      </c>
      <c r="R5423">
        <v>90.8</v>
      </c>
      <c r="S5423" t="s">
        <v>69</v>
      </c>
    </row>
    <row r="5424" spans="1:19" x14ac:dyDescent="0.35">
      <c r="A5424">
        <v>19220</v>
      </c>
      <c r="B5424" t="str">
        <f>"019220"</f>
        <v>019220</v>
      </c>
      <c r="C5424" t="s">
        <v>14554</v>
      </c>
      <c r="D5424" t="s">
        <v>12063</v>
      </c>
      <c r="E5424" t="s">
        <v>12048</v>
      </c>
      <c r="F5424" t="s">
        <v>3396</v>
      </c>
      <c r="G5424" t="s">
        <v>63</v>
      </c>
      <c r="H5424" t="s">
        <v>14555</v>
      </c>
      <c r="I5424" t="s">
        <v>14556</v>
      </c>
      <c r="J5424" t="s">
        <v>2834</v>
      </c>
      <c r="K5424" t="s">
        <v>55</v>
      </c>
      <c r="L5424" t="s">
        <v>508</v>
      </c>
      <c r="M5424" t="s">
        <v>57</v>
      </c>
      <c r="N5424" t="str">
        <f>"017390"</f>
        <v>017390</v>
      </c>
      <c r="O5424" t="s">
        <v>14557</v>
      </c>
      <c r="P5424" t="s">
        <v>68</v>
      </c>
      <c r="Q5424">
        <v>93.2</v>
      </c>
      <c r="R5424">
        <v>90.8</v>
      </c>
      <c r="S5424" t="s">
        <v>69</v>
      </c>
    </row>
    <row r="5425" spans="1:19" x14ac:dyDescent="0.35">
      <c r="A5425">
        <v>19223</v>
      </c>
      <c r="B5425" t="str">
        <f>"019223"</f>
        <v>019223</v>
      </c>
      <c r="C5425" t="s">
        <v>14558</v>
      </c>
      <c r="D5425" t="s">
        <v>3394</v>
      </c>
      <c r="E5425" t="s">
        <v>3395</v>
      </c>
      <c r="F5425" t="s">
        <v>3396</v>
      </c>
      <c r="G5425" t="s">
        <v>117</v>
      </c>
      <c r="H5425" t="s">
        <v>14559</v>
      </c>
      <c r="I5425" t="s">
        <v>14560</v>
      </c>
      <c r="J5425" t="s">
        <v>3145</v>
      </c>
      <c r="K5425" t="s">
        <v>55</v>
      </c>
      <c r="L5425" t="s">
        <v>3146</v>
      </c>
      <c r="M5425" t="s">
        <v>57</v>
      </c>
      <c r="N5425" t="str">
        <f>"049882"</f>
        <v>049882</v>
      </c>
      <c r="O5425" t="s">
        <v>116</v>
      </c>
      <c r="P5425" t="s">
        <v>68</v>
      </c>
      <c r="Q5425">
        <v>26.6</v>
      </c>
      <c r="R5425">
        <v>7.2000000000000028</v>
      </c>
      <c r="S5425" t="s">
        <v>77</v>
      </c>
    </row>
    <row r="5426" spans="1:19" x14ac:dyDescent="0.35">
      <c r="A5426">
        <v>19227</v>
      </c>
      <c r="B5426" t="str">
        <f>"019227"</f>
        <v>019227</v>
      </c>
      <c r="C5426" t="s">
        <v>14561</v>
      </c>
      <c r="D5426" t="s">
        <v>3400</v>
      </c>
      <c r="E5426" t="s">
        <v>12048</v>
      </c>
      <c r="F5426" t="s">
        <v>3396</v>
      </c>
      <c r="G5426" t="s">
        <v>212</v>
      </c>
      <c r="H5426" t="s">
        <v>14562</v>
      </c>
      <c r="I5426" t="s">
        <v>14563</v>
      </c>
      <c r="J5426" t="s">
        <v>215</v>
      </c>
      <c r="K5426" t="s">
        <v>55</v>
      </c>
      <c r="L5426" t="s">
        <v>9332</v>
      </c>
      <c r="M5426" t="s">
        <v>57</v>
      </c>
      <c r="N5426" t="str">
        <f>"015427"</f>
        <v>015427</v>
      </c>
      <c r="O5426" t="s">
        <v>12157</v>
      </c>
      <c r="P5426" t="s">
        <v>68</v>
      </c>
      <c r="Q5426">
        <v>97.9</v>
      </c>
      <c r="R5426">
        <v>100</v>
      </c>
      <c r="S5426" t="s">
        <v>217</v>
      </c>
    </row>
    <row r="5427" spans="1:19" x14ac:dyDescent="0.35">
      <c r="A5427">
        <v>19227</v>
      </c>
      <c r="B5427" t="str">
        <f>"019227"</f>
        <v>019227</v>
      </c>
      <c r="C5427" t="s">
        <v>14561</v>
      </c>
      <c r="D5427" t="s">
        <v>12052</v>
      </c>
      <c r="E5427" t="s">
        <v>12048</v>
      </c>
      <c r="F5427" t="s">
        <v>3396</v>
      </c>
      <c r="G5427" t="s">
        <v>212</v>
      </c>
      <c r="H5427" t="s">
        <v>14562</v>
      </c>
      <c r="I5427" t="s">
        <v>14563</v>
      </c>
      <c r="J5427" t="s">
        <v>215</v>
      </c>
      <c r="K5427" t="s">
        <v>55</v>
      </c>
      <c r="L5427" t="s">
        <v>9332</v>
      </c>
      <c r="M5427" t="s">
        <v>57</v>
      </c>
      <c r="N5427" t="str">
        <f>"015427"</f>
        <v>015427</v>
      </c>
      <c r="O5427" t="s">
        <v>12157</v>
      </c>
      <c r="P5427" t="s">
        <v>68</v>
      </c>
      <c r="Q5427">
        <v>97.9</v>
      </c>
      <c r="R5427">
        <v>100</v>
      </c>
      <c r="S5427" t="s">
        <v>217</v>
      </c>
    </row>
    <row r="5428" spans="1:19" x14ac:dyDescent="0.35">
      <c r="A5428">
        <v>19227</v>
      </c>
      <c r="B5428" t="str">
        <f>"019227"</f>
        <v>019227</v>
      </c>
      <c r="C5428" t="s">
        <v>14561</v>
      </c>
      <c r="D5428" t="s">
        <v>4572</v>
      </c>
      <c r="E5428" t="s">
        <v>12048</v>
      </c>
      <c r="F5428" t="s">
        <v>3396</v>
      </c>
      <c r="G5428" t="s">
        <v>212</v>
      </c>
      <c r="H5428" t="s">
        <v>14562</v>
      </c>
      <c r="I5428" t="s">
        <v>14563</v>
      </c>
      <c r="J5428" t="s">
        <v>215</v>
      </c>
      <c r="K5428" t="s">
        <v>55</v>
      </c>
      <c r="L5428" t="s">
        <v>9332</v>
      </c>
      <c r="M5428" t="s">
        <v>57</v>
      </c>
      <c r="N5428" t="str">
        <f>"015427"</f>
        <v>015427</v>
      </c>
      <c r="O5428" t="s">
        <v>12157</v>
      </c>
      <c r="P5428" t="s">
        <v>68</v>
      </c>
      <c r="Q5428">
        <v>97.9</v>
      </c>
      <c r="R5428">
        <v>100</v>
      </c>
      <c r="S5428" t="s">
        <v>217</v>
      </c>
    </row>
    <row r="5429" spans="1:19" x14ac:dyDescent="0.35">
      <c r="A5429">
        <v>19231</v>
      </c>
      <c r="B5429" t="str">
        <f>"019231"</f>
        <v>019231</v>
      </c>
      <c r="C5429" t="s">
        <v>14564</v>
      </c>
      <c r="D5429" t="s">
        <v>3394</v>
      </c>
      <c r="E5429" t="s">
        <v>3395</v>
      </c>
      <c r="F5429" t="s">
        <v>3396</v>
      </c>
      <c r="G5429" t="s">
        <v>187</v>
      </c>
      <c r="H5429" t="s">
        <v>8897</v>
      </c>
      <c r="I5429" t="s">
        <v>8898</v>
      </c>
      <c r="J5429" t="s">
        <v>2020</v>
      </c>
      <c r="K5429" t="s">
        <v>55</v>
      </c>
      <c r="L5429" t="s">
        <v>2021</v>
      </c>
      <c r="M5429" t="s">
        <v>57</v>
      </c>
      <c r="N5429" t="str">
        <f>"045591"</f>
        <v>045591</v>
      </c>
      <c r="O5429" t="s">
        <v>2017</v>
      </c>
      <c r="P5429" t="s">
        <v>68</v>
      </c>
      <c r="Q5429" t="s">
        <v>68</v>
      </c>
      <c r="R5429" t="s">
        <v>68</v>
      </c>
      <c r="S5429" t="s">
        <v>77</v>
      </c>
    </row>
    <row r="5430" spans="1:19" x14ac:dyDescent="0.35">
      <c r="A5430">
        <v>19255</v>
      </c>
      <c r="B5430" t="str">
        <f>"019255"</f>
        <v>019255</v>
      </c>
      <c r="C5430" t="s">
        <v>14565</v>
      </c>
      <c r="D5430" t="s">
        <v>3400</v>
      </c>
      <c r="E5430" t="s">
        <v>3395</v>
      </c>
      <c r="F5430" t="s">
        <v>3396</v>
      </c>
      <c r="G5430" t="s">
        <v>331</v>
      </c>
      <c r="H5430" t="s">
        <v>14566</v>
      </c>
      <c r="I5430" t="s">
        <v>14567</v>
      </c>
      <c r="J5430" t="s">
        <v>634</v>
      </c>
      <c r="K5430" t="s">
        <v>55</v>
      </c>
      <c r="L5430" t="s">
        <v>635</v>
      </c>
      <c r="M5430" t="s">
        <v>57</v>
      </c>
      <c r="N5430" t="str">
        <f>"043687"</f>
        <v>043687</v>
      </c>
      <c r="O5430" t="s">
        <v>2948</v>
      </c>
      <c r="P5430" t="s">
        <v>68</v>
      </c>
      <c r="Q5430">
        <v>62.5</v>
      </c>
      <c r="R5430">
        <v>10.799999999999997</v>
      </c>
      <c r="S5430" t="s">
        <v>156</v>
      </c>
    </row>
    <row r="5431" spans="1:19" x14ac:dyDescent="0.35">
      <c r="A5431">
        <v>19258</v>
      </c>
      <c r="B5431" t="str">
        <f>"019258"</f>
        <v>019258</v>
      </c>
      <c r="C5431" t="s">
        <v>14568</v>
      </c>
      <c r="D5431" t="s">
        <v>3394</v>
      </c>
      <c r="E5431" t="s">
        <v>3395</v>
      </c>
      <c r="F5431" t="s">
        <v>3396</v>
      </c>
      <c r="G5431" t="s">
        <v>481</v>
      </c>
      <c r="H5431" t="s">
        <v>14569</v>
      </c>
      <c r="I5431" t="s">
        <v>14570</v>
      </c>
      <c r="J5431" t="s">
        <v>484</v>
      </c>
      <c r="K5431" t="s">
        <v>55</v>
      </c>
      <c r="L5431" t="s">
        <v>485</v>
      </c>
      <c r="M5431" t="s">
        <v>57</v>
      </c>
      <c r="N5431" t="str">
        <f>"045492"</f>
        <v>045492</v>
      </c>
      <c r="O5431" t="s">
        <v>3003</v>
      </c>
      <c r="P5431" t="s">
        <v>68</v>
      </c>
      <c r="Q5431" t="s">
        <v>68</v>
      </c>
      <c r="R5431" t="s">
        <v>68</v>
      </c>
      <c r="S5431" t="s">
        <v>69</v>
      </c>
    </row>
    <row r="5432" spans="1:19" x14ac:dyDescent="0.35">
      <c r="A5432">
        <v>19262</v>
      </c>
      <c r="B5432" t="str">
        <f>"019262"</f>
        <v>019262</v>
      </c>
      <c r="C5432" t="s">
        <v>14571</v>
      </c>
      <c r="D5432" t="s">
        <v>3394</v>
      </c>
      <c r="E5432" t="s">
        <v>3395</v>
      </c>
      <c r="F5432" t="s">
        <v>3396</v>
      </c>
      <c r="G5432" t="s">
        <v>600</v>
      </c>
      <c r="H5432" t="s">
        <v>14572</v>
      </c>
      <c r="I5432" t="s">
        <v>14573</v>
      </c>
      <c r="J5432" t="s">
        <v>1081</v>
      </c>
      <c r="K5432" t="s">
        <v>55</v>
      </c>
      <c r="L5432" t="s">
        <v>1082</v>
      </c>
      <c r="M5432" t="s">
        <v>57</v>
      </c>
      <c r="N5432" t="str">
        <f>"046979"</f>
        <v>046979</v>
      </c>
      <c r="O5432" t="s">
        <v>1587</v>
      </c>
      <c r="P5432" t="s">
        <v>68</v>
      </c>
      <c r="Q5432" t="s">
        <v>68</v>
      </c>
      <c r="R5432" t="s">
        <v>68</v>
      </c>
      <c r="S5432" t="s">
        <v>60</v>
      </c>
    </row>
    <row r="5433" spans="1:19" x14ac:dyDescent="0.35">
      <c r="A5433">
        <v>19266</v>
      </c>
      <c r="B5433" t="str">
        <f>"019266"</f>
        <v>019266</v>
      </c>
      <c r="C5433" t="s">
        <v>14574</v>
      </c>
      <c r="D5433" t="s">
        <v>3398</v>
      </c>
      <c r="E5433" t="s">
        <v>3395</v>
      </c>
      <c r="F5433" t="s">
        <v>3396</v>
      </c>
      <c r="G5433" t="s">
        <v>543</v>
      </c>
      <c r="H5433" t="s">
        <v>6519</v>
      </c>
      <c r="I5433" t="s">
        <v>6520</v>
      </c>
      <c r="J5433" t="s">
        <v>687</v>
      </c>
      <c r="K5433" t="s">
        <v>55</v>
      </c>
      <c r="L5433" t="s">
        <v>786</v>
      </c>
      <c r="M5433" t="s">
        <v>57</v>
      </c>
      <c r="N5433" t="str">
        <f>"043844"</f>
        <v>043844</v>
      </c>
      <c r="O5433" t="s">
        <v>985</v>
      </c>
      <c r="P5433" t="s">
        <v>68</v>
      </c>
      <c r="Q5433">
        <v>93.7</v>
      </c>
      <c r="R5433">
        <v>86.6</v>
      </c>
      <c r="S5433" t="s">
        <v>180</v>
      </c>
    </row>
    <row r="5434" spans="1:19" x14ac:dyDescent="0.35">
      <c r="A5434">
        <v>19267</v>
      </c>
      <c r="B5434" t="str">
        <f>"019267"</f>
        <v>019267</v>
      </c>
      <c r="C5434" t="s">
        <v>14575</v>
      </c>
      <c r="D5434" t="s">
        <v>3394</v>
      </c>
      <c r="E5434" t="s">
        <v>3395</v>
      </c>
      <c r="F5434" t="s">
        <v>3396</v>
      </c>
      <c r="G5434" t="s">
        <v>71</v>
      </c>
      <c r="H5434" t="s">
        <v>9123</v>
      </c>
      <c r="I5434" t="s">
        <v>9124</v>
      </c>
      <c r="J5434" t="s">
        <v>447</v>
      </c>
      <c r="K5434" t="s">
        <v>55</v>
      </c>
      <c r="L5434" t="s">
        <v>448</v>
      </c>
      <c r="M5434" t="s">
        <v>57</v>
      </c>
      <c r="N5434" t="str">
        <f>"044487"</f>
        <v>044487</v>
      </c>
      <c r="O5434" t="s">
        <v>444</v>
      </c>
      <c r="P5434" t="s">
        <v>68</v>
      </c>
      <c r="Q5434" t="s">
        <v>68</v>
      </c>
      <c r="R5434" t="s">
        <v>68</v>
      </c>
      <c r="S5434" t="s">
        <v>77</v>
      </c>
    </row>
    <row r="5435" spans="1:19" x14ac:dyDescent="0.35">
      <c r="A5435">
        <v>19269</v>
      </c>
      <c r="B5435" t="str">
        <f>"019269"</f>
        <v>019269</v>
      </c>
      <c r="C5435" t="s">
        <v>14576</v>
      </c>
      <c r="D5435" t="s">
        <v>3394</v>
      </c>
      <c r="E5435" t="s">
        <v>3395</v>
      </c>
      <c r="F5435" t="s">
        <v>3396</v>
      </c>
      <c r="G5435" t="s">
        <v>110</v>
      </c>
      <c r="H5435" t="s">
        <v>13203</v>
      </c>
      <c r="I5435" t="s">
        <v>13204</v>
      </c>
      <c r="J5435" t="s">
        <v>1027</v>
      </c>
      <c r="K5435" t="s">
        <v>55</v>
      </c>
      <c r="L5435" t="s">
        <v>1028</v>
      </c>
      <c r="M5435" t="s">
        <v>57</v>
      </c>
      <c r="N5435" t="str">
        <f>"048009"</f>
        <v>048009</v>
      </c>
      <c r="O5435" t="s">
        <v>1024</v>
      </c>
      <c r="P5435" t="s">
        <v>68</v>
      </c>
      <c r="Q5435" t="s">
        <v>68</v>
      </c>
      <c r="R5435" t="s">
        <v>68</v>
      </c>
      <c r="S5435" t="s">
        <v>60</v>
      </c>
    </row>
    <row r="5436" spans="1:19" x14ac:dyDescent="0.35">
      <c r="A5436">
        <v>19293</v>
      </c>
      <c r="B5436" t="str">
        <f>"019293"</f>
        <v>019293</v>
      </c>
      <c r="C5436" t="s">
        <v>14577</v>
      </c>
      <c r="D5436" t="s">
        <v>3394</v>
      </c>
      <c r="E5436" t="s">
        <v>3395</v>
      </c>
      <c r="F5436" t="s">
        <v>3396</v>
      </c>
      <c r="G5436" t="s">
        <v>536</v>
      </c>
      <c r="H5436" t="s">
        <v>1110</v>
      </c>
      <c r="I5436" t="s">
        <v>1111</v>
      </c>
      <c r="J5436" t="s">
        <v>539</v>
      </c>
      <c r="K5436" t="s">
        <v>55</v>
      </c>
      <c r="L5436" t="s">
        <v>540</v>
      </c>
      <c r="M5436" t="s">
        <v>57</v>
      </c>
      <c r="N5436" t="str">
        <f>"043919"</f>
        <v>043919</v>
      </c>
      <c r="O5436" t="s">
        <v>1578</v>
      </c>
      <c r="P5436" t="s">
        <v>68</v>
      </c>
      <c r="Q5436" t="s">
        <v>68</v>
      </c>
      <c r="R5436" t="s">
        <v>68</v>
      </c>
      <c r="S5436" t="s">
        <v>77</v>
      </c>
    </row>
    <row r="5437" spans="1:19" x14ac:dyDescent="0.35">
      <c r="A5437">
        <v>19325</v>
      </c>
      <c r="B5437" t="str">
        <f>"019325"</f>
        <v>019325</v>
      </c>
      <c r="C5437" t="s">
        <v>14578</v>
      </c>
      <c r="D5437" t="s">
        <v>3394</v>
      </c>
      <c r="E5437" t="s">
        <v>3395</v>
      </c>
      <c r="F5437" t="s">
        <v>3396</v>
      </c>
      <c r="G5437" t="s">
        <v>600</v>
      </c>
      <c r="H5437" t="s">
        <v>14579</v>
      </c>
      <c r="I5437" t="s">
        <v>14580</v>
      </c>
      <c r="J5437" t="s">
        <v>1348</v>
      </c>
      <c r="K5437" t="s">
        <v>55</v>
      </c>
      <c r="L5437" t="s">
        <v>3732</v>
      </c>
      <c r="M5437" t="s">
        <v>57</v>
      </c>
      <c r="N5437" t="str">
        <f>"043802"</f>
        <v>043802</v>
      </c>
      <c r="O5437" t="s">
        <v>3171</v>
      </c>
      <c r="P5437" t="s">
        <v>68</v>
      </c>
      <c r="Q5437" t="s">
        <v>68</v>
      </c>
      <c r="R5437" t="s">
        <v>68</v>
      </c>
      <c r="S5437" t="s">
        <v>60</v>
      </c>
    </row>
    <row r="5438" spans="1:19" x14ac:dyDescent="0.35">
      <c r="A5438">
        <v>19359</v>
      </c>
      <c r="B5438" t="str">
        <f>"019359"</f>
        <v>019359</v>
      </c>
      <c r="C5438" t="s">
        <v>14581</v>
      </c>
      <c r="D5438" t="s">
        <v>3394</v>
      </c>
      <c r="E5438" t="s">
        <v>3395</v>
      </c>
      <c r="F5438" t="s">
        <v>3396</v>
      </c>
      <c r="G5438" t="s">
        <v>143</v>
      </c>
      <c r="H5438" t="s">
        <v>13495</v>
      </c>
      <c r="I5438" t="s">
        <v>13496</v>
      </c>
      <c r="J5438" t="s">
        <v>2256</v>
      </c>
      <c r="K5438" t="s">
        <v>55</v>
      </c>
      <c r="L5438" t="s">
        <v>2257</v>
      </c>
      <c r="M5438" t="s">
        <v>57</v>
      </c>
      <c r="N5438" t="str">
        <f>"048173"</f>
        <v>048173</v>
      </c>
      <c r="O5438" t="s">
        <v>2253</v>
      </c>
      <c r="P5438" t="s">
        <v>68</v>
      </c>
      <c r="Q5438" t="s">
        <v>68</v>
      </c>
      <c r="R5438" t="s">
        <v>68</v>
      </c>
      <c r="S5438" t="s">
        <v>69</v>
      </c>
    </row>
    <row r="5439" spans="1:19" x14ac:dyDescent="0.35">
      <c r="A5439">
        <v>19353</v>
      </c>
      <c r="B5439" t="str">
        <f>"019353"</f>
        <v>019353</v>
      </c>
      <c r="C5439" t="s">
        <v>14582</v>
      </c>
      <c r="D5439" t="s">
        <v>3398</v>
      </c>
      <c r="E5439" t="s">
        <v>9538</v>
      </c>
      <c r="F5439" t="s">
        <v>3396</v>
      </c>
      <c r="G5439" t="s">
        <v>200</v>
      </c>
      <c r="H5439" t="s">
        <v>14583</v>
      </c>
      <c r="I5439" t="s">
        <v>14584</v>
      </c>
      <c r="J5439" t="s">
        <v>304</v>
      </c>
      <c r="K5439" t="s">
        <v>55</v>
      </c>
      <c r="L5439" t="s">
        <v>3170</v>
      </c>
      <c r="M5439" t="s">
        <v>57</v>
      </c>
      <c r="N5439" t="str">
        <f>"019353"</f>
        <v>019353</v>
      </c>
      <c r="O5439" t="s">
        <v>14582</v>
      </c>
      <c r="P5439" t="s">
        <v>68</v>
      </c>
      <c r="Q5439" t="s">
        <v>68</v>
      </c>
      <c r="R5439" t="s">
        <v>68</v>
      </c>
      <c r="S5439" t="s">
        <v>156</v>
      </c>
    </row>
    <row r="5440" spans="1:19" x14ac:dyDescent="0.35">
      <c r="A5440">
        <v>19379</v>
      </c>
      <c r="B5440" t="str">
        <f>"019379"</f>
        <v>019379</v>
      </c>
      <c r="C5440" t="s">
        <v>14585</v>
      </c>
      <c r="D5440" t="s">
        <v>3398</v>
      </c>
      <c r="E5440" t="s">
        <v>9538</v>
      </c>
      <c r="F5440" t="s">
        <v>3396</v>
      </c>
      <c r="G5440" t="s">
        <v>63</v>
      </c>
      <c r="H5440" t="s">
        <v>14586</v>
      </c>
      <c r="I5440" t="s">
        <v>14587</v>
      </c>
      <c r="J5440" t="s">
        <v>4003</v>
      </c>
      <c r="K5440" t="s">
        <v>55</v>
      </c>
      <c r="L5440" t="s">
        <v>4004</v>
      </c>
      <c r="M5440" t="s">
        <v>57</v>
      </c>
      <c r="N5440" t="str">
        <f>"019379"</f>
        <v>019379</v>
      </c>
      <c r="O5440" t="s">
        <v>14585</v>
      </c>
      <c r="P5440" t="s">
        <v>68</v>
      </c>
      <c r="Q5440" t="s">
        <v>68</v>
      </c>
      <c r="R5440" t="s">
        <v>68</v>
      </c>
      <c r="S5440" t="s">
        <v>69</v>
      </c>
    </row>
    <row r="5441" spans="1:19" x14ac:dyDescent="0.35">
      <c r="A5441">
        <v>19381</v>
      </c>
      <c r="B5441" t="str">
        <f>"019381"</f>
        <v>019381</v>
      </c>
      <c r="C5441" t="s">
        <v>14588</v>
      </c>
      <c r="D5441" t="s">
        <v>3394</v>
      </c>
      <c r="E5441" t="s">
        <v>9538</v>
      </c>
      <c r="F5441" t="s">
        <v>3396</v>
      </c>
      <c r="G5441" t="s">
        <v>110</v>
      </c>
      <c r="H5441" t="s">
        <v>14589</v>
      </c>
      <c r="I5441" t="s">
        <v>14590</v>
      </c>
      <c r="J5441" t="s">
        <v>671</v>
      </c>
      <c r="K5441" t="s">
        <v>55</v>
      </c>
      <c r="L5441" t="s">
        <v>672</v>
      </c>
      <c r="M5441" t="s">
        <v>57</v>
      </c>
      <c r="N5441" t="str">
        <f>"019381"</f>
        <v>019381</v>
      </c>
      <c r="O5441" t="s">
        <v>14588</v>
      </c>
      <c r="P5441" t="s">
        <v>68</v>
      </c>
      <c r="Q5441" t="s">
        <v>68</v>
      </c>
      <c r="R5441" t="s">
        <v>68</v>
      </c>
      <c r="S5441" t="s">
        <v>60</v>
      </c>
    </row>
    <row r="5442" spans="1:19" x14ac:dyDescent="0.35">
      <c r="A5442">
        <v>19386</v>
      </c>
      <c r="B5442" t="str">
        <f>"019386"</f>
        <v>019386</v>
      </c>
      <c r="C5442" t="s">
        <v>14591</v>
      </c>
      <c r="D5442" t="s">
        <v>3398</v>
      </c>
      <c r="E5442" t="s">
        <v>9538</v>
      </c>
      <c r="F5442" t="s">
        <v>3396</v>
      </c>
      <c r="G5442" t="s">
        <v>600</v>
      </c>
      <c r="H5442" t="s">
        <v>14592</v>
      </c>
      <c r="I5442" t="s">
        <v>14593</v>
      </c>
      <c r="J5442" t="s">
        <v>1348</v>
      </c>
      <c r="K5442" t="s">
        <v>55</v>
      </c>
      <c r="L5442" t="s">
        <v>3161</v>
      </c>
      <c r="M5442" t="s">
        <v>57</v>
      </c>
      <c r="N5442" t="str">
        <f>"019386"</f>
        <v>019386</v>
      </c>
      <c r="O5442" t="s">
        <v>14591</v>
      </c>
      <c r="P5442" t="s">
        <v>68</v>
      </c>
      <c r="Q5442" t="s">
        <v>68</v>
      </c>
      <c r="R5442" t="s">
        <v>68</v>
      </c>
      <c r="S5442" t="s">
        <v>60</v>
      </c>
    </row>
    <row r="5443" spans="1:19" x14ac:dyDescent="0.35">
      <c r="A5443">
        <v>19387</v>
      </c>
      <c r="B5443" t="str">
        <f>"019387"</f>
        <v>019387</v>
      </c>
      <c r="C5443" t="s">
        <v>14594</v>
      </c>
      <c r="D5443" t="s">
        <v>3398</v>
      </c>
      <c r="E5443" t="s">
        <v>9538</v>
      </c>
      <c r="F5443" t="s">
        <v>3396</v>
      </c>
      <c r="G5443" t="s">
        <v>331</v>
      </c>
      <c r="H5443" t="s">
        <v>14595</v>
      </c>
      <c r="I5443" t="s">
        <v>14596</v>
      </c>
      <c r="J5443" t="s">
        <v>634</v>
      </c>
      <c r="K5443" t="s">
        <v>55</v>
      </c>
      <c r="L5443" t="s">
        <v>635</v>
      </c>
      <c r="M5443" t="s">
        <v>57</v>
      </c>
      <c r="N5443" t="str">
        <f>"019387"</f>
        <v>019387</v>
      </c>
      <c r="O5443" t="s">
        <v>14594</v>
      </c>
      <c r="P5443" t="s">
        <v>68</v>
      </c>
      <c r="Q5443" t="s">
        <v>68</v>
      </c>
      <c r="R5443" t="s">
        <v>68</v>
      </c>
      <c r="S5443" t="s">
        <v>156</v>
      </c>
    </row>
    <row r="5444" spans="1:19" x14ac:dyDescent="0.35">
      <c r="A5444">
        <v>19393</v>
      </c>
      <c r="B5444" t="str">
        <f>"019393"</f>
        <v>019393</v>
      </c>
      <c r="C5444" t="s">
        <v>14597</v>
      </c>
      <c r="D5444" t="s">
        <v>3400</v>
      </c>
      <c r="E5444" t="s">
        <v>3395</v>
      </c>
      <c r="F5444" t="s">
        <v>3396</v>
      </c>
      <c r="G5444" t="s">
        <v>1948</v>
      </c>
      <c r="H5444" t="s">
        <v>14598</v>
      </c>
      <c r="I5444" t="s">
        <v>14599</v>
      </c>
      <c r="J5444" t="s">
        <v>1753</v>
      </c>
      <c r="K5444" t="s">
        <v>55</v>
      </c>
      <c r="L5444" t="s">
        <v>1754</v>
      </c>
      <c r="M5444" t="s">
        <v>57</v>
      </c>
      <c r="N5444" t="str">
        <f>"047027"</f>
        <v>047027</v>
      </c>
      <c r="O5444" t="s">
        <v>1953</v>
      </c>
      <c r="P5444" t="s">
        <v>68</v>
      </c>
      <c r="Q5444">
        <v>3.1</v>
      </c>
      <c r="R5444">
        <v>44.9</v>
      </c>
      <c r="S5444" t="s">
        <v>60</v>
      </c>
    </row>
    <row r="5445" spans="1:19" x14ac:dyDescent="0.35">
      <c r="A5445">
        <v>19392</v>
      </c>
      <c r="B5445" t="str">
        <f>"019392"</f>
        <v>019392</v>
      </c>
      <c r="C5445" t="s">
        <v>14600</v>
      </c>
      <c r="D5445" t="s">
        <v>3394</v>
      </c>
      <c r="E5445" t="s">
        <v>3395</v>
      </c>
      <c r="F5445" t="s">
        <v>3396</v>
      </c>
      <c r="G5445" t="s">
        <v>657</v>
      </c>
      <c r="H5445" t="s">
        <v>14601</v>
      </c>
      <c r="I5445" t="s">
        <v>14602</v>
      </c>
      <c r="J5445" t="s">
        <v>1432</v>
      </c>
      <c r="K5445" t="s">
        <v>55</v>
      </c>
      <c r="L5445" t="s">
        <v>1433</v>
      </c>
      <c r="M5445" t="s">
        <v>57</v>
      </c>
      <c r="N5445" t="str">
        <f>"044255"</f>
        <v>044255</v>
      </c>
      <c r="O5445" t="s">
        <v>1429</v>
      </c>
      <c r="P5445" t="s">
        <v>68</v>
      </c>
      <c r="Q5445" t="s">
        <v>68</v>
      </c>
      <c r="R5445" t="s">
        <v>68</v>
      </c>
      <c r="S5445" t="s">
        <v>60</v>
      </c>
    </row>
    <row r="5446" spans="1:19" x14ac:dyDescent="0.35">
      <c r="A5446">
        <v>19480</v>
      </c>
      <c r="B5446" t="str">
        <f>"019480"</f>
        <v>019480</v>
      </c>
      <c r="C5446" t="s">
        <v>14603</v>
      </c>
      <c r="D5446" t="s">
        <v>3394</v>
      </c>
      <c r="E5446" t="s">
        <v>3395</v>
      </c>
      <c r="F5446" t="s">
        <v>3396</v>
      </c>
      <c r="G5446" t="s">
        <v>52</v>
      </c>
      <c r="H5446" t="s">
        <v>14604</v>
      </c>
      <c r="I5446" t="s">
        <v>14605</v>
      </c>
      <c r="J5446" t="s">
        <v>2670</v>
      </c>
      <c r="K5446" t="s">
        <v>55</v>
      </c>
      <c r="L5446" t="s">
        <v>2671</v>
      </c>
      <c r="M5446" t="s">
        <v>57</v>
      </c>
      <c r="N5446" t="str">
        <f>"046763"</f>
        <v>046763</v>
      </c>
      <c r="O5446" t="s">
        <v>2667</v>
      </c>
      <c r="P5446" t="s">
        <v>68</v>
      </c>
      <c r="Q5446">
        <v>4.5999999999999996</v>
      </c>
      <c r="R5446">
        <v>48.1</v>
      </c>
      <c r="S5446" t="s">
        <v>60</v>
      </c>
    </row>
    <row r="5447" spans="1:19" x14ac:dyDescent="0.35">
      <c r="A5447">
        <v>19395</v>
      </c>
      <c r="B5447" t="str">
        <f>"019395"</f>
        <v>019395</v>
      </c>
      <c r="C5447" t="s">
        <v>14606</v>
      </c>
      <c r="D5447" t="s">
        <v>3398</v>
      </c>
      <c r="E5447" t="s">
        <v>9538</v>
      </c>
      <c r="F5447" t="s">
        <v>3396</v>
      </c>
      <c r="G5447" t="s">
        <v>288</v>
      </c>
      <c r="H5447" t="s">
        <v>14607</v>
      </c>
      <c r="I5447" t="s">
        <v>14608</v>
      </c>
      <c r="J5447" t="s">
        <v>769</v>
      </c>
      <c r="K5447" t="s">
        <v>55</v>
      </c>
      <c r="L5447" t="s">
        <v>770</v>
      </c>
      <c r="M5447" t="s">
        <v>57</v>
      </c>
      <c r="N5447" t="str">
        <f>"019395"</f>
        <v>019395</v>
      </c>
      <c r="O5447" t="s">
        <v>14606</v>
      </c>
      <c r="P5447" t="s">
        <v>68</v>
      </c>
      <c r="Q5447" t="s">
        <v>68</v>
      </c>
      <c r="R5447" t="s">
        <v>68</v>
      </c>
      <c r="S5447" t="s">
        <v>180</v>
      </c>
    </row>
    <row r="5448" spans="1:19" x14ac:dyDescent="0.35">
      <c r="A5448">
        <v>19399</v>
      </c>
      <c r="B5448" t="str">
        <f>"019399"</f>
        <v>019399</v>
      </c>
      <c r="C5448" t="s">
        <v>12099</v>
      </c>
      <c r="D5448" t="s">
        <v>3398</v>
      </c>
      <c r="E5448" t="s">
        <v>9538</v>
      </c>
      <c r="F5448" t="s">
        <v>3396</v>
      </c>
      <c r="G5448" t="s">
        <v>63</v>
      </c>
      <c r="H5448" t="s">
        <v>14609</v>
      </c>
      <c r="I5448" t="s">
        <v>14610</v>
      </c>
      <c r="J5448" t="s">
        <v>101</v>
      </c>
      <c r="K5448" t="s">
        <v>55</v>
      </c>
      <c r="L5448" t="s">
        <v>102</v>
      </c>
      <c r="M5448" t="s">
        <v>57</v>
      </c>
      <c r="N5448" t="str">
        <f>"019399"</f>
        <v>019399</v>
      </c>
      <c r="O5448" t="s">
        <v>12099</v>
      </c>
      <c r="P5448" t="s">
        <v>68</v>
      </c>
      <c r="Q5448" t="s">
        <v>68</v>
      </c>
      <c r="R5448" t="s">
        <v>68</v>
      </c>
      <c r="S5448" t="s">
        <v>69</v>
      </c>
    </row>
    <row r="5449" spans="1:19" x14ac:dyDescent="0.35">
      <c r="A5449">
        <v>19399</v>
      </c>
      <c r="B5449" t="str">
        <f>"019399"</f>
        <v>019399</v>
      </c>
      <c r="C5449" t="s">
        <v>12099</v>
      </c>
      <c r="D5449" t="s">
        <v>9541</v>
      </c>
      <c r="E5449" t="s">
        <v>9538</v>
      </c>
      <c r="F5449" t="s">
        <v>3396</v>
      </c>
      <c r="G5449" t="s">
        <v>63</v>
      </c>
      <c r="H5449" t="s">
        <v>14609</v>
      </c>
      <c r="I5449" t="s">
        <v>14610</v>
      </c>
      <c r="J5449" t="s">
        <v>101</v>
      </c>
      <c r="K5449" t="s">
        <v>55</v>
      </c>
      <c r="L5449" t="s">
        <v>102</v>
      </c>
      <c r="M5449" t="s">
        <v>57</v>
      </c>
      <c r="N5449" t="str">
        <f>"019399"</f>
        <v>019399</v>
      </c>
      <c r="O5449" t="s">
        <v>12099</v>
      </c>
      <c r="P5449" t="s">
        <v>68</v>
      </c>
      <c r="Q5449" t="s">
        <v>68</v>
      </c>
      <c r="R5449" t="s">
        <v>68</v>
      </c>
      <c r="S5449" t="s">
        <v>69</v>
      </c>
    </row>
    <row r="5450" spans="1:19" x14ac:dyDescent="0.35">
      <c r="A5450">
        <v>19400</v>
      </c>
      <c r="B5450" t="str">
        <f>"019400"</f>
        <v>019400</v>
      </c>
      <c r="C5450" t="s">
        <v>14611</v>
      </c>
      <c r="D5450" t="s">
        <v>3398</v>
      </c>
      <c r="E5450" t="s">
        <v>9538</v>
      </c>
      <c r="F5450" t="s">
        <v>3396</v>
      </c>
      <c r="G5450" t="s">
        <v>110</v>
      </c>
      <c r="H5450" t="s">
        <v>14612</v>
      </c>
      <c r="I5450" t="s">
        <v>14613</v>
      </c>
      <c r="J5450" t="s">
        <v>1945</v>
      </c>
      <c r="K5450" t="s">
        <v>55</v>
      </c>
      <c r="L5450" t="s">
        <v>1946</v>
      </c>
      <c r="M5450" t="s">
        <v>57</v>
      </c>
      <c r="N5450" t="str">
        <f>"019400"</f>
        <v>019400</v>
      </c>
      <c r="O5450" t="s">
        <v>14611</v>
      </c>
      <c r="P5450" t="s">
        <v>68</v>
      </c>
      <c r="Q5450" t="s">
        <v>68</v>
      </c>
      <c r="R5450" t="s">
        <v>68</v>
      </c>
      <c r="S5450" t="s">
        <v>60</v>
      </c>
    </row>
    <row r="5451" spans="1:19" x14ac:dyDescent="0.35">
      <c r="A5451">
        <v>19447</v>
      </c>
      <c r="B5451" t="str">
        <f>"019447"</f>
        <v>019447</v>
      </c>
      <c r="C5451" t="s">
        <v>14614</v>
      </c>
      <c r="D5451" t="s">
        <v>3394</v>
      </c>
      <c r="E5451" t="s">
        <v>3395</v>
      </c>
      <c r="F5451" t="s">
        <v>3396</v>
      </c>
      <c r="G5451" t="s">
        <v>172</v>
      </c>
      <c r="H5451" t="s">
        <v>14615</v>
      </c>
      <c r="I5451" t="s">
        <v>14616</v>
      </c>
      <c r="J5451" t="s">
        <v>1359</v>
      </c>
      <c r="K5451" t="s">
        <v>55</v>
      </c>
      <c r="L5451" t="s">
        <v>6465</v>
      </c>
      <c r="M5451" t="s">
        <v>57</v>
      </c>
      <c r="N5451" t="str">
        <f>"050443"</f>
        <v>050443</v>
      </c>
      <c r="O5451" t="s">
        <v>1850</v>
      </c>
      <c r="P5451" t="s">
        <v>68</v>
      </c>
      <c r="Q5451">
        <v>17.399999999999999</v>
      </c>
      <c r="R5451">
        <v>17.400000000000006</v>
      </c>
      <c r="S5451" t="s">
        <v>217</v>
      </c>
    </row>
    <row r="5452" spans="1:19" x14ac:dyDescent="0.35">
      <c r="A5452">
        <v>19441</v>
      </c>
      <c r="B5452" t="str">
        <f>"019441"</f>
        <v>019441</v>
      </c>
      <c r="C5452" t="s">
        <v>14617</v>
      </c>
      <c r="D5452" t="s">
        <v>3398</v>
      </c>
      <c r="E5452" t="s">
        <v>12048</v>
      </c>
      <c r="F5452" t="s">
        <v>3396</v>
      </c>
      <c r="G5452" t="s">
        <v>657</v>
      </c>
      <c r="H5452" t="s">
        <v>14618</v>
      </c>
      <c r="I5452" t="s">
        <v>14619</v>
      </c>
      <c r="J5452" t="s">
        <v>1432</v>
      </c>
      <c r="K5452" t="s">
        <v>55</v>
      </c>
      <c r="L5452" t="s">
        <v>1433</v>
      </c>
      <c r="M5452" t="s">
        <v>57</v>
      </c>
      <c r="N5452" t="str">
        <f t="shared" ref="N5452:N5459" si="33">"019239"</f>
        <v>019239</v>
      </c>
      <c r="O5452" t="s">
        <v>14508</v>
      </c>
      <c r="P5452" t="s">
        <v>68</v>
      </c>
      <c r="Q5452">
        <v>89.1</v>
      </c>
      <c r="R5452">
        <v>10.900000000000006</v>
      </c>
      <c r="S5452" t="s">
        <v>60</v>
      </c>
    </row>
    <row r="5453" spans="1:19" x14ac:dyDescent="0.35">
      <c r="A5453">
        <v>19441</v>
      </c>
      <c r="B5453" t="str">
        <f>"019441"</f>
        <v>019441</v>
      </c>
      <c r="C5453" t="s">
        <v>14617</v>
      </c>
      <c r="D5453" t="s">
        <v>12052</v>
      </c>
      <c r="E5453" t="s">
        <v>12048</v>
      </c>
      <c r="F5453" t="s">
        <v>3396</v>
      </c>
      <c r="G5453" t="s">
        <v>657</v>
      </c>
      <c r="H5453" t="s">
        <v>14618</v>
      </c>
      <c r="I5453" t="s">
        <v>14619</v>
      </c>
      <c r="J5453" t="s">
        <v>1432</v>
      </c>
      <c r="K5453" t="s">
        <v>55</v>
      </c>
      <c r="L5453" t="s">
        <v>1433</v>
      </c>
      <c r="M5453" t="s">
        <v>57</v>
      </c>
      <c r="N5453" t="str">
        <f t="shared" si="33"/>
        <v>019239</v>
      </c>
      <c r="O5453" t="s">
        <v>14508</v>
      </c>
      <c r="P5453" t="s">
        <v>68</v>
      </c>
      <c r="Q5453">
        <v>89.1</v>
      </c>
      <c r="R5453">
        <v>10.900000000000006</v>
      </c>
      <c r="S5453" t="s">
        <v>60</v>
      </c>
    </row>
    <row r="5454" spans="1:19" x14ac:dyDescent="0.35">
      <c r="A5454">
        <v>19441</v>
      </c>
      <c r="B5454" t="str">
        <f>"019441"</f>
        <v>019441</v>
      </c>
      <c r="C5454" t="s">
        <v>14617</v>
      </c>
      <c r="D5454" t="s">
        <v>12063</v>
      </c>
      <c r="E5454" t="s">
        <v>12048</v>
      </c>
      <c r="F5454" t="s">
        <v>3396</v>
      </c>
      <c r="G5454" t="s">
        <v>657</v>
      </c>
      <c r="H5454" t="s">
        <v>14618</v>
      </c>
      <c r="I5454" t="s">
        <v>14619</v>
      </c>
      <c r="J5454" t="s">
        <v>1432</v>
      </c>
      <c r="K5454" t="s">
        <v>55</v>
      </c>
      <c r="L5454" t="s">
        <v>1433</v>
      </c>
      <c r="M5454" t="s">
        <v>57</v>
      </c>
      <c r="N5454" t="str">
        <f t="shared" si="33"/>
        <v>019239</v>
      </c>
      <c r="O5454" t="s">
        <v>14508</v>
      </c>
      <c r="P5454" t="s">
        <v>68</v>
      </c>
      <c r="Q5454">
        <v>89.1</v>
      </c>
      <c r="R5454">
        <v>10.900000000000006</v>
      </c>
      <c r="S5454" t="s">
        <v>60</v>
      </c>
    </row>
    <row r="5455" spans="1:19" x14ac:dyDescent="0.35">
      <c r="A5455">
        <v>19441</v>
      </c>
      <c r="B5455" t="str">
        <f>"019441"</f>
        <v>019441</v>
      </c>
      <c r="C5455" t="s">
        <v>14617</v>
      </c>
      <c r="D5455" t="s">
        <v>4572</v>
      </c>
      <c r="E5455" t="s">
        <v>12048</v>
      </c>
      <c r="F5455" t="s">
        <v>3396</v>
      </c>
      <c r="G5455" t="s">
        <v>657</v>
      </c>
      <c r="H5455" t="s">
        <v>14618</v>
      </c>
      <c r="I5455" t="s">
        <v>14619</v>
      </c>
      <c r="J5455" t="s">
        <v>1432</v>
      </c>
      <c r="K5455" t="s">
        <v>55</v>
      </c>
      <c r="L5455" t="s">
        <v>1433</v>
      </c>
      <c r="M5455" t="s">
        <v>57</v>
      </c>
      <c r="N5455" t="str">
        <f t="shared" si="33"/>
        <v>019239</v>
      </c>
      <c r="O5455" t="s">
        <v>14508</v>
      </c>
      <c r="P5455" t="s">
        <v>68</v>
      </c>
      <c r="Q5455">
        <v>89.1</v>
      </c>
      <c r="R5455">
        <v>10.900000000000006</v>
      </c>
      <c r="S5455" t="s">
        <v>60</v>
      </c>
    </row>
    <row r="5456" spans="1:19" x14ac:dyDescent="0.35">
      <c r="A5456">
        <v>19442</v>
      </c>
      <c r="B5456" t="str">
        <f>"019442"</f>
        <v>019442</v>
      </c>
      <c r="C5456" t="s">
        <v>14620</v>
      </c>
      <c r="D5456" t="s">
        <v>3398</v>
      </c>
      <c r="E5456" t="s">
        <v>12048</v>
      </c>
      <c r="F5456" t="s">
        <v>3396</v>
      </c>
      <c r="G5456" t="s">
        <v>312</v>
      </c>
      <c r="H5456" t="s">
        <v>14621</v>
      </c>
      <c r="I5456" t="s">
        <v>14622</v>
      </c>
      <c r="J5456" t="s">
        <v>312</v>
      </c>
      <c r="K5456" t="s">
        <v>55</v>
      </c>
      <c r="L5456" t="s">
        <v>315</v>
      </c>
      <c r="M5456" t="s">
        <v>57</v>
      </c>
      <c r="N5456" t="str">
        <f t="shared" si="33"/>
        <v>019239</v>
      </c>
      <c r="O5456" t="s">
        <v>14508</v>
      </c>
      <c r="P5456" t="s">
        <v>68</v>
      </c>
      <c r="Q5456">
        <v>78.2</v>
      </c>
      <c r="R5456">
        <v>16.099999999999994</v>
      </c>
      <c r="S5456" t="s">
        <v>156</v>
      </c>
    </row>
    <row r="5457" spans="1:19" x14ac:dyDescent="0.35">
      <c r="A5457">
        <v>19442</v>
      </c>
      <c r="B5457" t="str">
        <f>"019442"</f>
        <v>019442</v>
      </c>
      <c r="C5457" t="s">
        <v>14620</v>
      </c>
      <c r="D5457" t="s">
        <v>12052</v>
      </c>
      <c r="E5457" t="s">
        <v>12048</v>
      </c>
      <c r="F5457" t="s">
        <v>3396</v>
      </c>
      <c r="G5457" t="s">
        <v>312</v>
      </c>
      <c r="H5457" t="s">
        <v>14621</v>
      </c>
      <c r="I5457" t="s">
        <v>14622</v>
      </c>
      <c r="J5457" t="s">
        <v>312</v>
      </c>
      <c r="K5457" t="s">
        <v>55</v>
      </c>
      <c r="L5457" t="s">
        <v>315</v>
      </c>
      <c r="M5457" t="s">
        <v>57</v>
      </c>
      <c r="N5457" t="str">
        <f t="shared" si="33"/>
        <v>019239</v>
      </c>
      <c r="O5457" t="s">
        <v>14508</v>
      </c>
      <c r="P5457" t="s">
        <v>68</v>
      </c>
      <c r="Q5457">
        <v>78.2</v>
      </c>
      <c r="R5457">
        <v>16.099999999999994</v>
      </c>
      <c r="S5457" t="s">
        <v>156</v>
      </c>
    </row>
    <row r="5458" spans="1:19" x14ac:dyDescent="0.35">
      <c r="A5458">
        <v>19442</v>
      </c>
      <c r="B5458" t="str">
        <f>"019442"</f>
        <v>019442</v>
      </c>
      <c r="C5458" t="s">
        <v>14620</v>
      </c>
      <c r="D5458" t="s">
        <v>12063</v>
      </c>
      <c r="E5458" t="s">
        <v>12048</v>
      </c>
      <c r="F5458" t="s">
        <v>3396</v>
      </c>
      <c r="G5458" t="s">
        <v>312</v>
      </c>
      <c r="H5458" t="s">
        <v>14621</v>
      </c>
      <c r="I5458" t="s">
        <v>14622</v>
      </c>
      <c r="J5458" t="s">
        <v>312</v>
      </c>
      <c r="K5458" t="s">
        <v>55</v>
      </c>
      <c r="L5458" t="s">
        <v>315</v>
      </c>
      <c r="M5458" t="s">
        <v>57</v>
      </c>
      <c r="N5458" t="str">
        <f t="shared" si="33"/>
        <v>019239</v>
      </c>
      <c r="O5458" t="s">
        <v>14508</v>
      </c>
      <c r="P5458" t="s">
        <v>68</v>
      </c>
      <c r="Q5458">
        <v>78.2</v>
      </c>
      <c r="R5458">
        <v>16.099999999999994</v>
      </c>
      <c r="S5458" t="s">
        <v>156</v>
      </c>
    </row>
    <row r="5459" spans="1:19" x14ac:dyDescent="0.35">
      <c r="A5459">
        <v>19442</v>
      </c>
      <c r="B5459" t="str">
        <f>"019442"</f>
        <v>019442</v>
      </c>
      <c r="C5459" t="s">
        <v>14620</v>
      </c>
      <c r="D5459" t="s">
        <v>4572</v>
      </c>
      <c r="E5459" t="s">
        <v>12048</v>
      </c>
      <c r="F5459" t="s">
        <v>3396</v>
      </c>
      <c r="G5459" t="s">
        <v>312</v>
      </c>
      <c r="H5459" t="s">
        <v>14621</v>
      </c>
      <c r="I5459" t="s">
        <v>14622</v>
      </c>
      <c r="J5459" t="s">
        <v>312</v>
      </c>
      <c r="K5459" t="s">
        <v>55</v>
      </c>
      <c r="L5459" t="s">
        <v>315</v>
      </c>
      <c r="M5459" t="s">
        <v>57</v>
      </c>
      <c r="N5459" t="str">
        <f t="shared" si="33"/>
        <v>019239</v>
      </c>
      <c r="O5459" t="s">
        <v>14508</v>
      </c>
      <c r="P5459" t="s">
        <v>68</v>
      </c>
      <c r="Q5459">
        <v>78.2</v>
      </c>
      <c r="R5459">
        <v>16.099999999999994</v>
      </c>
      <c r="S5459" t="s">
        <v>156</v>
      </c>
    </row>
    <row r="5460" spans="1:19" x14ac:dyDescent="0.35">
      <c r="A5460">
        <v>19525</v>
      </c>
      <c r="B5460" t="str">
        <f>"019525"</f>
        <v>019525</v>
      </c>
      <c r="C5460" t="s">
        <v>14623</v>
      </c>
      <c r="D5460" t="s">
        <v>3400</v>
      </c>
      <c r="E5460" t="s">
        <v>3395</v>
      </c>
      <c r="F5460" t="s">
        <v>3396</v>
      </c>
      <c r="G5460" t="s">
        <v>600</v>
      </c>
      <c r="H5460" t="s">
        <v>14624</v>
      </c>
      <c r="I5460" t="s">
        <v>14625</v>
      </c>
      <c r="J5460" t="s">
        <v>1348</v>
      </c>
      <c r="K5460" t="s">
        <v>55</v>
      </c>
      <c r="L5460" t="s">
        <v>4473</v>
      </c>
      <c r="M5460" t="s">
        <v>57</v>
      </c>
      <c r="N5460" t="str">
        <f>"043802"</f>
        <v>043802</v>
      </c>
      <c r="O5460" t="s">
        <v>3171</v>
      </c>
      <c r="P5460" t="s">
        <v>68</v>
      </c>
      <c r="Q5460">
        <v>100</v>
      </c>
      <c r="R5460">
        <v>91.2</v>
      </c>
      <c r="S5460" t="s">
        <v>60</v>
      </c>
    </row>
    <row r="5461" spans="1:19" x14ac:dyDescent="0.35">
      <c r="A5461">
        <v>19462</v>
      </c>
      <c r="B5461" t="str">
        <f>"019462"</f>
        <v>019462</v>
      </c>
      <c r="C5461" t="s">
        <v>14626</v>
      </c>
      <c r="D5461" t="s">
        <v>3394</v>
      </c>
      <c r="E5461" t="s">
        <v>3395</v>
      </c>
      <c r="F5461" t="s">
        <v>3396</v>
      </c>
      <c r="G5461" t="s">
        <v>244</v>
      </c>
      <c r="H5461" t="s">
        <v>14627</v>
      </c>
      <c r="I5461" t="s">
        <v>14628</v>
      </c>
      <c r="J5461" t="s">
        <v>14629</v>
      </c>
      <c r="K5461" t="s">
        <v>55</v>
      </c>
      <c r="L5461" t="s">
        <v>3372</v>
      </c>
      <c r="M5461" t="s">
        <v>57</v>
      </c>
      <c r="N5461" t="str">
        <f>"046144"</f>
        <v>046144</v>
      </c>
      <c r="O5461" t="s">
        <v>2309</v>
      </c>
      <c r="P5461" t="s">
        <v>68</v>
      </c>
      <c r="Q5461">
        <v>33.799999999999997</v>
      </c>
      <c r="R5461">
        <v>4.5999999999999943</v>
      </c>
      <c r="S5461" t="s">
        <v>217</v>
      </c>
    </row>
    <row r="5462" spans="1:19" x14ac:dyDescent="0.35">
      <c r="A5462">
        <v>19427</v>
      </c>
      <c r="B5462" t="str">
        <f>"019427"</f>
        <v>019427</v>
      </c>
      <c r="C5462" t="s">
        <v>14630</v>
      </c>
      <c r="D5462" t="s">
        <v>3398</v>
      </c>
      <c r="E5462" t="s">
        <v>12048</v>
      </c>
      <c r="F5462" t="s">
        <v>3396</v>
      </c>
      <c r="G5462" t="s">
        <v>264</v>
      </c>
      <c r="H5462" t="s">
        <v>14631</v>
      </c>
      <c r="I5462" t="s">
        <v>14632</v>
      </c>
      <c r="J5462" t="s">
        <v>267</v>
      </c>
      <c r="K5462" t="s">
        <v>55</v>
      </c>
      <c r="L5462" t="s">
        <v>5223</v>
      </c>
      <c r="M5462" t="s">
        <v>57</v>
      </c>
      <c r="N5462" t="str">
        <f>"019451"</f>
        <v>019451</v>
      </c>
      <c r="O5462" t="s">
        <v>14633</v>
      </c>
      <c r="P5462" t="s">
        <v>68</v>
      </c>
      <c r="Q5462">
        <v>100</v>
      </c>
      <c r="R5462">
        <v>83.3</v>
      </c>
      <c r="S5462" t="s">
        <v>77</v>
      </c>
    </row>
    <row r="5463" spans="1:19" x14ac:dyDescent="0.35">
      <c r="A5463">
        <v>19427</v>
      </c>
      <c r="B5463" t="str">
        <f>"019427"</f>
        <v>019427</v>
      </c>
      <c r="C5463" t="s">
        <v>14630</v>
      </c>
      <c r="D5463" t="s">
        <v>12052</v>
      </c>
      <c r="E5463" t="s">
        <v>12048</v>
      </c>
      <c r="F5463" t="s">
        <v>3396</v>
      </c>
      <c r="G5463" t="s">
        <v>264</v>
      </c>
      <c r="H5463" t="s">
        <v>14631</v>
      </c>
      <c r="I5463" t="s">
        <v>14632</v>
      </c>
      <c r="J5463" t="s">
        <v>267</v>
      </c>
      <c r="K5463" t="s">
        <v>55</v>
      </c>
      <c r="L5463" t="s">
        <v>5223</v>
      </c>
      <c r="M5463" t="s">
        <v>57</v>
      </c>
      <c r="N5463" t="str">
        <f>"019451"</f>
        <v>019451</v>
      </c>
      <c r="O5463" t="s">
        <v>14633</v>
      </c>
      <c r="P5463" t="s">
        <v>68</v>
      </c>
      <c r="Q5463">
        <v>100</v>
      </c>
      <c r="R5463">
        <v>83.3</v>
      </c>
      <c r="S5463" t="s">
        <v>77</v>
      </c>
    </row>
    <row r="5464" spans="1:19" x14ac:dyDescent="0.35">
      <c r="A5464">
        <v>19427</v>
      </c>
      <c r="B5464" t="str">
        <f>"019427"</f>
        <v>019427</v>
      </c>
      <c r="C5464" t="s">
        <v>14630</v>
      </c>
      <c r="D5464" t="s">
        <v>4572</v>
      </c>
      <c r="E5464" t="s">
        <v>12048</v>
      </c>
      <c r="F5464" t="s">
        <v>3396</v>
      </c>
      <c r="G5464" t="s">
        <v>264</v>
      </c>
      <c r="H5464" t="s">
        <v>14631</v>
      </c>
      <c r="I5464" t="s">
        <v>14632</v>
      </c>
      <c r="J5464" t="s">
        <v>267</v>
      </c>
      <c r="K5464" t="s">
        <v>55</v>
      </c>
      <c r="L5464" t="s">
        <v>5223</v>
      </c>
      <c r="M5464" t="s">
        <v>57</v>
      </c>
      <c r="N5464" t="str">
        <f>"019451"</f>
        <v>019451</v>
      </c>
      <c r="O5464" t="s">
        <v>14633</v>
      </c>
      <c r="P5464" t="s">
        <v>68</v>
      </c>
      <c r="Q5464">
        <v>100</v>
      </c>
      <c r="R5464">
        <v>83.3</v>
      </c>
      <c r="S5464" t="s">
        <v>77</v>
      </c>
    </row>
    <row r="5465" spans="1:19" x14ac:dyDescent="0.35">
      <c r="A5465">
        <v>19426</v>
      </c>
      <c r="B5465" t="str">
        <f>"019426"</f>
        <v>019426</v>
      </c>
      <c r="C5465" t="s">
        <v>14634</v>
      </c>
      <c r="D5465" t="s">
        <v>3398</v>
      </c>
      <c r="E5465" t="s">
        <v>12048</v>
      </c>
      <c r="F5465" t="s">
        <v>3396</v>
      </c>
      <c r="G5465" t="s">
        <v>543</v>
      </c>
      <c r="H5465" t="s">
        <v>14635</v>
      </c>
      <c r="I5465" t="s">
        <v>14636</v>
      </c>
      <c r="J5465" t="s">
        <v>687</v>
      </c>
      <c r="K5465" t="s">
        <v>55</v>
      </c>
      <c r="L5465" t="s">
        <v>786</v>
      </c>
      <c r="M5465" t="s">
        <v>57</v>
      </c>
      <c r="N5465" t="str">
        <f>"019458"</f>
        <v>019458</v>
      </c>
      <c r="O5465" t="s">
        <v>14637</v>
      </c>
      <c r="P5465" t="s">
        <v>68</v>
      </c>
      <c r="Q5465">
        <v>100</v>
      </c>
      <c r="R5465">
        <v>90.1</v>
      </c>
      <c r="S5465" t="s">
        <v>180</v>
      </c>
    </row>
    <row r="5466" spans="1:19" x14ac:dyDescent="0.35">
      <c r="A5466">
        <v>19426</v>
      </c>
      <c r="B5466" t="str">
        <f>"019426"</f>
        <v>019426</v>
      </c>
      <c r="C5466" t="s">
        <v>14634</v>
      </c>
      <c r="D5466" t="s">
        <v>12052</v>
      </c>
      <c r="E5466" t="s">
        <v>12048</v>
      </c>
      <c r="F5466" t="s">
        <v>3396</v>
      </c>
      <c r="G5466" t="s">
        <v>543</v>
      </c>
      <c r="H5466" t="s">
        <v>14635</v>
      </c>
      <c r="I5466" t="s">
        <v>14636</v>
      </c>
      <c r="J5466" t="s">
        <v>687</v>
      </c>
      <c r="K5466" t="s">
        <v>55</v>
      </c>
      <c r="L5466" t="s">
        <v>786</v>
      </c>
      <c r="M5466" t="s">
        <v>57</v>
      </c>
      <c r="N5466" t="str">
        <f>"019458"</f>
        <v>019458</v>
      </c>
      <c r="O5466" t="s">
        <v>14637</v>
      </c>
      <c r="P5466" t="s">
        <v>68</v>
      </c>
      <c r="Q5466">
        <v>100</v>
      </c>
      <c r="R5466">
        <v>90.1</v>
      </c>
      <c r="S5466" t="s">
        <v>180</v>
      </c>
    </row>
    <row r="5467" spans="1:19" x14ac:dyDescent="0.35">
      <c r="A5467">
        <v>19426</v>
      </c>
      <c r="B5467" t="str">
        <f>"019426"</f>
        <v>019426</v>
      </c>
      <c r="C5467" t="s">
        <v>14634</v>
      </c>
      <c r="D5467" t="s">
        <v>12063</v>
      </c>
      <c r="E5467" t="s">
        <v>12048</v>
      </c>
      <c r="F5467" t="s">
        <v>3396</v>
      </c>
      <c r="G5467" t="s">
        <v>543</v>
      </c>
      <c r="H5467" t="s">
        <v>14635</v>
      </c>
      <c r="I5467" t="s">
        <v>14636</v>
      </c>
      <c r="J5467" t="s">
        <v>687</v>
      </c>
      <c r="K5467" t="s">
        <v>55</v>
      </c>
      <c r="L5467" t="s">
        <v>786</v>
      </c>
      <c r="M5467" t="s">
        <v>57</v>
      </c>
      <c r="N5467" t="str">
        <f>"019458"</f>
        <v>019458</v>
      </c>
      <c r="O5467" t="s">
        <v>14637</v>
      </c>
      <c r="P5467" t="s">
        <v>68</v>
      </c>
      <c r="Q5467">
        <v>100</v>
      </c>
      <c r="R5467">
        <v>90.1</v>
      </c>
      <c r="S5467" t="s">
        <v>180</v>
      </c>
    </row>
    <row r="5468" spans="1:19" x14ac:dyDescent="0.35">
      <c r="A5468">
        <v>19426</v>
      </c>
      <c r="B5468" t="str">
        <f>"019426"</f>
        <v>019426</v>
      </c>
      <c r="C5468" t="s">
        <v>14634</v>
      </c>
      <c r="D5468" t="s">
        <v>4572</v>
      </c>
      <c r="E5468" t="s">
        <v>12048</v>
      </c>
      <c r="F5468" t="s">
        <v>3396</v>
      </c>
      <c r="G5468" t="s">
        <v>543</v>
      </c>
      <c r="H5468" t="s">
        <v>14635</v>
      </c>
      <c r="I5468" t="s">
        <v>14636</v>
      </c>
      <c r="J5468" t="s">
        <v>687</v>
      </c>
      <c r="K5468" t="s">
        <v>55</v>
      </c>
      <c r="L5468" t="s">
        <v>786</v>
      </c>
      <c r="M5468" t="s">
        <v>57</v>
      </c>
      <c r="N5468" t="str">
        <f>"019458"</f>
        <v>019458</v>
      </c>
      <c r="O5468" t="s">
        <v>14637</v>
      </c>
      <c r="P5468" t="s">
        <v>68</v>
      </c>
      <c r="Q5468">
        <v>100</v>
      </c>
      <c r="R5468">
        <v>90.1</v>
      </c>
      <c r="S5468" t="s">
        <v>180</v>
      </c>
    </row>
    <row r="5469" spans="1:19" x14ac:dyDescent="0.35">
      <c r="A5469">
        <v>19450</v>
      </c>
      <c r="B5469" t="str">
        <f>"019450"</f>
        <v>019450</v>
      </c>
      <c r="C5469" t="s">
        <v>14638</v>
      </c>
      <c r="D5469" t="s">
        <v>3400</v>
      </c>
      <c r="E5469" t="s">
        <v>12048</v>
      </c>
      <c r="F5469" t="s">
        <v>3396</v>
      </c>
      <c r="G5469" t="s">
        <v>383</v>
      </c>
      <c r="H5469" t="s">
        <v>14639</v>
      </c>
      <c r="I5469" t="s">
        <v>14640</v>
      </c>
      <c r="J5469" t="s">
        <v>1215</v>
      </c>
      <c r="K5469" t="s">
        <v>55</v>
      </c>
      <c r="L5469" t="s">
        <v>13166</v>
      </c>
      <c r="M5469" t="s">
        <v>57</v>
      </c>
      <c r="N5469" t="str">
        <f>"N/A"</f>
        <v>N/A</v>
      </c>
      <c r="O5469" t="s">
        <v>49</v>
      </c>
      <c r="P5469" t="s">
        <v>68</v>
      </c>
      <c r="Q5469">
        <v>100</v>
      </c>
      <c r="R5469">
        <v>100</v>
      </c>
      <c r="S5469" t="s">
        <v>77</v>
      </c>
    </row>
    <row r="5470" spans="1:19" x14ac:dyDescent="0.35">
      <c r="A5470">
        <v>19450</v>
      </c>
      <c r="B5470" t="str">
        <f>"019450"</f>
        <v>019450</v>
      </c>
      <c r="C5470" t="s">
        <v>14638</v>
      </c>
      <c r="D5470" t="s">
        <v>12052</v>
      </c>
      <c r="E5470" t="s">
        <v>12048</v>
      </c>
      <c r="F5470" t="s">
        <v>3396</v>
      </c>
      <c r="G5470" t="s">
        <v>383</v>
      </c>
      <c r="H5470" t="s">
        <v>14639</v>
      </c>
      <c r="I5470" t="s">
        <v>14640</v>
      </c>
      <c r="J5470" t="s">
        <v>1215</v>
      </c>
      <c r="K5470" t="s">
        <v>55</v>
      </c>
      <c r="L5470" t="s">
        <v>13166</v>
      </c>
      <c r="M5470" t="s">
        <v>57</v>
      </c>
      <c r="N5470" t="str">
        <f>"N/A"</f>
        <v>N/A</v>
      </c>
      <c r="O5470" t="s">
        <v>49</v>
      </c>
      <c r="P5470" t="s">
        <v>68</v>
      </c>
      <c r="Q5470">
        <v>100</v>
      </c>
      <c r="R5470">
        <v>100</v>
      </c>
      <c r="S5470" t="s">
        <v>77</v>
      </c>
    </row>
    <row r="5471" spans="1:19" x14ac:dyDescent="0.35">
      <c r="A5471">
        <v>19450</v>
      </c>
      <c r="B5471" t="str">
        <f>"019450"</f>
        <v>019450</v>
      </c>
      <c r="C5471" t="s">
        <v>14638</v>
      </c>
      <c r="D5471" t="s">
        <v>4572</v>
      </c>
      <c r="E5471" t="s">
        <v>12048</v>
      </c>
      <c r="F5471" t="s">
        <v>3396</v>
      </c>
      <c r="G5471" t="s">
        <v>383</v>
      </c>
      <c r="H5471" t="s">
        <v>14639</v>
      </c>
      <c r="I5471" t="s">
        <v>14640</v>
      </c>
      <c r="J5471" t="s">
        <v>1215</v>
      </c>
      <c r="K5471" t="s">
        <v>55</v>
      </c>
      <c r="L5471" t="s">
        <v>13166</v>
      </c>
      <c r="M5471" t="s">
        <v>57</v>
      </c>
      <c r="N5471" t="str">
        <f>"N/A"</f>
        <v>N/A</v>
      </c>
      <c r="O5471" t="s">
        <v>49</v>
      </c>
      <c r="P5471" t="s">
        <v>68</v>
      </c>
      <c r="Q5471">
        <v>100</v>
      </c>
      <c r="R5471">
        <v>100</v>
      </c>
      <c r="S5471" t="s">
        <v>77</v>
      </c>
    </row>
    <row r="5472" spans="1:19" x14ac:dyDescent="0.35">
      <c r="A5472">
        <v>19459</v>
      </c>
      <c r="B5472" t="str">
        <f>"019459"</f>
        <v>019459</v>
      </c>
      <c r="C5472" t="s">
        <v>14641</v>
      </c>
      <c r="D5472" t="s">
        <v>3394</v>
      </c>
      <c r="E5472" t="s">
        <v>3395</v>
      </c>
      <c r="F5472" t="s">
        <v>3396</v>
      </c>
      <c r="G5472" t="s">
        <v>110</v>
      </c>
      <c r="H5472" t="s">
        <v>14642</v>
      </c>
      <c r="I5472" t="s">
        <v>14643</v>
      </c>
      <c r="J5472" t="s">
        <v>6238</v>
      </c>
      <c r="K5472" t="s">
        <v>55</v>
      </c>
      <c r="L5472" t="s">
        <v>1028</v>
      </c>
      <c r="M5472" t="s">
        <v>57</v>
      </c>
      <c r="N5472" t="str">
        <f>"048041"</f>
        <v>048041</v>
      </c>
      <c r="O5472" t="s">
        <v>2424</v>
      </c>
      <c r="P5472" t="s">
        <v>68</v>
      </c>
      <c r="Q5472">
        <v>37.299999999999997</v>
      </c>
      <c r="R5472">
        <v>36.9</v>
      </c>
      <c r="S5472" t="s">
        <v>60</v>
      </c>
    </row>
    <row r="5473" spans="1:19" x14ac:dyDescent="0.35">
      <c r="A5473">
        <v>19466</v>
      </c>
      <c r="B5473" t="str">
        <f>"019466"</f>
        <v>019466</v>
      </c>
      <c r="C5473" t="s">
        <v>14644</v>
      </c>
      <c r="D5473" t="s">
        <v>3400</v>
      </c>
      <c r="E5473" t="s">
        <v>3395</v>
      </c>
      <c r="F5473" t="s">
        <v>3396</v>
      </c>
      <c r="G5473" t="s">
        <v>124</v>
      </c>
      <c r="H5473" t="s">
        <v>14645</v>
      </c>
      <c r="I5473" t="s">
        <v>14646</v>
      </c>
      <c r="J5473" t="s">
        <v>2914</v>
      </c>
      <c r="K5473" t="s">
        <v>55</v>
      </c>
      <c r="L5473" t="s">
        <v>2915</v>
      </c>
      <c r="M5473" t="s">
        <v>57</v>
      </c>
      <c r="N5473" t="str">
        <f>"050484"</f>
        <v>050484</v>
      </c>
      <c r="O5473" t="s">
        <v>2911</v>
      </c>
      <c r="P5473" t="s">
        <v>68</v>
      </c>
      <c r="Q5473">
        <v>46</v>
      </c>
      <c r="R5473">
        <v>4.5999999999999943</v>
      </c>
      <c r="S5473" t="s">
        <v>130</v>
      </c>
    </row>
    <row r="5474" spans="1:19" x14ac:dyDescent="0.35">
      <c r="A5474">
        <v>19519</v>
      </c>
      <c r="B5474" t="str">
        <f>"019519"</f>
        <v>019519</v>
      </c>
      <c r="C5474" t="s">
        <v>14647</v>
      </c>
      <c r="D5474" t="s">
        <v>3400</v>
      </c>
      <c r="E5474" t="s">
        <v>3395</v>
      </c>
      <c r="F5474" t="s">
        <v>3396</v>
      </c>
      <c r="G5474" t="s">
        <v>362</v>
      </c>
      <c r="H5474" t="s">
        <v>363</v>
      </c>
      <c r="I5474" t="s">
        <v>364</v>
      </c>
      <c r="J5474" t="s">
        <v>365</v>
      </c>
      <c r="K5474" t="s">
        <v>55</v>
      </c>
      <c r="L5474" t="s">
        <v>366</v>
      </c>
      <c r="M5474" t="s">
        <v>57</v>
      </c>
      <c r="N5474" t="str">
        <f>"049288"</f>
        <v>049288</v>
      </c>
      <c r="O5474" t="s">
        <v>361</v>
      </c>
      <c r="P5474" t="s">
        <v>68</v>
      </c>
      <c r="Q5474">
        <v>43.2</v>
      </c>
      <c r="R5474">
        <v>2.2000000000000028</v>
      </c>
      <c r="S5474" t="s">
        <v>180</v>
      </c>
    </row>
    <row r="5475" spans="1:19" x14ac:dyDescent="0.35">
      <c r="A5475">
        <v>19511</v>
      </c>
      <c r="B5475" t="str">
        <f>"019511"</f>
        <v>019511</v>
      </c>
      <c r="C5475" t="s">
        <v>14648</v>
      </c>
      <c r="D5475" t="s">
        <v>3400</v>
      </c>
      <c r="E5475" t="s">
        <v>12048</v>
      </c>
      <c r="F5475" t="s">
        <v>3396</v>
      </c>
      <c r="G5475" t="s">
        <v>200</v>
      </c>
      <c r="H5475" t="s">
        <v>14649</v>
      </c>
      <c r="I5475" t="s">
        <v>14650</v>
      </c>
      <c r="J5475" t="s">
        <v>304</v>
      </c>
      <c r="K5475" t="s">
        <v>55</v>
      </c>
      <c r="L5475" t="s">
        <v>5763</v>
      </c>
      <c r="M5475" t="s">
        <v>57</v>
      </c>
      <c r="N5475" t="str">
        <f>"017093"</f>
        <v>017093</v>
      </c>
      <c r="O5475" t="s">
        <v>13664</v>
      </c>
      <c r="P5475" t="s">
        <v>68</v>
      </c>
      <c r="Q5475">
        <v>100</v>
      </c>
      <c r="R5475">
        <v>91.6</v>
      </c>
      <c r="S5475" t="s">
        <v>156</v>
      </c>
    </row>
    <row r="5476" spans="1:19" x14ac:dyDescent="0.35">
      <c r="A5476">
        <v>19511</v>
      </c>
      <c r="B5476" t="str">
        <f>"019511"</f>
        <v>019511</v>
      </c>
      <c r="C5476" t="s">
        <v>14648</v>
      </c>
      <c r="D5476" t="s">
        <v>12052</v>
      </c>
      <c r="E5476" t="s">
        <v>12048</v>
      </c>
      <c r="F5476" t="s">
        <v>3396</v>
      </c>
      <c r="G5476" t="s">
        <v>200</v>
      </c>
      <c r="H5476" t="s">
        <v>14649</v>
      </c>
      <c r="I5476" t="s">
        <v>14650</v>
      </c>
      <c r="J5476" t="s">
        <v>304</v>
      </c>
      <c r="K5476" t="s">
        <v>55</v>
      </c>
      <c r="L5476" t="s">
        <v>5763</v>
      </c>
      <c r="M5476" t="s">
        <v>57</v>
      </c>
      <c r="N5476" t="str">
        <f>"017093"</f>
        <v>017093</v>
      </c>
      <c r="O5476" t="s">
        <v>13664</v>
      </c>
      <c r="P5476" t="s">
        <v>68</v>
      </c>
      <c r="Q5476">
        <v>100</v>
      </c>
      <c r="R5476">
        <v>91.6</v>
      </c>
      <c r="S5476" t="s">
        <v>156</v>
      </c>
    </row>
    <row r="5477" spans="1:19" x14ac:dyDescent="0.35">
      <c r="A5477">
        <v>19511</v>
      </c>
      <c r="B5477" t="str">
        <f>"019511"</f>
        <v>019511</v>
      </c>
      <c r="C5477" t="s">
        <v>14648</v>
      </c>
      <c r="D5477" t="s">
        <v>4572</v>
      </c>
      <c r="E5477" t="s">
        <v>12048</v>
      </c>
      <c r="F5477" t="s">
        <v>3396</v>
      </c>
      <c r="G5477" t="s">
        <v>200</v>
      </c>
      <c r="H5477" t="s">
        <v>14649</v>
      </c>
      <c r="I5477" t="s">
        <v>14650</v>
      </c>
      <c r="J5477" t="s">
        <v>304</v>
      </c>
      <c r="K5477" t="s">
        <v>55</v>
      </c>
      <c r="L5477" t="s">
        <v>5763</v>
      </c>
      <c r="M5477" t="s">
        <v>57</v>
      </c>
      <c r="N5477" t="str">
        <f>"017093"</f>
        <v>017093</v>
      </c>
      <c r="O5477" t="s">
        <v>13664</v>
      </c>
      <c r="P5477" t="s">
        <v>68</v>
      </c>
      <c r="Q5477">
        <v>100</v>
      </c>
      <c r="R5477">
        <v>91.6</v>
      </c>
      <c r="S5477" t="s">
        <v>156</v>
      </c>
    </row>
    <row r="5478" spans="1:19" x14ac:dyDescent="0.35">
      <c r="A5478">
        <v>19478</v>
      </c>
      <c r="B5478" t="str">
        <f>"019478"</f>
        <v>019478</v>
      </c>
      <c r="C5478" t="s">
        <v>14651</v>
      </c>
      <c r="D5478" t="s">
        <v>3400</v>
      </c>
      <c r="E5478" t="s">
        <v>12048</v>
      </c>
      <c r="F5478" t="s">
        <v>3396</v>
      </c>
      <c r="G5478" t="s">
        <v>169</v>
      </c>
      <c r="H5478" t="s">
        <v>14652</v>
      </c>
      <c r="I5478" t="s">
        <v>14653</v>
      </c>
      <c r="J5478" t="s">
        <v>2973</v>
      </c>
      <c r="K5478" t="s">
        <v>55</v>
      </c>
      <c r="L5478" t="s">
        <v>2974</v>
      </c>
      <c r="M5478" t="s">
        <v>57</v>
      </c>
      <c r="N5478" t="str">
        <f>"015427"</f>
        <v>015427</v>
      </c>
      <c r="O5478" t="s">
        <v>12157</v>
      </c>
      <c r="P5478" t="s">
        <v>68</v>
      </c>
      <c r="Q5478">
        <v>99.3</v>
      </c>
      <c r="R5478">
        <v>38.4</v>
      </c>
      <c r="S5478" t="s">
        <v>77</v>
      </c>
    </row>
    <row r="5479" spans="1:19" x14ac:dyDescent="0.35">
      <c r="A5479">
        <v>19478</v>
      </c>
      <c r="B5479" t="str">
        <f>"019478"</f>
        <v>019478</v>
      </c>
      <c r="C5479" t="s">
        <v>14651</v>
      </c>
      <c r="D5479" t="s">
        <v>12052</v>
      </c>
      <c r="E5479" t="s">
        <v>12048</v>
      </c>
      <c r="F5479" t="s">
        <v>3396</v>
      </c>
      <c r="G5479" t="s">
        <v>169</v>
      </c>
      <c r="H5479" t="s">
        <v>14652</v>
      </c>
      <c r="I5479" t="s">
        <v>14653</v>
      </c>
      <c r="J5479" t="s">
        <v>2973</v>
      </c>
      <c r="K5479" t="s">
        <v>55</v>
      </c>
      <c r="L5479" t="s">
        <v>2974</v>
      </c>
      <c r="M5479" t="s">
        <v>57</v>
      </c>
      <c r="N5479" t="str">
        <f>"015427"</f>
        <v>015427</v>
      </c>
      <c r="O5479" t="s">
        <v>12157</v>
      </c>
      <c r="P5479" t="s">
        <v>68</v>
      </c>
      <c r="Q5479">
        <v>99.3</v>
      </c>
      <c r="R5479">
        <v>38.4</v>
      </c>
      <c r="S5479" t="s">
        <v>77</v>
      </c>
    </row>
    <row r="5480" spans="1:19" x14ac:dyDescent="0.35">
      <c r="A5480">
        <v>19478</v>
      </c>
      <c r="B5480" t="str">
        <f>"019478"</f>
        <v>019478</v>
      </c>
      <c r="C5480" t="s">
        <v>14651</v>
      </c>
      <c r="D5480" t="s">
        <v>4572</v>
      </c>
      <c r="E5480" t="s">
        <v>12048</v>
      </c>
      <c r="F5480" t="s">
        <v>3396</v>
      </c>
      <c r="G5480" t="s">
        <v>169</v>
      </c>
      <c r="H5480" t="s">
        <v>14652</v>
      </c>
      <c r="I5480" t="s">
        <v>14653</v>
      </c>
      <c r="J5480" t="s">
        <v>2973</v>
      </c>
      <c r="K5480" t="s">
        <v>55</v>
      </c>
      <c r="L5480" t="s">
        <v>2974</v>
      </c>
      <c r="M5480" t="s">
        <v>57</v>
      </c>
      <c r="N5480" t="str">
        <f>"015427"</f>
        <v>015427</v>
      </c>
      <c r="O5480" t="s">
        <v>12157</v>
      </c>
      <c r="P5480" t="s">
        <v>68</v>
      </c>
      <c r="Q5480">
        <v>99.3</v>
      </c>
      <c r="R5480">
        <v>38.4</v>
      </c>
      <c r="S5480" t="s">
        <v>77</v>
      </c>
    </row>
    <row r="5481" spans="1:19" x14ac:dyDescent="0.35">
      <c r="A5481">
        <v>19474</v>
      </c>
      <c r="B5481" t="str">
        <f>"019474"</f>
        <v>019474</v>
      </c>
      <c r="C5481" t="s">
        <v>14654</v>
      </c>
      <c r="D5481" t="s">
        <v>3394</v>
      </c>
      <c r="E5481" t="s">
        <v>12048</v>
      </c>
      <c r="F5481" t="s">
        <v>3396</v>
      </c>
      <c r="G5481" t="s">
        <v>200</v>
      </c>
      <c r="H5481" t="s">
        <v>14655</v>
      </c>
      <c r="I5481" t="s">
        <v>14656</v>
      </c>
      <c r="J5481" t="s">
        <v>304</v>
      </c>
      <c r="K5481" t="s">
        <v>55</v>
      </c>
      <c r="L5481" t="s">
        <v>3552</v>
      </c>
      <c r="M5481" t="s">
        <v>57</v>
      </c>
      <c r="N5481" t="str">
        <f>"019508"</f>
        <v>019508</v>
      </c>
      <c r="O5481" t="s">
        <v>14657</v>
      </c>
      <c r="P5481" t="s">
        <v>68</v>
      </c>
      <c r="Q5481">
        <v>76.5</v>
      </c>
      <c r="R5481">
        <v>87.2</v>
      </c>
      <c r="S5481" t="s">
        <v>156</v>
      </c>
    </row>
    <row r="5482" spans="1:19" x14ac:dyDescent="0.35">
      <c r="A5482">
        <v>19474</v>
      </c>
      <c r="B5482" t="str">
        <f>"019474"</f>
        <v>019474</v>
      </c>
      <c r="C5482" t="s">
        <v>14654</v>
      </c>
      <c r="D5482" t="s">
        <v>12052</v>
      </c>
      <c r="E5482" t="s">
        <v>12048</v>
      </c>
      <c r="F5482" t="s">
        <v>3396</v>
      </c>
      <c r="G5482" t="s">
        <v>200</v>
      </c>
      <c r="H5482" t="s">
        <v>14655</v>
      </c>
      <c r="I5482" t="s">
        <v>14656</v>
      </c>
      <c r="J5482" t="s">
        <v>304</v>
      </c>
      <c r="K5482" t="s">
        <v>55</v>
      </c>
      <c r="L5482" t="s">
        <v>3552</v>
      </c>
      <c r="M5482" t="s">
        <v>57</v>
      </c>
      <c r="N5482" t="str">
        <f>"019508"</f>
        <v>019508</v>
      </c>
      <c r="O5482" t="s">
        <v>14657</v>
      </c>
      <c r="P5482" t="s">
        <v>68</v>
      </c>
      <c r="Q5482">
        <v>76.5</v>
      </c>
      <c r="R5482">
        <v>87.2</v>
      </c>
      <c r="S5482" t="s">
        <v>156</v>
      </c>
    </row>
    <row r="5483" spans="1:19" x14ac:dyDescent="0.35">
      <c r="A5483">
        <v>19522</v>
      </c>
      <c r="B5483" t="str">
        <f>"019522"</f>
        <v>019522</v>
      </c>
      <c r="C5483" t="s">
        <v>14658</v>
      </c>
      <c r="D5483" t="s">
        <v>3543</v>
      </c>
      <c r="E5483" t="s">
        <v>3395</v>
      </c>
      <c r="F5483" t="s">
        <v>3396</v>
      </c>
      <c r="G5483" t="s">
        <v>212</v>
      </c>
      <c r="H5483" t="s">
        <v>14659</v>
      </c>
      <c r="I5483" t="s">
        <v>14660</v>
      </c>
      <c r="J5483" t="s">
        <v>215</v>
      </c>
      <c r="K5483" t="s">
        <v>55</v>
      </c>
      <c r="L5483" t="s">
        <v>914</v>
      </c>
      <c r="M5483" t="s">
        <v>57</v>
      </c>
      <c r="N5483" t="str">
        <f>"044412"</f>
        <v>044412</v>
      </c>
      <c r="O5483" t="s">
        <v>1627</v>
      </c>
      <c r="P5483" t="s">
        <v>68</v>
      </c>
      <c r="Q5483">
        <v>99</v>
      </c>
      <c r="R5483">
        <v>88.9</v>
      </c>
      <c r="S5483" t="s">
        <v>217</v>
      </c>
    </row>
    <row r="5484" spans="1:19" x14ac:dyDescent="0.35">
      <c r="A5484">
        <v>19530</v>
      </c>
      <c r="B5484" t="str">
        <f>"019530"</f>
        <v>019530</v>
      </c>
      <c r="C5484" t="s">
        <v>14661</v>
      </c>
      <c r="D5484" t="s">
        <v>3394</v>
      </c>
      <c r="E5484" t="s">
        <v>12048</v>
      </c>
      <c r="F5484" t="s">
        <v>3396</v>
      </c>
      <c r="G5484" t="s">
        <v>212</v>
      </c>
      <c r="H5484" t="s">
        <v>14662</v>
      </c>
      <c r="I5484" t="s">
        <v>14663</v>
      </c>
      <c r="J5484" t="s">
        <v>215</v>
      </c>
      <c r="K5484" t="s">
        <v>55</v>
      </c>
      <c r="L5484" t="s">
        <v>954</v>
      </c>
      <c r="M5484" t="s">
        <v>57</v>
      </c>
      <c r="N5484" t="str">
        <f>"N/A"</f>
        <v>N/A</v>
      </c>
      <c r="O5484" t="s">
        <v>49</v>
      </c>
      <c r="P5484" t="s">
        <v>68</v>
      </c>
      <c r="Q5484">
        <v>16.600000000000001</v>
      </c>
      <c r="R5484">
        <v>17.5</v>
      </c>
      <c r="S5484" t="s">
        <v>217</v>
      </c>
    </row>
    <row r="5485" spans="1:19" x14ac:dyDescent="0.35">
      <c r="A5485">
        <v>19530</v>
      </c>
      <c r="B5485" t="str">
        <f>"019530"</f>
        <v>019530</v>
      </c>
      <c r="C5485" t="s">
        <v>14661</v>
      </c>
      <c r="D5485" t="s">
        <v>12052</v>
      </c>
      <c r="E5485" t="s">
        <v>12048</v>
      </c>
      <c r="F5485" t="s">
        <v>3396</v>
      </c>
      <c r="G5485" t="s">
        <v>212</v>
      </c>
      <c r="H5485" t="s">
        <v>14662</v>
      </c>
      <c r="I5485" t="s">
        <v>14663</v>
      </c>
      <c r="J5485" t="s">
        <v>215</v>
      </c>
      <c r="K5485" t="s">
        <v>55</v>
      </c>
      <c r="L5485" t="s">
        <v>954</v>
      </c>
      <c r="M5485" t="s">
        <v>57</v>
      </c>
      <c r="N5485" t="str">
        <f>"N/A"</f>
        <v>N/A</v>
      </c>
      <c r="O5485" t="s">
        <v>49</v>
      </c>
      <c r="P5485" t="s">
        <v>68</v>
      </c>
      <c r="Q5485">
        <v>16.600000000000001</v>
      </c>
      <c r="R5485">
        <v>17.5</v>
      </c>
      <c r="S5485" t="s">
        <v>217</v>
      </c>
    </row>
    <row r="5486" spans="1:19" x14ac:dyDescent="0.35">
      <c r="A5486">
        <v>19503</v>
      </c>
      <c r="B5486" t="str">
        <f>"019503"</f>
        <v>019503</v>
      </c>
      <c r="C5486" t="s">
        <v>14664</v>
      </c>
      <c r="D5486" t="s">
        <v>3398</v>
      </c>
      <c r="E5486" t="s">
        <v>9538</v>
      </c>
      <c r="F5486" t="s">
        <v>3396</v>
      </c>
      <c r="G5486" t="s">
        <v>821</v>
      </c>
      <c r="H5486" t="s">
        <v>14665</v>
      </c>
      <c r="I5486" t="s">
        <v>14666</v>
      </c>
      <c r="J5486" t="s">
        <v>1427</v>
      </c>
      <c r="K5486" t="s">
        <v>55</v>
      </c>
      <c r="L5486" t="s">
        <v>1428</v>
      </c>
      <c r="M5486" t="s">
        <v>57</v>
      </c>
      <c r="N5486" t="str">
        <f>"019503"</f>
        <v>019503</v>
      </c>
      <c r="O5486" t="s">
        <v>14664</v>
      </c>
      <c r="P5486" t="s">
        <v>68</v>
      </c>
      <c r="Q5486" t="s">
        <v>68</v>
      </c>
      <c r="R5486" t="s">
        <v>68</v>
      </c>
      <c r="S5486" t="s">
        <v>156</v>
      </c>
    </row>
    <row r="5487" spans="1:19" x14ac:dyDescent="0.35">
      <c r="A5487">
        <v>19514</v>
      </c>
      <c r="B5487" t="str">
        <f>"019514"</f>
        <v>019514</v>
      </c>
      <c r="C5487" t="s">
        <v>7707</v>
      </c>
      <c r="D5487" t="s">
        <v>3400</v>
      </c>
      <c r="E5487" t="s">
        <v>3395</v>
      </c>
      <c r="F5487" t="s">
        <v>3396</v>
      </c>
      <c r="G5487" t="s">
        <v>600</v>
      </c>
      <c r="H5487" t="s">
        <v>13424</v>
      </c>
      <c r="I5487" t="s">
        <v>13425</v>
      </c>
      <c r="J5487" t="s">
        <v>1500</v>
      </c>
      <c r="K5487" t="s">
        <v>55</v>
      </c>
      <c r="L5487" t="s">
        <v>1501</v>
      </c>
      <c r="M5487" t="s">
        <v>57</v>
      </c>
      <c r="N5487" t="str">
        <f>"045138"</f>
        <v>045138</v>
      </c>
      <c r="O5487" t="s">
        <v>1497</v>
      </c>
      <c r="P5487" t="s">
        <v>68</v>
      </c>
      <c r="Q5487">
        <v>37.200000000000003</v>
      </c>
      <c r="R5487">
        <v>47</v>
      </c>
      <c r="S5487" t="s">
        <v>60</v>
      </c>
    </row>
    <row r="5488" spans="1:19" x14ac:dyDescent="0.35">
      <c r="A5488">
        <v>19509</v>
      </c>
      <c r="B5488" t="str">
        <f>"019509"</f>
        <v>019509</v>
      </c>
      <c r="C5488" t="s">
        <v>14373</v>
      </c>
      <c r="D5488" t="s">
        <v>3398</v>
      </c>
      <c r="E5488" t="s">
        <v>9538</v>
      </c>
      <c r="F5488" t="s">
        <v>3396</v>
      </c>
      <c r="G5488" t="s">
        <v>63</v>
      </c>
      <c r="H5488" t="s">
        <v>14667</v>
      </c>
      <c r="I5488" t="s">
        <v>14668</v>
      </c>
      <c r="J5488" t="s">
        <v>285</v>
      </c>
      <c r="K5488" t="s">
        <v>55</v>
      </c>
      <c r="L5488" t="s">
        <v>7551</v>
      </c>
      <c r="M5488" t="s">
        <v>57</v>
      </c>
      <c r="N5488" t="str">
        <f>"019509"</f>
        <v>019509</v>
      </c>
      <c r="O5488" t="s">
        <v>14373</v>
      </c>
      <c r="P5488" t="s">
        <v>68</v>
      </c>
      <c r="Q5488" t="s">
        <v>68</v>
      </c>
      <c r="R5488" t="s">
        <v>68</v>
      </c>
      <c r="S5488" t="s">
        <v>69</v>
      </c>
    </row>
    <row r="5489" spans="1:19" x14ac:dyDescent="0.35">
      <c r="A5489">
        <v>19518</v>
      </c>
      <c r="B5489" t="str">
        <f>"019518"</f>
        <v>019518</v>
      </c>
      <c r="C5489" t="s">
        <v>14669</v>
      </c>
      <c r="D5489" t="s">
        <v>3394</v>
      </c>
      <c r="E5489" t="s">
        <v>9538</v>
      </c>
      <c r="F5489" t="s">
        <v>3396</v>
      </c>
      <c r="G5489" t="s">
        <v>642</v>
      </c>
      <c r="H5489" t="s">
        <v>14670</v>
      </c>
      <c r="I5489" t="s">
        <v>14671</v>
      </c>
      <c r="J5489" t="s">
        <v>1461</v>
      </c>
      <c r="K5489" t="s">
        <v>55</v>
      </c>
      <c r="L5489" t="s">
        <v>1462</v>
      </c>
      <c r="M5489" t="s">
        <v>57</v>
      </c>
      <c r="N5489" t="str">
        <f>"019518"</f>
        <v>019518</v>
      </c>
      <c r="O5489" t="s">
        <v>14669</v>
      </c>
      <c r="P5489" t="s">
        <v>68</v>
      </c>
      <c r="Q5489" t="s">
        <v>68</v>
      </c>
      <c r="R5489" t="s">
        <v>68</v>
      </c>
      <c r="S5489" t="s">
        <v>180</v>
      </c>
    </row>
    <row r="5490" spans="1:19" x14ac:dyDescent="0.35">
      <c r="A5490">
        <v>19533</v>
      </c>
      <c r="B5490" t="str">
        <f>"019533"</f>
        <v>019533</v>
      </c>
      <c r="C5490" t="s">
        <v>14672</v>
      </c>
      <c r="D5490" t="s">
        <v>3394</v>
      </c>
      <c r="E5490" t="s">
        <v>12048</v>
      </c>
      <c r="F5490" t="s">
        <v>3396</v>
      </c>
      <c r="G5490" t="s">
        <v>600</v>
      </c>
      <c r="H5490" t="s">
        <v>14673</v>
      </c>
      <c r="I5490" t="s">
        <v>14674</v>
      </c>
      <c r="J5490" t="s">
        <v>1348</v>
      </c>
      <c r="K5490" t="s">
        <v>55</v>
      </c>
      <c r="L5490" t="s">
        <v>4810</v>
      </c>
      <c r="M5490" t="s">
        <v>57</v>
      </c>
      <c r="N5490" t="str">
        <f>"019599"</f>
        <v>019599</v>
      </c>
      <c r="O5490" t="s">
        <v>14675</v>
      </c>
      <c r="P5490" t="s">
        <v>68</v>
      </c>
      <c r="Q5490">
        <v>100</v>
      </c>
      <c r="R5490">
        <v>100</v>
      </c>
      <c r="S5490" t="s">
        <v>60</v>
      </c>
    </row>
    <row r="5491" spans="1:19" x14ac:dyDescent="0.35">
      <c r="A5491">
        <v>19533</v>
      </c>
      <c r="B5491" t="str">
        <f>"019533"</f>
        <v>019533</v>
      </c>
      <c r="C5491" t="s">
        <v>14672</v>
      </c>
      <c r="D5491" t="s">
        <v>12052</v>
      </c>
      <c r="E5491" t="s">
        <v>12048</v>
      </c>
      <c r="F5491" t="s">
        <v>3396</v>
      </c>
      <c r="G5491" t="s">
        <v>600</v>
      </c>
      <c r="H5491" t="s">
        <v>14673</v>
      </c>
      <c r="I5491" t="s">
        <v>14674</v>
      </c>
      <c r="J5491" t="s">
        <v>1348</v>
      </c>
      <c r="K5491" t="s">
        <v>55</v>
      </c>
      <c r="L5491" t="s">
        <v>4810</v>
      </c>
      <c r="M5491" t="s">
        <v>57</v>
      </c>
      <c r="N5491" t="str">
        <f>"019599"</f>
        <v>019599</v>
      </c>
      <c r="O5491" t="s">
        <v>14675</v>
      </c>
      <c r="P5491" t="s">
        <v>68</v>
      </c>
      <c r="Q5491">
        <v>100</v>
      </c>
      <c r="R5491">
        <v>100</v>
      </c>
      <c r="S5491" t="s">
        <v>60</v>
      </c>
    </row>
    <row r="5492" spans="1:19" x14ac:dyDescent="0.35">
      <c r="A5492">
        <v>19533</v>
      </c>
      <c r="B5492" t="str">
        <f>"019533"</f>
        <v>019533</v>
      </c>
      <c r="C5492" t="s">
        <v>14672</v>
      </c>
      <c r="D5492" t="s">
        <v>4572</v>
      </c>
      <c r="E5492" t="s">
        <v>12048</v>
      </c>
      <c r="F5492" t="s">
        <v>3396</v>
      </c>
      <c r="G5492" t="s">
        <v>600</v>
      </c>
      <c r="H5492" t="s">
        <v>14673</v>
      </c>
      <c r="I5492" t="s">
        <v>14674</v>
      </c>
      <c r="J5492" t="s">
        <v>1348</v>
      </c>
      <c r="K5492" t="s">
        <v>55</v>
      </c>
      <c r="L5492" t="s">
        <v>4810</v>
      </c>
      <c r="M5492" t="s">
        <v>57</v>
      </c>
      <c r="N5492" t="str">
        <f>"019599"</f>
        <v>019599</v>
      </c>
      <c r="O5492" t="s">
        <v>14675</v>
      </c>
      <c r="P5492" t="s">
        <v>68</v>
      </c>
      <c r="Q5492">
        <v>100</v>
      </c>
      <c r="R5492">
        <v>100</v>
      </c>
      <c r="S5492" t="s">
        <v>60</v>
      </c>
    </row>
    <row r="5493" spans="1:19" x14ac:dyDescent="0.35">
      <c r="A5493">
        <v>19565</v>
      </c>
      <c r="B5493" t="str">
        <f>"019565"</f>
        <v>019565</v>
      </c>
      <c r="C5493" t="s">
        <v>14676</v>
      </c>
      <c r="D5493" t="s">
        <v>3398</v>
      </c>
      <c r="E5493" t="s">
        <v>3395</v>
      </c>
      <c r="F5493" t="s">
        <v>3396</v>
      </c>
      <c r="G5493" t="s">
        <v>663</v>
      </c>
      <c r="H5493" t="s">
        <v>14677</v>
      </c>
      <c r="I5493" t="s">
        <v>14678</v>
      </c>
      <c r="J5493" t="s">
        <v>666</v>
      </c>
      <c r="K5493" t="s">
        <v>55</v>
      </c>
      <c r="L5493" t="s">
        <v>10457</v>
      </c>
      <c r="M5493" t="s">
        <v>57</v>
      </c>
      <c r="N5493" t="str">
        <f>"044297"</f>
        <v>044297</v>
      </c>
      <c r="O5493" t="s">
        <v>662</v>
      </c>
      <c r="P5493" t="s">
        <v>68</v>
      </c>
      <c r="Q5493">
        <v>100</v>
      </c>
      <c r="R5493">
        <v>46.1</v>
      </c>
      <c r="S5493" t="s">
        <v>77</v>
      </c>
    </row>
    <row r="5494" spans="1:19" x14ac:dyDescent="0.35">
      <c r="A5494">
        <v>19565</v>
      </c>
      <c r="B5494" t="str">
        <f>"019565"</f>
        <v>019565</v>
      </c>
      <c r="C5494" t="s">
        <v>14676</v>
      </c>
      <c r="D5494" t="s">
        <v>12476</v>
      </c>
      <c r="E5494" t="s">
        <v>3395</v>
      </c>
      <c r="F5494" t="s">
        <v>3396</v>
      </c>
      <c r="G5494" t="s">
        <v>663</v>
      </c>
      <c r="H5494" t="s">
        <v>14677</v>
      </c>
      <c r="I5494" t="s">
        <v>14678</v>
      </c>
      <c r="J5494" t="s">
        <v>666</v>
      </c>
      <c r="K5494" t="s">
        <v>55</v>
      </c>
      <c r="L5494" t="s">
        <v>10457</v>
      </c>
      <c r="M5494" t="s">
        <v>57</v>
      </c>
      <c r="N5494" t="str">
        <f>"044297"</f>
        <v>044297</v>
      </c>
      <c r="O5494" t="s">
        <v>662</v>
      </c>
      <c r="P5494" t="s">
        <v>68</v>
      </c>
      <c r="Q5494">
        <v>100</v>
      </c>
      <c r="R5494">
        <v>46.1</v>
      </c>
      <c r="S5494" t="s">
        <v>77</v>
      </c>
    </row>
    <row r="5495" spans="1:19" x14ac:dyDescent="0.35">
      <c r="A5495">
        <v>19546</v>
      </c>
      <c r="B5495" t="str">
        <f>"019546"</f>
        <v>019546</v>
      </c>
      <c r="C5495" t="s">
        <v>14679</v>
      </c>
      <c r="D5495" t="s">
        <v>3394</v>
      </c>
      <c r="E5495" t="s">
        <v>9538</v>
      </c>
      <c r="F5495" t="s">
        <v>3396</v>
      </c>
      <c r="G5495" t="s">
        <v>406</v>
      </c>
      <c r="H5495" t="s">
        <v>14680</v>
      </c>
      <c r="I5495" t="s">
        <v>14681</v>
      </c>
      <c r="J5495" t="s">
        <v>465</v>
      </c>
      <c r="K5495" t="s">
        <v>55</v>
      </c>
      <c r="L5495" t="s">
        <v>466</v>
      </c>
      <c r="M5495" t="s">
        <v>57</v>
      </c>
      <c r="N5495" t="str">
        <f>"019546"</f>
        <v>019546</v>
      </c>
      <c r="O5495" t="s">
        <v>14679</v>
      </c>
      <c r="P5495" t="s">
        <v>68</v>
      </c>
      <c r="Q5495" t="s">
        <v>68</v>
      </c>
      <c r="R5495" t="s">
        <v>68</v>
      </c>
      <c r="S5495" t="s">
        <v>77</v>
      </c>
    </row>
    <row r="5496" spans="1:19" x14ac:dyDescent="0.35">
      <c r="A5496">
        <v>19559</v>
      </c>
      <c r="B5496" t="str">
        <f>"019559"</f>
        <v>019559</v>
      </c>
      <c r="C5496" t="s">
        <v>14682</v>
      </c>
      <c r="D5496" t="s">
        <v>3394</v>
      </c>
      <c r="E5496" t="s">
        <v>9538</v>
      </c>
      <c r="F5496" t="s">
        <v>3396</v>
      </c>
      <c r="G5496" t="s">
        <v>200</v>
      </c>
      <c r="H5496" t="s">
        <v>14683</v>
      </c>
      <c r="I5496" t="s">
        <v>14684</v>
      </c>
      <c r="J5496" t="s">
        <v>304</v>
      </c>
      <c r="K5496" t="s">
        <v>55</v>
      </c>
      <c r="L5496" t="s">
        <v>3552</v>
      </c>
      <c r="M5496" t="s">
        <v>57</v>
      </c>
      <c r="N5496" t="str">
        <f>"052555"</f>
        <v>052555</v>
      </c>
      <c r="O5496" t="s">
        <v>3167</v>
      </c>
      <c r="P5496" t="s">
        <v>68</v>
      </c>
      <c r="Q5496" t="s">
        <v>68</v>
      </c>
      <c r="R5496" t="s">
        <v>68</v>
      </c>
      <c r="S5496" t="s">
        <v>156</v>
      </c>
    </row>
    <row r="5497" spans="1:19" x14ac:dyDescent="0.35">
      <c r="A5497">
        <v>19602</v>
      </c>
      <c r="B5497" t="str">
        <f>"019602"</f>
        <v>019602</v>
      </c>
      <c r="C5497" t="s">
        <v>14685</v>
      </c>
      <c r="D5497" t="s">
        <v>49</v>
      </c>
      <c r="E5497" t="s">
        <v>13608</v>
      </c>
      <c r="F5497" t="s">
        <v>3396</v>
      </c>
      <c r="G5497" t="s">
        <v>642</v>
      </c>
      <c r="H5497" t="s">
        <v>14686</v>
      </c>
      <c r="I5497" t="s">
        <v>14687</v>
      </c>
      <c r="J5497" t="s">
        <v>1469</v>
      </c>
      <c r="K5497" t="s">
        <v>55</v>
      </c>
      <c r="L5497" t="s">
        <v>1470</v>
      </c>
      <c r="M5497" t="s">
        <v>57</v>
      </c>
      <c r="N5497" t="str">
        <f>"019602"</f>
        <v>019602</v>
      </c>
      <c r="O5497" t="s">
        <v>14685</v>
      </c>
      <c r="P5497" t="s">
        <v>68</v>
      </c>
      <c r="Q5497" t="s">
        <v>68</v>
      </c>
      <c r="R5497" t="s">
        <v>68</v>
      </c>
      <c r="S5497" t="s">
        <v>180</v>
      </c>
    </row>
    <row r="5498" spans="1:19" x14ac:dyDescent="0.35">
      <c r="A5498">
        <v>19590</v>
      </c>
      <c r="B5498" t="str">
        <f>"019590"</f>
        <v>019590</v>
      </c>
      <c r="C5498" t="s">
        <v>14688</v>
      </c>
      <c r="D5498" t="s">
        <v>3543</v>
      </c>
      <c r="E5498" t="s">
        <v>3395</v>
      </c>
      <c r="F5498" t="s">
        <v>3396</v>
      </c>
      <c r="G5498" t="s">
        <v>1193</v>
      </c>
      <c r="H5498" t="s">
        <v>3307</v>
      </c>
      <c r="I5498" t="s">
        <v>3308</v>
      </c>
      <c r="J5498" t="s">
        <v>3309</v>
      </c>
      <c r="K5498" t="s">
        <v>55</v>
      </c>
      <c r="L5498" t="s">
        <v>3310</v>
      </c>
      <c r="M5498" t="s">
        <v>57</v>
      </c>
      <c r="N5498" t="str">
        <f>"043885"</f>
        <v>043885</v>
      </c>
      <c r="O5498" t="s">
        <v>3306</v>
      </c>
      <c r="P5498" t="s">
        <v>68</v>
      </c>
      <c r="Q5498" t="s">
        <v>68</v>
      </c>
      <c r="R5498" t="s">
        <v>68</v>
      </c>
      <c r="S5498" t="s">
        <v>156</v>
      </c>
    </row>
    <row r="5499" spans="1:19" x14ac:dyDescent="0.35">
      <c r="A5499">
        <v>19579</v>
      </c>
      <c r="B5499" t="str">
        <f>"019579"</f>
        <v>019579</v>
      </c>
      <c r="C5499" t="s">
        <v>14689</v>
      </c>
      <c r="D5499" t="s">
        <v>3543</v>
      </c>
      <c r="E5499" t="s">
        <v>3395</v>
      </c>
      <c r="F5499" t="s">
        <v>3396</v>
      </c>
      <c r="G5499" t="s">
        <v>674</v>
      </c>
      <c r="H5499" t="s">
        <v>7725</v>
      </c>
      <c r="I5499" t="s">
        <v>7726</v>
      </c>
      <c r="J5499" t="s">
        <v>1202</v>
      </c>
      <c r="K5499" t="s">
        <v>55</v>
      </c>
      <c r="L5499" t="s">
        <v>1203</v>
      </c>
      <c r="M5499" t="s">
        <v>57</v>
      </c>
      <c r="N5499" t="str">
        <f>"048843"</f>
        <v>048843</v>
      </c>
      <c r="O5499" t="s">
        <v>1199</v>
      </c>
      <c r="P5499" t="s">
        <v>68</v>
      </c>
      <c r="Q5499" t="s">
        <v>68</v>
      </c>
      <c r="R5499" t="s">
        <v>68</v>
      </c>
      <c r="S5499" t="s">
        <v>130</v>
      </c>
    </row>
    <row r="5500" spans="1:19" x14ac:dyDescent="0.35">
      <c r="A5500">
        <v>19581</v>
      </c>
      <c r="B5500" t="str">
        <f>"019581"</f>
        <v>019581</v>
      </c>
      <c r="C5500" t="s">
        <v>14690</v>
      </c>
      <c r="D5500" t="s">
        <v>3400</v>
      </c>
      <c r="E5500" t="s">
        <v>3395</v>
      </c>
      <c r="F5500" t="s">
        <v>3396</v>
      </c>
      <c r="G5500" t="s">
        <v>206</v>
      </c>
      <c r="H5500" t="s">
        <v>14691</v>
      </c>
      <c r="I5500" t="s">
        <v>14692</v>
      </c>
      <c r="J5500" t="s">
        <v>2483</v>
      </c>
      <c r="K5500" t="s">
        <v>55</v>
      </c>
      <c r="L5500" t="s">
        <v>2484</v>
      </c>
      <c r="M5500" t="s">
        <v>57</v>
      </c>
      <c r="N5500" t="str">
        <f>"046219"</f>
        <v>046219</v>
      </c>
      <c r="O5500" t="s">
        <v>2480</v>
      </c>
      <c r="P5500" t="s">
        <v>68</v>
      </c>
      <c r="Q5500">
        <v>22.2</v>
      </c>
      <c r="R5500">
        <v>7.7000000000000028</v>
      </c>
      <c r="S5500" t="s">
        <v>180</v>
      </c>
    </row>
    <row r="5501" spans="1:19" x14ac:dyDescent="0.35">
      <c r="A5501">
        <v>19613</v>
      </c>
      <c r="B5501" t="str">
        <f>"019613"</f>
        <v>019613</v>
      </c>
      <c r="C5501" t="s">
        <v>14693</v>
      </c>
      <c r="D5501" t="s">
        <v>3400</v>
      </c>
      <c r="E5501" t="s">
        <v>3395</v>
      </c>
      <c r="F5501" t="s">
        <v>3396</v>
      </c>
      <c r="G5501" t="s">
        <v>2304</v>
      </c>
      <c r="H5501" t="s">
        <v>2305</v>
      </c>
      <c r="I5501" t="s">
        <v>2306</v>
      </c>
      <c r="J5501" t="s">
        <v>2307</v>
      </c>
      <c r="K5501" t="s">
        <v>55</v>
      </c>
      <c r="L5501" t="s">
        <v>2308</v>
      </c>
      <c r="M5501" t="s">
        <v>57</v>
      </c>
      <c r="N5501" t="str">
        <f>"045419"</f>
        <v>045419</v>
      </c>
      <c r="O5501" t="s">
        <v>2303</v>
      </c>
      <c r="P5501" t="s">
        <v>68</v>
      </c>
      <c r="Q5501">
        <v>34.9</v>
      </c>
      <c r="R5501">
        <v>10.400000000000006</v>
      </c>
      <c r="S5501" t="s">
        <v>156</v>
      </c>
    </row>
    <row r="5502" spans="1:19" x14ac:dyDescent="0.35">
      <c r="A5502">
        <v>19621</v>
      </c>
      <c r="B5502" t="str">
        <f>"019621"</f>
        <v>019621</v>
      </c>
      <c r="C5502" t="s">
        <v>14694</v>
      </c>
      <c r="D5502" t="s">
        <v>3398</v>
      </c>
      <c r="E5502" t="s">
        <v>3395</v>
      </c>
      <c r="F5502" t="s">
        <v>3396</v>
      </c>
      <c r="G5502" t="s">
        <v>264</v>
      </c>
      <c r="H5502" t="s">
        <v>7334</v>
      </c>
      <c r="I5502" t="s">
        <v>7335</v>
      </c>
      <c r="J5502" t="s">
        <v>6350</v>
      </c>
      <c r="K5502" t="s">
        <v>55</v>
      </c>
      <c r="L5502" t="s">
        <v>6351</v>
      </c>
      <c r="M5502" t="s">
        <v>57</v>
      </c>
      <c r="N5502" t="str">
        <f>"050047"</f>
        <v>050047</v>
      </c>
      <c r="O5502" t="s">
        <v>883</v>
      </c>
      <c r="P5502" t="s">
        <v>68</v>
      </c>
      <c r="Q5502" t="s">
        <v>68</v>
      </c>
      <c r="R5502" t="s">
        <v>68</v>
      </c>
      <c r="S5502" t="s">
        <v>77</v>
      </c>
    </row>
    <row r="5503" spans="1:19" x14ac:dyDescent="0.35">
      <c r="A5503">
        <v>19621</v>
      </c>
      <c r="B5503" t="str">
        <f>"019621"</f>
        <v>019621</v>
      </c>
      <c r="C5503" t="s">
        <v>14694</v>
      </c>
      <c r="D5503" t="s">
        <v>12476</v>
      </c>
      <c r="E5503" t="s">
        <v>3395</v>
      </c>
      <c r="F5503" t="s">
        <v>3396</v>
      </c>
      <c r="G5503" t="s">
        <v>264</v>
      </c>
      <c r="H5503" t="s">
        <v>7334</v>
      </c>
      <c r="I5503" t="s">
        <v>7335</v>
      </c>
      <c r="J5503" t="s">
        <v>6350</v>
      </c>
      <c r="K5503" t="s">
        <v>55</v>
      </c>
      <c r="L5503" t="s">
        <v>6351</v>
      </c>
      <c r="M5503" t="s">
        <v>57</v>
      </c>
      <c r="N5503" t="str">
        <f>"050047"</f>
        <v>050047</v>
      </c>
      <c r="O5503" t="s">
        <v>883</v>
      </c>
      <c r="P5503" t="s">
        <v>68</v>
      </c>
      <c r="Q5503" t="s">
        <v>68</v>
      </c>
      <c r="R5503" t="s">
        <v>68</v>
      </c>
      <c r="S5503" t="s">
        <v>77</v>
      </c>
    </row>
    <row r="5504" spans="1:19" x14ac:dyDescent="0.35">
      <c r="A5504">
        <v>19617</v>
      </c>
      <c r="B5504" t="str">
        <f>"019617"</f>
        <v>019617</v>
      </c>
      <c r="C5504" t="s">
        <v>14695</v>
      </c>
      <c r="D5504" t="s">
        <v>3398</v>
      </c>
      <c r="E5504" t="s">
        <v>3395</v>
      </c>
      <c r="F5504" t="s">
        <v>3396</v>
      </c>
      <c r="G5504" t="s">
        <v>92</v>
      </c>
      <c r="H5504" t="s">
        <v>14696</v>
      </c>
      <c r="I5504" t="s">
        <v>14697</v>
      </c>
      <c r="J5504" t="s">
        <v>2295</v>
      </c>
      <c r="K5504" t="s">
        <v>55</v>
      </c>
      <c r="L5504" t="s">
        <v>2296</v>
      </c>
      <c r="M5504" t="s">
        <v>57</v>
      </c>
      <c r="N5504" t="str">
        <f>"046896"</f>
        <v>046896</v>
      </c>
      <c r="O5504" t="s">
        <v>2292</v>
      </c>
      <c r="P5504" t="s">
        <v>68</v>
      </c>
      <c r="Q5504">
        <v>31.3</v>
      </c>
      <c r="R5504">
        <v>43.7</v>
      </c>
      <c r="S5504" t="s">
        <v>60</v>
      </c>
    </row>
    <row r="5505" spans="1:19" x14ac:dyDescent="0.35">
      <c r="A5505">
        <v>19617</v>
      </c>
      <c r="B5505" t="str">
        <f>"019617"</f>
        <v>019617</v>
      </c>
      <c r="C5505" t="s">
        <v>14695</v>
      </c>
      <c r="D5505" t="s">
        <v>12476</v>
      </c>
      <c r="E5505" t="s">
        <v>3395</v>
      </c>
      <c r="F5505" t="s">
        <v>3396</v>
      </c>
      <c r="G5505" t="s">
        <v>92</v>
      </c>
      <c r="H5505" t="s">
        <v>14696</v>
      </c>
      <c r="I5505" t="s">
        <v>14697</v>
      </c>
      <c r="J5505" t="s">
        <v>2295</v>
      </c>
      <c r="K5505" t="s">
        <v>55</v>
      </c>
      <c r="L5505" t="s">
        <v>2296</v>
      </c>
      <c r="M5505" t="s">
        <v>57</v>
      </c>
      <c r="N5505" t="str">
        <f>"046896"</f>
        <v>046896</v>
      </c>
      <c r="O5505" t="s">
        <v>2292</v>
      </c>
      <c r="P5505" t="s">
        <v>68</v>
      </c>
      <c r="Q5505">
        <v>31.3</v>
      </c>
      <c r="R5505">
        <v>43.7</v>
      </c>
      <c r="S5505" t="s">
        <v>60</v>
      </c>
    </row>
    <row r="5506" spans="1:19" x14ac:dyDescent="0.35">
      <c r="A5506">
        <v>19628</v>
      </c>
      <c r="B5506" t="str">
        <f>"019628"</f>
        <v>019628</v>
      </c>
      <c r="C5506" t="s">
        <v>14698</v>
      </c>
      <c r="D5506" t="s">
        <v>3398</v>
      </c>
      <c r="E5506" t="s">
        <v>3395</v>
      </c>
      <c r="F5506" t="s">
        <v>3396</v>
      </c>
      <c r="G5506" t="s">
        <v>1041</v>
      </c>
      <c r="H5506" t="s">
        <v>14699</v>
      </c>
      <c r="I5506" t="s">
        <v>14700</v>
      </c>
      <c r="J5506" t="s">
        <v>1115</v>
      </c>
      <c r="K5506" t="s">
        <v>55</v>
      </c>
      <c r="L5506" t="s">
        <v>1116</v>
      </c>
      <c r="M5506" t="s">
        <v>57</v>
      </c>
      <c r="N5506" t="str">
        <f>"045500"</f>
        <v>045500</v>
      </c>
      <c r="O5506" t="s">
        <v>1112</v>
      </c>
      <c r="P5506" t="s">
        <v>68</v>
      </c>
      <c r="Q5506">
        <v>51.5</v>
      </c>
      <c r="R5506">
        <v>19.099999999999994</v>
      </c>
      <c r="S5506" t="s">
        <v>217</v>
      </c>
    </row>
    <row r="5507" spans="1:19" x14ac:dyDescent="0.35">
      <c r="A5507">
        <v>19610</v>
      </c>
      <c r="B5507" t="str">
        <f>"019610"</f>
        <v>019610</v>
      </c>
      <c r="C5507" t="s">
        <v>14701</v>
      </c>
      <c r="D5507" t="s">
        <v>3394</v>
      </c>
      <c r="E5507" t="s">
        <v>9538</v>
      </c>
      <c r="F5507" t="s">
        <v>3396</v>
      </c>
      <c r="G5507" t="s">
        <v>600</v>
      </c>
      <c r="H5507" t="s">
        <v>14702</v>
      </c>
      <c r="I5507" t="s">
        <v>14703</v>
      </c>
      <c r="J5507" t="s">
        <v>1348</v>
      </c>
      <c r="K5507" t="s">
        <v>55</v>
      </c>
      <c r="L5507" t="s">
        <v>4473</v>
      </c>
      <c r="M5507" t="s">
        <v>57</v>
      </c>
      <c r="N5507" t="str">
        <f>"019610"</f>
        <v>019610</v>
      </c>
      <c r="O5507" t="s">
        <v>14701</v>
      </c>
      <c r="P5507" t="s">
        <v>68</v>
      </c>
      <c r="Q5507" t="s">
        <v>68</v>
      </c>
      <c r="R5507" t="s">
        <v>68</v>
      </c>
      <c r="S5507" t="s">
        <v>60</v>
      </c>
    </row>
    <row r="5508" spans="1:19" x14ac:dyDescent="0.35">
      <c r="A5508">
        <v>19622</v>
      </c>
      <c r="B5508" t="str">
        <f>"019622"</f>
        <v>019622</v>
      </c>
      <c r="C5508" t="s">
        <v>14704</v>
      </c>
      <c r="D5508" t="s">
        <v>3398</v>
      </c>
      <c r="E5508" t="s">
        <v>3395</v>
      </c>
      <c r="F5508" t="s">
        <v>3396</v>
      </c>
      <c r="G5508" t="s">
        <v>200</v>
      </c>
      <c r="H5508" t="s">
        <v>14705</v>
      </c>
      <c r="I5508" t="s">
        <v>14706</v>
      </c>
      <c r="J5508" t="s">
        <v>304</v>
      </c>
      <c r="K5508" t="s">
        <v>55</v>
      </c>
      <c r="L5508" t="s">
        <v>3170</v>
      </c>
      <c r="M5508" t="s">
        <v>57</v>
      </c>
      <c r="N5508" t="str">
        <f>"044909"</f>
        <v>044909</v>
      </c>
      <c r="O5508" t="s">
        <v>3318</v>
      </c>
      <c r="P5508" t="s">
        <v>68</v>
      </c>
      <c r="Q5508">
        <v>53.9</v>
      </c>
      <c r="R5508">
        <v>60.5</v>
      </c>
      <c r="S5508" t="s">
        <v>156</v>
      </c>
    </row>
    <row r="5509" spans="1:19" x14ac:dyDescent="0.35">
      <c r="A5509">
        <v>19622</v>
      </c>
      <c r="B5509" t="str">
        <f>"019622"</f>
        <v>019622</v>
      </c>
      <c r="C5509" t="s">
        <v>14704</v>
      </c>
      <c r="D5509" t="s">
        <v>12476</v>
      </c>
      <c r="E5509" t="s">
        <v>3395</v>
      </c>
      <c r="F5509" t="s">
        <v>3396</v>
      </c>
      <c r="G5509" t="s">
        <v>200</v>
      </c>
      <c r="H5509" t="s">
        <v>14705</v>
      </c>
      <c r="I5509" t="s">
        <v>14706</v>
      </c>
      <c r="J5509" t="s">
        <v>304</v>
      </c>
      <c r="K5509" t="s">
        <v>55</v>
      </c>
      <c r="L5509" t="s">
        <v>3170</v>
      </c>
      <c r="M5509" t="s">
        <v>57</v>
      </c>
      <c r="N5509" t="str">
        <f>"044909"</f>
        <v>044909</v>
      </c>
      <c r="O5509" t="s">
        <v>3318</v>
      </c>
      <c r="P5509" t="s">
        <v>68</v>
      </c>
      <c r="Q5509">
        <v>53.9</v>
      </c>
      <c r="R5509">
        <v>60.5</v>
      </c>
      <c r="S5509" t="s">
        <v>156</v>
      </c>
    </row>
    <row r="5510" spans="1:19" x14ac:dyDescent="0.35">
      <c r="A5510">
        <v>19625</v>
      </c>
      <c r="B5510" t="str">
        <f>"019625"</f>
        <v>019625</v>
      </c>
      <c r="C5510" t="s">
        <v>14707</v>
      </c>
      <c r="D5510" t="s">
        <v>3398</v>
      </c>
      <c r="E5510" t="s">
        <v>3395</v>
      </c>
      <c r="F5510" t="s">
        <v>3396</v>
      </c>
      <c r="G5510" t="s">
        <v>543</v>
      </c>
      <c r="H5510" t="s">
        <v>14708</v>
      </c>
      <c r="I5510" t="s">
        <v>14709</v>
      </c>
      <c r="J5510" t="s">
        <v>687</v>
      </c>
      <c r="K5510" t="s">
        <v>55</v>
      </c>
      <c r="L5510" t="s">
        <v>786</v>
      </c>
      <c r="M5510" t="s">
        <v>57</v>
      </c>
      <c r="N5510" t="str">
        <f>"048702"</f>
        <v>048702</v>
      </c>
      <c r="O5510" t="s">
        <v>866</v>
      </c>
      <c r="P5510" t="s">
        <v>68</v>
      </c>
      <c r="Q5510">
        <v>52.9</v>
      </c>
      <c r="R5510">
        <v>38.200000000000003</v>
      </c>
      <c r="S5510" t="s">
        <v>180</v>
      </c>
    </row>
    <row r="5511" spans="1:19" x14ac:dyDescent="0.35">
      <c r="A5511">
        <v>19625</v>
      </c>
      <c r="B5511" t="str">
        <f>"019625"</f>
        <v>019625</v>
      </c>
      <c r="C5511" t="s">
        <v>14707</v>
      </c>
      <c r="D5511" t="s">
        <v>12476</v>
      </c>
      <c r="E5511" t="s">
        <v>3395</v>
      </c>
      <c r="F5511" t="s">
        <v>3396</v>
      </c>
      <c r="G5511" t="s">
        <v>543</v>
      </c>
      <c r="H5511" t="s">
        <v>14708</v>
      </c>
      <c r="I5511" t="s">
        <v>14709</v>
      </c>
      <c r="J5511" t="s">
        <v>687</v>
      </c>
      <c r="K5511" t="s">
        <v>55</v>
      </c>
      <c r="L5511" t="s">
        <v>786</v>
      </c>
      <c r="M5511" t="s">
        <v>57</v>
      </c>
      <c r="N5511" t="str">
        <f>"048702"</f>
        <v>048702</v>
      </c>
      <c r="O5511" t="s">
        <v>866</v>
      </c>
      <c r="P5511" t="s">
        <v>68</v>
      </c>
      <c r="Q5511">
        <v>52.9</v>
      </c>
      <c r="R5511">
        <v>38.200000000000003</v>
      </c>
      <c r="S5511" t="s">
        <v>180</v>
      </c>
    </row>
    <row r="5512" spans="1:19" x14ac:dyDescent="0.35">
      <c r="A5512">
        <v>19626</v>
      </c>
      <c r="B5512" t="str">
        <f>"019626"</f>
        <v>019626</v>
      </c>
      <c r="C5512" t="s">
        <v>14710</v>
      </c>
      <c r="D5512" t="s">
        <v>3398</v>
      </c>
      <c r="E5512" t="s">
        <v>3395</v>
      </c>
      <c r="F5512" t="s">
        <v>3396</v>
      </c>
      <c r="G5512" t="s">
        <v>600</v>
      </c>
      <c r="H5512" t="s">
        <v>3158</v>
      </c>
      <c r="I5512" t="s">
        <v>3159</v>
      </c>
      <c r="J5512" t="s">
        <v>3160</v>
      </c>
      <c r="K5512" t="s">
        <v>55</v>
      </c>
      <c r="L5512" t="s">
        <v>3161</v>
      </c>
      <c r="M5512" t="s">
        <v>57</v>
      </c>
      <c r="N5512" t="str">
        <f>"043620"</f>
        <v>043620</v>
      </c>
      <c r="O5512" t="s">
        <v>3157</v>
      </c>
      <c r="P5512" t="s">
        <v>68</v>
      </c>
      <c r="Q5512" t="s">
        <v>68</v>
      </c>
      <c r="R5512" t="s">
        <v>68</v>
      </c>
      <c r="S5512" t="s">
        <v>60</v>
      </c>
    </row>
    <row r="5513" spans="1:19" x14ac:dyDescent="0.35">
      <c r="A5513">
        <v>19626</v>
      </c>
      <c r="B5513" t="str">
        <f>"019626"</f>
        <v>019626</v>
      </c>
      <c r="C5513" t="s">
        <v>14710</v>
      </c>
      <c r="D5513" t="s">
        <v>12476</v>
      </c>
      <c r="E5513" t="s">
        <v>3395</v>
      </c>
      <c r="F5513" t="s">
        <v>3396</v>
      </c>
      <c r="G5513" t="s">
        <v>600</v>
      </c>
      <c r="H5513" t="s">
        <v>3158</v>
      </c>
      <c r="I5513" t="s">
        <v>3159</v>
      </c>
      <c r="J5513" t="s">
        <v>3160</v>
      </c>
      <c r="K5513" t="s">
        <v>55</v>
      </c>
      <c r="L5513" t="s">
        <v>3161</v>
      </c>
      <c r="M5513" t="s">
        <v>57</v>
      </c>
      <c r="N5513" t="str">
        <f>"043620"</f>
        <v>043620</v>
      </c>
      <c r="O5513" t="s">
        <v>3157</v>
      </c>
      <c r="P5513" t="s">
        <v>68</v>
      </c>
      <c r="Q5513" t="s">
        <v>68</v>
      </c>
      <c r="R5513" t="s">
        <v>68</v>
      </c>
      <c r="S5513" t="s">
        <v>60</v>
      </c>
    </row>
    <row r="5514" spans="1:19" x14ac:dyDescent="0.35">
      <c r="A5514">
        <v>19629</v>
      </c>
      <c r="B5514" t="str">
        <f>"019629"</f>
        <v>019629</v>
      </c>
      <c r="C5514" t="s">
        <v>14711</v>
      </c>
      <c r="D5514" t="s">
        <v>3398</v>
      </c>
      <c r="E5514" t="s">
        <v>3395</v>
      </c>
      <c r="F5514" t="s">
        <v>3396</v>
      </c>
      <c r="G5514" t="s">
        <v>187</v>
      </c>
      <c r="H5514" t="s">
        <v>14712</v>
      </c>
      <c r="I5514" t="s">
        <v>14713</v>
      </c>
      <c r="J5514" t="s">
        <v>190</v>
      </c>
      <c r="K5514" t="s">
        <v>55</v>
      </c>
      <c r="L5514" t="s">
        <v>191</v>
      </c>
      <c r="M5514" t="s">
        <v>57</v>
      </c>
      <c r="N5514" t="str">
        <f>"050534"</f>
        <v>050534</v>
      </c>
      <c r="O5514" t="s">
        <v>186</v>
      </c>
      <c r="P5514" t="s">
        <v>68</v>
      </c>
      <c r="Q5514">
        <v>46.8</v>
      </c>
      <c r="R5514">
        <v>0</v>
      </c>
      <c r="S5514" t="s">
        <v>77</v>
      </c>
    </row>
    <row r="5515" spans="1:19" x14ac:dyDescent="0.35">
      <c r="A5515">
        <v>19629</v>
      </c>
      <c r="B5515" t="str">
        <f>"019629"</f>
        <v>019629</v>
      </c>
      <c r="C5515" t="s">
        <v>14711</v>
      </c>
      <c r="D5515" t="s">
        <v>12476</v>
      </c>
      <c r="E5515" t="s">
        <v>3395</v>
      </c>
      <c r="F5515" t="s">
        <v>3396</v>
      </c>
      <c r="G5515" t="s">
        <v>187</v>
      </c>
      <c r="H5515" t="s">
        <v>14712</v>
      </c>
      <c r="I5515" t="s">
        <v>14713</v>
      </c>
      <c r="J5515" t="s">
        <v>190</v>
      </c>
      <c r="K5515" t="s">
        <v>55</v>
      </c>
      <c r="L5515" t="s">
        <v>191</v>
      </c>
      <c r="M5515" t="s">
        <v>57</v>
      </c>
      <c r="N5515" t="str">
        <f>"050534"</f>
        <v>050534</v>
      </c>
      <c r="O5515" t="s">
        <v>186</v>
      </c>
      <c r="P5515" t="s">
        <v>68</v>
      </c>
      <c r="Q5515">
        <v>46.8</v>
      </c>
      <c r="R5515">
        <v>0</v>
      </c>
      <c r="S5515" t="s">
        <v>77</v>
      </c>
    </row>
    <row r="5516" spans="1:19" x14ac:dyDescent="0.35">
      <c r="A5516">
        <v>19630</v>
      </c>
      <c r="B5516" t="str">
        <f>"019630"</f>
        <v>019630</v>
      </c>
      <c r="C5516" t="s">
        <v>14714</v>
      </c>
      <c r="D5516" t="s">
        <v>3398</v>
      </c>
      <c r="E5516" t="s">
        <v>3395</v>
      </c>
      <c r="F5516" t="s">
        <v>3396</v>
      </c>
      <c r="G5516" t="s">
        <v>543</v>
      </c>
      <c r="H5516" t="s">
        <v>14708</v>
      </c>
      <c r="I5516" t="s">
        <v>14709</v>
      </c>
      <c r="J5516" t="s">
        <v>687</v>
      </c>
      <c r="K5516" t="s">
        <v>55</v>
      </c>
      <c r="L5516" t="s">
        <v>786</v>
      </c>
      <c r="M5516" t="s">
        <v>57</v>
      </c>
      <c r="N5516" t="str">
        <f>"048686"</f>
        <v>048686</v>
      </c>
      <c r="O5516" t="s">
        <v>1987</v>
      </c>
      <c r="P5516" t="s">
        <v>68</v>
      </c>
      <c r="Q5516" t="s">
        <v>68</v>
      </c>
      <c r="R5516" t="s">
        <v>68</v>
      </c>
      <c r="S5516" t="s">
        <v>180</v>
      </c>
    </row>
    <row r="5517" spans="1:19" x14ac:dyDescent="0.35">
      <c r="A5517">
        <v>19630</v>
      </c>
      <c r="B5517" t="str">
        <f>"019630"</f>
        <v>019630</v>
      </c>
      <c r="C5517" t="s">
        <v>14714</v>
      </c>
      <c r="D5517" t="s">
        <v>12476</v>
      </c>
      <c r="E5517" t="s">
        <v>3395</v>
      </c>
      <c r="F5517" t="s">
        <v>3396</v>
      </c>
      <c r="G5517" t="s">
        <v>543</v>
      </c>
      <c r="H5517" t="s">
        <v>14708</v>
      </c>
      <c r="I5517" t="s">
        <v>14709</v>
      </c>
      <c r="J5517" t="s">
        <v>687</v>
      </c>
      <c r="K5517" t="s">
        <v>55</v>
      </c>
      <c r="L5517" t="s">
        <v>786</v>
      </c>
      <c r="M5517" t="s">
        <v>57</v>
      </c>
      <c r="N5517" t="str">
        <f>"048686"</f>
        <v>048686</v>
      </c>
      <c r="O5517" t="s">
        <v>1987</v>
      </c>
      <c r="P5517" t="s">
        <v>68</v>
      </c>
      <c r="Q5517" t="s">
        <v>68</v>
      </c>
      <c r="R5517" t="s">
        <v>68</v>
      </c>
      <c r="S5517" t="s">
        <v>180</v>
      </c>
    </row>
    <row r="5518" spans="1:19" x14ac:dyDescent="0.35">
      <c r="A5518">
        <v>19692</v>
      </c>
      <c r="B5518" t="str">
        <f>"019692"</f>
        <v>019692</v>
      </c>
      <c r="C5518" t="s">
        <v>14715</v>
      </c>
      <c r="D5518" t="s">
        <v>3394</v>
      </c>
      <c r="E5518" t="s">
        <v>3395</v>
      </c>
      <c r="F5518" t="s">
        <v>3396</v>
      </c>
      <c r="G5518" t="s">
        <v>383</v>
      </c>
      <c r="H5518" t="s">
        <v>1062</v>
      </c>
      <c r="I5518" t="s">
        <v>1063</v>
      </c>
      <c r="J5518" t="s">
        <v>1064</v>
      </c>
      <c r="K5518" t="s">
        <v>55</v>
      </c>
      <c r="L5518" t="s">
        <v>1065</v>
      </c>
      <c r="M5518" t="s">
        <v>57</v>
      </c>
      <c r="N5518" t="str">
        <f>"048348"</f>
        <v>048348</v>
      </c>
      <c r="O5518" t="s">
        <v>1061</v>
      </c>
      <c r="P5518" t="s">
        <v>68</v>
      </c>
      <c r="Q5518" t="s">
        <v>68</v>
      </c>
      <c r="R5518" t="s">
        <v>68</v>
      </c>
      <c r="S5518" t="s">
        <v>77</v>
      </c>
    </row>
    <row r="5519" spans="1:19" x14ac:dyDescent="0.35">
      <c r="A5519">
        <v>19643</v>
      </c>
      <c r="B5519" t="str">
        <f>"019643"</f>
        <v>019643</v>
      </c>
      <c r="C5519" t="s">
        <v>14716</v>
      </c>
      <c r="D5519" t="s">
        <v>3398</v>
      </c>
      <c r="E5519" t="s">
        <v>3395</v>
      </c>
      <c r="F5519" t="s">
        <v>3396</v>
      </c>
      <c r="G5519" t="s">
        <v>600</v>
      </c>
      <c r="H5519" t="s">
        <v>1015</v>
      </c>
      <c r="I5519" t="s">
        <v>1016</v>
      </c>
      <c r="J5519" t="s">
        <v>1017</v>
      </c>
      <c r="K5519" t="s">
        <v>55</v>
      </c>
      <c r="L5519" t="s">
        <v>1018</v>
      </c>
      <c r="M5519" t="s">
        <v>57</v>
      </c>
      <c r="N5519" t="str">
        <f>"044933"</f>
        <v>044933</v>
      </c>
      <c r="O5519" t="s">
        <v>1014</v>
      </c>
      <c r="P5519" t="s">
        <v>68</v>
      </c>
      <c r="Q5519">
        <v>0</v>
      </c>
      <c r="R5519">
        <v>19.200000000000003</v>
      </c>
      <c r="S5519" t="s">
        <v>60</v>
      </c>
    </row>
    <row r="5520" spans="1:19" x14ac:dyDescent="0.35">
      <c r="A5520">
        <v>19643</v>
      </c>
      <c r="B5520" t="str">
        <f>"019643"</f>
        <v>019643</v>
      </c>
      <c r="C5520" t="s">
        <v>14716</v>
      </c>
      <c r="D5520" t="s">
        <v>12476</v>
      </c>
      <c r="E5520" t="s">
        <v>3395</v>
      </c>
      <c r="F5520" t="s">
        <v>3396</v>
      </c>
      <c r="G5520" t="s">
        <v>600</v>
      </c>
      <c r="H5520" t="s">
        <v>1015</v>
      </c>
      <c r="I5520" t="s">
        <v>1016</v>
      </c>
      <c r="J5520" t="s">
        <v>1017</v>
      </c>
      <c r="K5520" t="s">
        <v>55</v>
      </c>
      <c r="L5520" t="s">
        <v>1018</v>
      </c>
      <c r="M5520" t="s">
        <v>57</v>
      </c>
      <c r="N5520" t="str">
        <f>"044933"</f>
        <v>044933</v>
      </c>
      <c r="O5520" t="s">
        <v>1014</v>
      </c>
      <c r="P5520" t="s">
        <v>68</v>
      </c>
      <c r="Q5520">
        <v>0</v>
      </c>
      <c r="R5520">
        <v>19.200000000000003</v>
      </c>
      <c r="S5520" t="s">
        <v>60</v>
      </c>
    </row>
    <row r="5521" spans="1:19" x14ac:dyDescent="0.35">
      <c r="A5521">
        <v>19672</v>
      </c>
      <c r="B5521" t="str">
        <f>"019672"</f>
        <v>019672</v>
      </c>
      <c r="C5521" t="s">
        <v>14717</v>
      </c>
      <c r="D5521" t="s">
        <v>3398</v>
      </c>
      <c r="E5521" t="s">
        <v>3395</v>
      </c>
      <c r="F5521" t="s">
        <v>3396</v>
      </c>
      <c r="G5521" t="s">
        <v>406</v>
      </c>
      <c r="H5521" t="s">
        <v>14718</v>
      </c>
      <c r="I5521" t="s">
        <v>14719</v>
      </c>
      <c r="J5521" t="s">
        <v>406</v>
      </c>
      <c r="K5521" t="s">
        <v>55</v>
      </c>
      <c r="L5521" t="s">
        <v>409</v>
      </c>
      <c r="M5521" t="s">
        <v>57</v>
      </c>
      <c r="N5521" t="str">
        <f>"048496"</f>
        <v>048496</v>
      </c>
      <c r="O5521" t="s">
        <v>405</v>
      </c>
      <c r="P5521" t="s">
        <v>68</v>
      </c>
      <c r="Q5521" t="s">
        <v>68</v>
      </c>
      <c r="R5521" t="s">
        <v>68</v>
      </c>
      <c r="S5521" t="s">
        <v>77</v>
      </c>
    </row>
    <row r="5522" spans="1:19" x14ac:dyDescent="0.35">
      <c r="A5522">
        <v>19672</v>
      </c>
      <c r="B5522" t="str">
        <f>"019672"</f>
        <v>019672</v>
      </c>
      <c r="C5522" t="s">
        <v>14717</v>
      </c>
      <c r="D5522" t="s">
        <v>12476</v>
      </c>
      <c r="E5522" t="s">
        <v>3395</v>
      </c>
      <c r="F5522" t="s">
        <v>3396</v>
      </c>
      <c r="G5522" t="s">
        <v>406</v>
      </c>
      <c r="H5522" t="s">
        <v>14718</v>
      </c>
      <c r="I5522" t="s">
        <v>14719</v>
      </c>
      <c r="J5522" t="s">
        <v>406</v>
      </c>
      <c r="K5522" t="s">
        <v>55</v>
      </c>
      <c r="L5522" t="s">
        <v>409</v>
      </c>
      <c r="M5522" t="s">
        <v>57</v>
      </c>
      <c r="N5522" t="str">
        <f>"048496"</f>
        <v>048496</v>
      </c>
      <c r="O5522" t="s">
        <v>405</v>
      </c>
      <c r="P5522" t="s">
        <v>68</v>
      </c>
      <c r="Q5522" t="s">
        <v>68</v>
      </c>
      <c r="R5522" t="s">
        <v>68</v>
      </c>
      <c r="S5522" t="s">
        <v>77</v>
      </c>
    </row>
    <row r="5523" spans="1:19" x14ac:dyDescent="0.35">
      <c r="A5523">
        <v>19636</v>
      </c>
      <c r="B5523" t="str">
        <f>"019636"</f>
        <v>019636</v>
      </c>
      <c r="C5523" t="s">
        <v>14720</v>
      </c>
      <c r="D5523" t="s">
        <v>3398</v>
      </c>
      <c r="E5523" t="s">
        <v>3395</v>
      </c>
      <c r="F5523" t="s">
        <v>3396</v>
      </c>
      <c r="G5523" t="s">
        <v>543</v>
      </c>
      <c r="H5523" t="s">
        <v>14708</v>
      </c>
      <c r="I5523" t="s">
        <v>14709</v>
      </c>
      <c r="J5523" t="s">
        <v>687</v>
      </c>
      <c r="K5523" t="s">
        <v>55</v>
      </c>
      <c r="L5523" t="s">
        <v>786</v>
      </c>
      <c r="M5523" t="s">
        <v>57</v>
      </c>
      <c r="N5523" t="str">
        <f>"044958"</f>
        <v>044958</v>
      </c>
      <c r="O5523" t="s">
        <v>3058</v>
      </c>
      <c r="P5523" t="s">
        <v>68</v>
      </c>
      <c r="Q5523" t="s">
        <v>68</v>
      </c>
      <c r="R5523" t="s">
        <v>68</v>
      </c>
      <c r="S5523" t="s">
        <v>180</v>
      </c>
    </row>
    <row r="5524" spans="1:19" x14ac:dyDescent="0.35">
      <c r="A5524">
        <v>19636</v>
      </c>
      <c r="B5524" t="str">
        <f>"019636"</f>
        <v>019636</v>
      </c>
      <c r="C5524" t="s">
        <v>14720</v>
      </c>
      <c r="D5524" t="s">
        <v>12476</v>
      </c>
      <c r="E5524" t="s">
        <v>3395</v>
      </c>
      <c r="F5524" t="s">
        <v>3396</v>
      </c>
      <c r="G5524" t="s">
        <v>543</v>
      </c>
      <c r="H5524" t="s">
        <v>14708</v>
      </c>
      <c r="I5524" t="s">
        <v>14709</v>
      </c>
      <c r="J5524" t="s">
        <v>687</v>
      </c>
      <c r="K5524" t="s">
        <v>55</v>
      </c>
      <c r="L5524" t="s">
        <v>786</v>
      </c>
      <c r="M5524" t="s">
        <v>57</v>
      </c>
      <c r="N5524" t="str">
        <f>"044958"</f>
        <v>044958</v>
      </c>
      <c r="O5524" t="s">
        <v>3058</v>
      </c>
      <c r="P5524" t="s">
        <v>68</v>
      </c>
      <c r="Q5524" t="s">
        <v>68</v>
      </c>
      <c r="R5524" t="s">
        <v>68</v>
      </c>
      <c r="S5524" t="s">
        <v>180</v>
      </c>
    </row>
    <row r="5525" spans="1:19" x14ac:dyDescent="0.35">
      <c r="A5525">
        <v>19689</v>
      </c>
      <c r="B5525" t="str">
        <f>"019689"</f>
        <v>019689</v>
      </c>
      <c r="C5525" t="s">
        <v>14721</v>
      </c>
      <c r="D5525" t="s">
        <v>3398</v>
      </c>
      <c r="E5525" t="s">
        <v>3395</v>
      </c>
      <c r="F5525" t="s">
        <v>3396</v>
      </c>
      <c r="G5525" t="s">
        <v>383</v>
      </c>
      <c r="H5525" t="s">
        <v>14722</v>
      </c>
      <c r="I5525" t="s">
        <v>2450</v>
      </c>
      <c r="J5525" t="s">
        <v>10476</v>
      </c>
      <c r="K5525" t="s">
        <v>55</v>
      </c>
      <c r="L5525" t="s">
        <v>2451</v>
      </c>
      <c r="M5525" t="s">
        <v>57</v>
      </c>
      <c r="N5525" t="str">
        <f>"048306"</f>
        <v>048306</v>
      </c>
      <c r="O5525" t="s">
        <v>2448</v>
      </c>
      <c r="P5525" t="s">
        <v>68</v>
      </c>
      <c r="Q5525">
        <v>0</v>
      </c>
      <c r="R5525">
        <v>29.400000000000006</v>
      </c>
      <c r="S5525" t="s">
        <v>77</v>
      </c>
    </row>
    <row r="5526" spans="1:19" x14ac:dyDescent="0.35">
      <c r="A5526">
        <v>19689</v>
      </c>
      <c r="B5526" t="str">
        <f>"019689"</f>
        <v>019689</v>
      </c>
      <c r="C5526" t="s">
        <v>14721</v>
      </c>
      <c r="D5526" t="s">
        <v>12476</v>
      </c>
      <c r="E5526" t="s">
        <v>3395</v>
      </c>
      <c r="F5526" t="s">
        <v>3396</v>
      </c>
      <c r="G5526" t="s">
        <v>383</v>
      </c>
      <c r="H5526" t="s">
        <v>14722</v>
      </c>
      <c r="I5526" t="s">
        <v>2450</v>
      </c>
      <c r="J5526" t="s">
        <v>10476</v>
      </c>
      <c r="K5526" t="s">
        <v>55</v>
      </c>
      <c r="L5526" t="s">
        <v>2451</v>
      </c>
      <c r="M5526" t="s">
        <v>57</v>
      </c>
      <c r="N5526" t="str">
        <f>"048306"</f>
        <v>048306</v>
      </c>
      <c r="O5526" t="s">
        <v>2448</v>
      </c>
      <c r="P5526" t="s">
        <v>68</v>
      </c>
      <c r="Q5526">
        <v>0</v>
      </c>
      <c r="R5526">
        <v>29.400000000000006</v>
      </c>
      <c r="S5526" t="s">
        <v>77</v>
      </c>
    </row>
    <row r="5527" spans="1:19" x14ac:dyDescent="0.35">
      <c r="A5527">
        <v>19660</v>
      </c>
      <c r="B5527" t="str">
        <f>"019660"</f>
        <v>019660</v>
      </c>
      <c r="C5527" t="s">
        <v>14723</v>
      </c>
      <c r="D5527" t="s">
        <v>3398</v>
      </c>
      <c r="E5527" t="s">
        <v>3395</v>
      </c>
      <c r="F5527" t="s">
        <v>3396</v>
      </c>
      <c r="G5527" t="s">
        <v>759</v>
      </c>
      <c r="H5527" t="s">
        <v>2778</v>
      </c>
      <c r="I5527" t="s">
        <v>2779</v>
      </c>
      <c r="J5527" t="s">
        <v>2780</v>
      </c>
      <c r="K5527" t="s">
        <v>55</v>
      </c>
      <c r="L5527" t="s">
        <v>2781</v>
      </c>
      <c r="M5527" t="s">
        <v>57</v>
      </c>
      <c r="N5527" t="str">
        <f>"046821"</f>
        <v>046821</v>
      </c>
      <c r="O5527" t="s">
        <v>2777</v>
      </c>
      <c r="P5527" t="s">
        <v>68</v>
      </c>
      <c r="Q5527" t="s">
        <v>68</v>
      </c>
      <c r="R5527" t="s">
        <v>68</v>
      </c>
      <c r="S5527" t="s">
        <v>69</v>
      </c>
    </row>
    <row r="5528" spans="1:19" x14ac:dyDescent="0.35">
      <c r="A5528">
        <v>19660</v>
      </c>
      <c r="B5528" t="str">
        <f>"019660"</f>
        <v>019660</v>
      </c>
      <c r="C5528" t="s">
        <v>14723</v>
      </c>
      <c r="D5528" t="s">
        <v>12476</v>
      </c>
      <c r="E5528" t="s">
        <v>3395</v>
      </c>
      <c r="F5528" t="s">
        <v>3396</v>
      </c>
      <c r="G5528" t="s">
        <v>759</v>
      </c>
      <c r="H5528" t="s">
        <v>2778</v>
      </c>
      <c r="I5528" t="s">
        <v>2779</v>
      </c>
      <c r="J5528" t="s">
        <v>2780</v>
      </c>
      <c r="K5528" t="s">
        <v>55</v>
      </c>
      <c r="L5528" t="s">
        <v>2781</v>
      </c>
      <c r="M5528" t="s">
        <v>57</v>
      </c>
      <c r="N5528" t="str">
        <f>"046821"</f>
        <v>046821</v>
      </c>
      <c r="O5528" t="s">
        <v>2777</v>
      </c>
      <c r="P5528" t="s">
        <v>68</v>
      </c>
      <c r="Q5528" t="s">
        <v>68</v>
      </c>
      <c r="R5528" t="s">
        <v>68</v>
      </c>
      <c r="S5528" t="s">
        <v>69</v>
      </c>
    </row>
    <row r="5529" spans="1:19" x14ac:dyDescent="0.35">
      <c r="A5529">
        <v>19662</v>
      </c>
      <c r="B5529" t="str">
        <f>"019662"</f>
        <v>019662</v>
      </c>
      <c r="C5529" t="s">
        <v>14724</v>
      </c>
      <c r="D5529" t="s">
        <v>3398</v>
      </c>
      <c r="E5529" t="s">
        <v>3395</v>
      </c>
      <c r="F5529" t="s">
        <v>3396</v>
      </c>
      <c r="G5529" t="s">
        <v>406</v>
      </c>
      <c r="H5529" t="s">
        <v>463</v>
      </c>
      <c r="I5529" t="s">
        <v>464</v>
      </c>
      <c r="J5529" t="s">
        <v>465</v>
      </c>
      <c r="K5529" t="s">
        <v>55</v>
      </c>
      <c r="L5529" t="s">
        <v>466</v>
      </c>
      <c r="M5529" t="s">
        <v>57</v>
      </c>
      <c r="N5529" t="str">
        <f>"044974"</f>
        <v>044974</v>
      </c>
      <c r="O5529" t="s">
        <v>462</v>
      </c>
      <c r="P5529" t="s">
        <v>68</v>
      </c>
      <c r="Q5529" t="s">
        <v>68</v>
      </c>
      <c r="R5529" t="s">
        <v>68</v>
      </c>
      <c r="S5529" t="s">
        <v>77</v>
      </c>
    </row>
    <row r="5530" spans="1:19" x14ac:dyDescent="0.35">
      <c r="A5530">
        <v>19662</v>
      </c>
      <c r="B5530" t="str">
        <f>"019662"</f>
        <v>019662</v>
      </c>
      <c r="C5530" t="s">
        <v>14724</v>
      </c>
      <c r="D5530" t="s">
        <v>12476</v>
      </c>
      <c r="E5530" t="s">
        <v>3395</v>
      </c>
      <c r="F5530" t="s">
        <v>3396</v>
      </c>
      <c r="G5530" t="s">
        <v>406</v>
      </c>
      <c r="H5530" t="s">
        <v>463</v>
      </c>
      <c r="I5530" t="s">
        <v>464</v>
      </c>
      <c r="J5530" t="s">
        <v>465</v>
      </c>
      <c r="K5530" t="s">
        <v>55</v>
      </c>
      <c r="L5530" t="s">
        <v>466</v>
      </c>
      <c r="M5530" t="s">
        <v>57</v>
      </c>
      <c r="N5530" t="str">
        <f>"044974"</f>
        <v>044974</v>
      </c>
      <c r="O5530" t="s">
        <v>462</v>
      </c>
      <c r="P5530" t="s">
        <v>68</v>
      </c>
      <c r="Q5530" t="s">
        <v>68</v>
      </c>
      <c r="R5530" t="s">
        <v>68</v>
      </c>
      <c r="S5530" t="s">
        <v>77</v>
      </c>
    </row>
    <row r="5531" spans="1:19" x14ac:dyDescent="0.35">
      <c r="A5531">
        <v>19658</v>
      </c>
      <c r="B5531" t="str">
        <f>"019658"</f>
        <v>019658</v>
      </c>
      <c r="C5531" t="s">
        <v>14725</v>
      </c>
      <c r="D5531" t="s">
        <v>3398</v>
      </c>
      <c r="E5531" t="s">
        <v>3395</v>
      </c>
      <c r="F5531" t="s">
        <v>3396</v>
      </c>
      <c r="G5531" t="s">
        <v>63</v>
      </c>
      <c r="H5531" t="s">
        <v>1832</v>
      </c>
      <c r="I5531" t="s">
        <v>1833</v>
      </c>
      <c r="J5531" t="s">
        <v>1834</v>
      </c>
      <c r="K5531" t="s">
        <v>55</v>
      </c>
      <c r="L5531" t="s">
        <v>1835</v>
      </c>
      <c r="M5531" t="s">
        <v>57</v>
      </c>
      <c r="N5531" t="str">
        <f>"044842"</f>
        <v>044842</v>
      </c>
      <c r="O5531" t="s">
        <v>1831</v>
      </c>
      <c r="P5531" t="s">
        <v>68</v>
      </c>
      <c r="Q5531">
        <v>0</v>
      </c>
      <c r="R5531">
        <v>27.799999999999997</v>
      </c>
      <c r="S5531" t="s">
        <v>69</v>
      </c>
    </row>
    <row r="5532" spans="1:19" x14ac:dyDescent="0.35">
      <c r="A5532">
        <v>19658</v>
      </c>
      <c r="B5532" t="str">
        <f>"019658"</f>
        <v>019658</v>
      </c>
      <c r="C5532" t="s">
        <v>14725</v>
      </c>
      <c r="D5532" t="s">
        <v>12476</v>
      </c>
      <c r="E5532" t="s">
        <v>3395</v>
      </c>
      <c r="F5532" t="s">
        <v>3396</v>
      </c>
      <c r="G5532" t="s">
        <v>63</v>
      </c>
      <c r="H5532" t="s">
        <v>1832</v>
      </c>
      <c r="I5532" t="s">
        <v>1833</v>
      </c>
      <c r="J5532" t="s">
        <v>1834</v>
      </c>
      <c r="K5532" t="s">
        <v>55</v>
      </c>
      <c r="L5532" t="s">
        <v>1835</v>
      </c>
      <c r="M5532" t="s">
        <v>57</v>
      </c>
      <c r="N5532" t="str">
        <f>"044842"</f>
        <v>044842</v>
      </c>
      <c r="O5532" t="s">
        <v>1831</v>
      </c>
      <c r="P5532" t="s">
        <v>68</v>
      </c>
      <c r="Q5532">
        <v>0</v>
      </c>
      <c r="R5532">
        <v>27.799999999999997</v>
      </c>
      <c r="S5532" t="s">
        <v>69</v>
      </c>
    </row>
    <row r="5533" spans="1:19" x14ac:dyDescent="0.35">
      <c r="A5533">
        <v>19651</v>
      </c>
      <c r="B5533" t="str">
        <f>"019651"</f>
        <v>019651</v>
      </c>
      <c r="C5533" t="s">
        <v>14726</v>
      </c>
      <c r="D5533" t="s">
        <v>3398</v>
      </c>
      <c r="E5533" t="s">
        <v>3395</v>
      </c>
      <c r="F5533" t="s">
        <v>3396</v>
      </c>
      <c r="G5533" t="s">
        <v>511</v>
      </c>
      <c r="H5533" t="s">
        <v>512</v>
      </c>
      <c r="I5533" t="s">
        <v>513</v>
      </c>
      <c r="J5533" t="s">
        <v>514</v>
      </c>
      <c r="K5533" t="s">
        <v>55</v>
      </c>
      <c r="L5533" t="s">
        <v>515</v>
      </c>
      <c r="M5533" t="s">
        <v>57</v>
      </c>
      <c r="N5533" t="str">
        <f>"047175"</f>
        <v>047175</v>
      </c>
      <c r="O5533" t="s">
        <v>510</v>
      </c>
      <c r="P5533" t="s">
        <v>68</v>
      </c>
      <c r="Q5533" t="s">
        <v>68</v>
      </c>
      <c r="R5533" t="s">
        <v>68</v>
      </c>
      <c r="S5533" t="s">
        <v>69</v>
      </c>
    </row>
    <row r="5534" spans="1:19" x14ac:dyDescent="0.35">
      <c r="A5534">
        <v>19651</v>
      </c>
      <c r="B5534" t="str">
        <f>"019651"</f>
        <v>019651</v>
      </c>
      <c r="C5534" t="s">
        <v>14726</v>
      </c>
      <c r="D5534" t="s">
        <v>12476</v>
      </c>
      <c r="E5534" t="s">
        <v>3395</v>
      </c>
      <c r="F5534" t="s">
        <v>3396</v>
      </c>
      <c r="G5534" t="s">
        <v>511</v>
      </c>
      <c r="H5534" t="s">
        <v>512</v>
      </c>
      <c r="I5534" t="s">
        <v>513</v>
      </c>
      <c r="J5534" t="s">
        <v>514</v>
      </c>
      <c r="K5534" t="s">
        <v>55</v>
      </c>
      <c r="L5534" t="s">
        <v>515</v>
      </c>
      <c r="M5534" t="s">
        <v>57</v>
      </c>
      <c r="N5534" t="str">
        <f>"047175"</f>
        <v>047175</v>
      </c>
      <c r="O5534" t="s">
        <v>510</v>
      </c>
      <c r="P5534" t="s">
        <v>68</v>
      </c>
      <c r="Q5534" t="s">
        <v>68</v>
      </c>
      <c r="R5534" t="s">
        <v>68</v>
      </c>
      <c r="S5534" t="s">
        <v>69</v>
      </c>
    </row>
    <row r="5535" spans="1:19" x14ac:dyDescent="0.35">
      <c r="A5535">
        <v>19656</v>
      </c>
      <c r="B5535" t="str">
        <f>"019656"</f>
        <v>019656</v>
      </c>
      <c r="C5535" t="s">
        <v>14727</v>
      </c>
      <c r="D5535" t="s">
        <v>3398</v>
      </c>
      <c r="E5535" t="s">
        <v>3395</v>
      </c>
      <c r="F5535" t="s">
        <v>3396</v>
      </c>
      <c r="G5535" t="s">
        <v>543</v>
      </c>
      <c r="H5535" t="s">
        <v>14708</v>
      </c>
      <c r="I5535" t="s">
        <v>14709</v>
      </c>
      <c r="J5535" t="s">
        <v>687</v>
      </c>
      <c r="K5535" t="s">
        <v>55</v>
      </c>
      <c r="L5535" t="s">
        <v>786</v>
      </c>
      <c r="M5535" t="s">
        <v>57</v>
      </c>
      <c r="N5535" t="str">
        <f>"044180"</f>
        <v>044180</v>
      </c>
      <c r="O5535" t="s">
        <v>1963</v>
      </c>
      <c r="P5535" t="s">
        <v>68</v>
      </c>
      <c r="Q5535" t="s">
        <v>68</v>
      </c>
      <c r="R5535" t="s">
        <v>68</v>
      </c>
      <c r="S5535" t="s">
        <v>180</v>
      </c>
    </row>
    <row r="5536" spans="1:19" x14ac:dyDescent="0.35">
      <c r="A5536">
        <v>19656</v>
      </c>
      <c r="B5536" t="str">
        <f>"019656"</f>
        <v>019656</v>
      </c>
      <c r="C5536" t="s">
        <v>14727</v>
      </c>
      <c r="D5536" t="s">
        <v>12476</v>
      </c>
      <c r="E5536" t="s">
        <v>3395</v>
      </c>
      <c r="F5536" t="s">
        <v>3396</v>
      </c>
      <c r="G5536" t="s">
        <v>543</v>
      </c>
      <c r="H5536" t="s">
        <v>14708</v>
      </c>
      <c r="I5536" t="s">
        <v>14709</v>
      </c>
      <c r="J5536" t="s">
        <v>687</v>
      </c>
      <c r="K5536" t="s">
        <v>55</v>
      </c>
      <c r="L5536" t="s">
        <v>786</v>
      </c>
      <c r="M5536" t="s">
        <v>57</v>
      </c>
      <c r="N5536" t="str">
        <f>"044180"</f>
        <v>044180</v>
      </c>
      <c r="O5536" t="s">
        <v>1963</v>
      </c>
      <c r="P5536" t="s">
        <v>68</v>
      </c>
      <c r="Q5536" t="s">
        <v>68</v>
      </c>
      <c r="R5536" t="s">
        <v>68</v>
      </c>
      <c r="S5536" t="s">
        <v>180</v>
      </c>
    </row>
    <row r="5537" spans="1:19" x14ac:dyDescent="0.35">
      <c r="A5537">
        <v>19655</v>
      </c>
      <c r="B5537" t="str">
        <f>"019655"</f>
        <v>019655</v>
      </c>
      <c r="C5537" t="s">
        <v>14728</v>
      </c>
      <c r="D5537" t="s">
        <v>3398</v>
      </c>
      <c r="E5537" t="s">
        <v>3395</v>
      </c>
      <c r="F5537" t="s">
        <v>3396</v>
      </c>
      <c r="G5537" t="s">
        <v>600</v>
      </c>
      <c r="H5537" t="s">
        <v>14729</v>
      </c>
      <c r="I5537" t="s">
        <v>14730</v>
      </c>
      <c r="J5537" t="s">
        <v>3622</v>
      </c>
      <c r="K5537" t="s">
        <v>55</v>
      </c>
      <c r="L5537" t="s">
        <v>3623</v>
      </c>
      <c r="M5537" t="s">
        <v>57</v>
      </c>
      <c r="N5537" t="str">
        <f>"047019"</f>
        <v>047019</v>
      </c>
      <c r="O5537" t="s">
        <v>1345</v>
      </c>
      <c r="P5537" t="s">
        <v>68</v>
      </c>
      <c r="Q5537">
        <v>29.9</v>
      </c>
      <c r="R5537">
        <v>32.700000000000003</v>
      </c>
      <c r="S5537" t="s">
        <v>60</v>
      </c>
    </row>
    <row r="5538" spans="1:19" x14ac:dyDescent="0.35">
      <c r="A5538">
        <v>19655</v>
      </c>
      <c r="B5538" t="str">
        <f>"019655"</f>
        <v>019655</v>
      </c>
      <c r="C5538" t="s">
        <v>14728</v>
      </c>
      <c r="D5538" t="s">
        <v>12476</v>
      </c>
      <c r="E5538" t="s">
        <v>3395</v>
      </c>
      <c r="F5538" t="s">
        <v>3396</v>
      </c>
      <c r="G5538" t="s">
        <v>600</v>
      </c>
      <c r="H5538" t="s">
        <v>14729</v>
      </c>
      <c r="I5538" t="s">
        <v>14730</v>
      </c>
      <c r="J5538" t="s">
        <v>3622</v>
      </c>
      <c r="K5538" t="s">
        <v>55</v>
      </c>
      <c r="L5538" t="s">
        <v>3623</v>
      </c>
      <c r="M5538" t="s">
        <v>57</v>
      </c>
      <c r="N5538" t="str">
        <f>"047019"</f>
        <v>047019</v>
      </c>
      <c r="O5538" t="s">
        <v>1345</v>
      </c>
      <c r="P5538" t="s">
        <v>68</v>
      </c>
      <c r="Q5538">
        <v>29.9</v>
      </c>
      <c r="R5538">
        <v>32.700000000000003</v>
      </c>
      <c r="S5538" t="s">
        <v>60</v>
      </c>
    </row>
    <row r="5539" spans="1:19" x14ac:dyDescent="0.35">
      <c r="A5539">
        <v>19664</v>
      </c>
      <c r="B5539" t="str">
        <f>"019664"</f>
        <v>019664</v>
      </c>
      <c r="C5539" t="s">
        <v>14731</v>
      </c>
      <c r="D5539" t="s">
        <v>3398</v>
      </c>
      <c r="E5539" t="s">
        <v>3395</v>
      </c>
      <c r="F5539" t="s">
        <v>3396</v>
      </c>
      <c r="G5539" t="s">
        <v>63</v>
      </c>
      <c r="H5539" t="s">
        <v>14239</v>
      </c>
      <c r="I5539" t="s">
        <v>14240</v>
      </c>
      <c r="J5539" t="s">
        <v>285</v>
      </c>
      <c r="K5539" t="s">
        <v>55</v>
      </c>
      <c r="L5539" t="s">
        <v>4335</v>
      </c>
      <c r="M5539" t="s">
        <v>57</v>
      </c>
      <c r="N5539" t="str">
        <f>"043786"</f>
        <v>043786</v>
      </c>
      <c r="O5539" t="s">
        <v>1340</v>
      </c>
      <c r="P5539" t="s">
        <v>68</v>
      </c>
      <c r="Q5539">
        <v>100</v>
      </c>
      <c r="R5539">
        <v>89</v>
      </c>
      <c r="S5539" t="s">
        <v>69</v>
      </c>
    </row>
    <row r="5540" spans="1:19" x14ac:dyDescent="0.35">
      <c r="A5540">
        <v>19664</v>
      </c>
      <c r="B5540" t="str">
        <f>"019664"</f>
        <v>019664</v>
      </c>
      <c r="C5540" t="s">
        <v>14731</v>
      </c>
      <c r="D5540" t="s">
        <v>12476</v>
      </c>
      <c r="E5540" t="s">
        <v>3395</v>
      </c>
      <c r="F5540" t="s">
        <v>3396</v>
      </c>
      <c r="G5540" t="s">
        <v>63</v>
      </c>
      <c r="H5540" t="s">
        <v>14239</v>
      </c>
      <c r="I5540" t="s">
        <v>14240</v>
      </c>
      <c r="J5540" t="s">
        <v>285</v>
      </c>
      <c r="K5540" t="s">
        <v>55</v>
      </c>
      <c r="L5540" t="s">
        <v>4335</v>
      </c>
      <c r="M5540" t="s">
        <v>57</v>
      </c>
      <c r="N5540" t="str">
        <f>"043786"</f>
        <v>043786</v>
      </c>
      <c r="O5540" t="s">
        <v>1340</v>
      </c>
      <c r="P5540" t="s">
        <v>68</v>
      </c>
      <c r="Q5540">
        <v>100</v>
      </c>
      <c r="R5540">
        <v>89</v>
      </c>
      <c r="S5540" t="s">
        <v>69</v>
      </c>
    </row>
    <row r="5541" spans="1:19" x14ac:dyDescent="0.35">
      <c r="A5541">
        <v>19744</v>
      </c>
      <c r="B5541" t="str">
        <f>"019744"</f>
        <v>019744</v>
      </c>
      <c r="C5541" t="s">
        <v>14732</v>
      </c>
      <c r="D5541" t="s">
        <v>3398</v>
      </c>
      <c r="E5541" t="s">
        <v>3395</v>
      </c>
      <c r="F5541" t="s">
        <v>3396</v>
      </c>
      <c r="G5541" t="s">
        <v>264</v>
      </c>
      <c r="H5541" t="s">
        <v>2495</v>
      </c>
      <c r="I5541" t="s">
        <v>2496</v>
      </c>
      <c r="J5541" t="s">
        <v>2497</v>
      </c>
      <c r="K5541" t="s">
        <v>55</v>
      </c>
      <c r="L5541" t="s">
        <v>2498</v>
      </c>
      <c r="M5541" t="s">
        <v>57</v>
      </c>
      <c r="N5541" t="str">
        <f>"043836"</f>
        <v>043836</v>
      </c>
      <c r="O5541" t="s">
        <v>2494</v>
      </c>
      <c r="P5541" t="s">
        <v>68</v>
      </c>
      <c r="Q5541" t="s">
        <v>68</v>
      </c>
      <c r="R5541" t="s">
        <v>68</v>
      </c>
      <c r="S5541" t="s">
        <v>77</v>
      </c>
    </row>
    <row r="5542" spans="1:19" x14ac:dyDescent="0.35">
      <c r="A5542">
        <v>19744</v>
      </c>
      <c r="B5542" t="str">
        <f>"019744"</f>
        <v>019744</v>
      </c>
      <c r="C5542" t="s">
        <v>14732</v>
      </c>
      <c r="D5542" t="s">
        <v>12476</v>
      </c>
      <c r="E5542" t="s">
        <v>3395</v>
      </c>
      <c r="F5542" t="s">
        <v>3396</v>
      </c>
      <c r="G5542" t="s">
        <v>264</v>
      </c>
      <c r="H5542" t="s">
        <v>2495</v>
      </c>
      <c r="I5542" t="s">
        <v>2496</v>
      </c>
      <c r="J5542" t="s">
        <v>2497</v>
      </c>
      <c r="K5542" t="s">
        <v>55</v>
      </c>
      <c r="L5542" t="s">
        <v>2498</v>
      </c>
      <c r="M5542" t="s">
        <v>57</v>
      </c>
      <c r="N5542" t="str">
        <f>"043836"</f>
        <v>043836</v>
      </c>
      <c r="O5542" t="s">
        <v>2494</v>
      </c>
      <c r="P5542" t="s">
        <v>68</v>
      </c>
      <c r="Q5542" t="s">
        <v>68</v>
      </c>
      <c r="R5542" t="s">
        <v>68</v>
      </c>
      <c r="S5542" t="s">
        <v>77</v>
      </c>
    </row>
    <row r="5543" spans="1:19" x14ac:dyDescent="0.35">
      <c r="A5543">
        <v>19649</v>
      </c>
      <c r="B5543" t="str">
        <f>"019649"</f>
        <v>019649</v>
      </c>
      <c r="C5543" t="s">
        <v>14733</v>
      </c>
      <c r="D5543" t="s">
        <v>3398</v>
      </c>
      <c r="E5543" t="s">
        <v>3395</v>
      </c>
      <c r="F5543" t="s">
        <v>3396</v>
      </c>
      <c r="G5543" t="s">
        <v>312</v>
      </c>
      <c r="H5543" t="s">
        <v>14734</v>
      </c>
      <c r="I5543" t="s">
        <v>14735</v>
      </c>
      <c r="J5543" t="s">
        <v>359</v>
      </c>
      <c r="K5543" t="s">
        <v>55</v>
      </c>
      <c r="L5543" t="s">
        <v>360</v>
      </c>
      <c r="M5543" t="s">
        <v>57</v>
      </c>
      <c r="N5543" t="str">
        <f>"048447"</f>
        <v>048447</v>
      </c>
      <c r="O5543" t="s">
        <v>356</v>
      </c>
      <c r="P5543" t="s">
        <v>68</v>
      </c>
      <c r="Q5543">
        <v>0</v>
      </c>
      <c r="R5543">
        <v>5.9000000000000057</v>
      </c>
      <c r="S5543" t="s">
        <v>156</v>
      </c>
    </row>
    <row r="5544" spans="1:19" x14ac:dyDescent="0.35">
      <c r="A5544">
        <v>19649</v>
      </c>
      <c r="B5544" t="str">
        <f>"019649"</f>
        <v>019649</v>
      </c>
      <c r="C5544" t="s">
        <v>14733</v>
      </c>
      <c r="D5544" t="s">
        <v>12476</v>
      </c>
      <c r="E5544" t="s">
        <v>3395</v>
      </c>
      <c r="F5544" t="s">
        <v>3396</v>
      </c>
      <c r="G5544" t="s">
        <v>312</v>
      </c>
      <c r="H5544" t="s">
        <v>14734</v>
      </c>
      <c r="I5544" t="s">
        <v>14735</v>
      </c>
      <c r="J5544" t="s">
        <v>359</v>
      </c>
      <c r="K5544" t="s">
        <v>55</v>
      </c>
      <c r="L5544" t="s">
        <v>360</v>
      </c>
      <c r="M5544" t="s">
        <v>57</v>
      </c>
      <c r="N5544" t="str">
        <f>"048447"</f>
        <v>048447</v>
      </c>
      <c r="O5544" t="s">
        <v>356</v>
      </c>
      <c r="P5544" t="s">
        <v>68</v>
      </c>
      <c r="Q5544">
        <v>0</v>
      </c>
      <c r="R5544">
        <v>5.9000000000000057</v>
      </c>
      <c r="S5544" t="s">
        <v>156</v>
      </c>
    </row>
    <row r="5545" spans="1:19" x14ac:dyDescent="0.35">
      <c r="A5545">
        <v>19648</v>
      </c>
      <c r="B5545" t="str">
        <f>"019648"</f>
        <v>019648</v>
      </c>
      <c r="C5545" t="s">
        <v>14736</v>
      </c>
      <c r="D5545" t="s">
        <v>3398</v>
      </c>
      <c r="E5545" t="s">
        <v>3395</v>
      </c>
      <c r="F5545" t="s">
        <v>3396</v>
      </c>
      <c r="G5545" t="s">
        <v>110</v>
      </c>
      <c r="H5545" t="s">
        <v>6407</v>
      </c>
      <c r="I5545" t="s">
        <v>6408</v>
      </c>
      <c r="J5545" t="s">
        <v>671</v>
      </c>
      <c r="K5545" t="s">
        <v>55</v>
      </c>
      <c r="L5545" t="s">
        <v>672</v>
      </c>
      <c r="M5545" t="s">
        <v>57</v>
      </c>
      <c r="N5545" t="str">
        <f>"048017"</f>
        <v>048017</v>
      </c>
      <c r="O5545" t="s">
        <v>2406</v>
      </c>
      <c r="P5545" t="s">
        <v>68</v>
      </c>
      <c r="Q5545">
        <v>0</v>
      </c>
      <c r="R5545">
        <v>100</v>
      </c>
      <c r="S5545" t="s">
        <v>60</v>
      </c>
    </row>
    <row r="5546" spans="1:19" x14ac:dyDescent="0.35">
      <c r="A5546">
        <v>19648</v>
      </c>
      <c r="B5546" t="str">
        <f>"019648"</f>
        <v>019648</v>
      </c>
      <c r="C5546" t="s">
        <v>14736</v>
      </c>
      <c r="D5546" t="s">
        <v>12476</v>
      </c>
      <c r="E5546" t="s">
        <v>3395</v>
      </c>
      <c r="F5546" t="s">
        <v>3396</v>
      </c>
      <c r="G5546" t="s">
        <v>110</v>
      </c>
      <c r="H5546" t="s">
        <v>6407</v>
      </c>
      <c r="I5546" t="s">
        <v>6408</v>
      </c>
      <c r="J5546" t="s">
        <v>671</v>
      </c>
      <c r="K5546" t="s">
        <v>55</v>
      </c>
      <c r="L5546" t="s">
        <v>672</v>
      </c>
      <c r="M5546" t="s">
        <v>57</v>
      </c>
      <c r="N5546" t="str">
        <f>"048017"</f>
        <v>048017</v>
      </c>
      <c r="O5546" t="s">
        <v>2406</v>
      </c>
      <c r="P5546" t="s">
        <v>68</v>
      </c>
      <c r="Q5546">
        <v>0</v>
      </c>
      <c r="R5546">
        <v>100</v>
      </c>
      <c r="S5546" t="s">
        <v>60</v>
      </c>
    </row>
    <row r="5547" spans="1:19" x14ac:dyDescent="0.35">
      <c r="A5547">
        <v>19668</v>
      </c>
      <c r="B5547" t="str">
        <f>"019668"</f>
        <v>019668</v>
      </c>
      <c r="C5547" t="s">
        <v>14737</v>
      </c>
      <c r="D5547" t="s">
        <v>3398</v>
      </c>
      <c r="E5547" t="s">
        <v>3395</v>
      </c>
      <c r="F5547" t="s">
        <v>3396</v>
      </c>
      <c r="G5547" t="s">
        <v>124</v>
      </c>
      <c r="H5547" t="s">
        <v>2912</v>
      </c>
      <c r="I5547" t="s">
        <v>2913</v>
      </c>
      <c r="J5547" t="s">
        <v>2914</v>
      </c>
      <c r="K5547" t="s">
        <v>55</v>
      </c>
      <c r="L5547" t="s">
        <v>2915</v>
      </c>
      <c r="M5547" t="s">
        <v>57</v>
      </c>
      <c r="N5547" t="str">
        <f>"050484"</f>
        <v>050484</v>
      </c>
      <c r="O5547" t="s">
        <v>2911</v>
      </c>
      <c r="P5547" t="s">
        <v>68</v>
      </c>
      <c r="Q5547" t="s">
        <v>68</v>
      </c>
      <c r="R5547" t="s">
        <v>68</v>
      </c>
      <c r="S5547" t="s">
        <v>130</v>
      </c>
    </row>
    <row r="5548" spans="1:19" x14ac:dyDescent="0.35">
      <c r="A5548">
        <v>19668</v>
      </c>
      <c r="B5548" t="str">
        <f>"019668"</f>
        <v>019668</v>
      </c>
      <c r="C5548" t="s">
        <v>14737</v>
      </c>
      <c r="D5548" t="s">
        <v>12476</v>
      </c>
      <c r="E5548" t="s">
        <v>3395</v>
      </c>
      <c r="F5548" t="s">
        <v>3396</v>
      </c>
      <c r="G5548" t="s">
        <v>124</v>
      </c>
      <c r="H5548" t="s">
        <v>2912</v>
      </c>
      <c r="I5548" t="s">
        <v>2913</v>
      </c>
      <c r="J5548" t="s">
        <v>2914</v>
      </c>
      <c r="K5548" t="s">
        <v>55</v>
      </c>
      <c r="L5548" t="s">
        <v>2915</v>
      </c>
      <c r="M5548" t="s">
        <v>57</v>
      </c>
      <c r="N5548" t="str">
        <f>"050484"</f>
        <v>050484</v>
      </c>
      <c r="O5548" t="s">
        <v>2911</v>
      </c>
      <c r="P5548" t="s">
        <v>68</v>
      </c>
      <c r="Q5548" t="s">
        <v>68</v>
      </c>
      <c r="R5548" t="s">
        <v>68</v>
      </c>
      <c r="S5548" t="s">
        <v>130</v>
      </c>
    </row>
    <row r="5549" spans="1:19" x14ac:dyDescent="0.35">
      <c r="A5549">
        <v>19666</v>
      </c>
      <c r="B5549" t="str">
        <f>"019666"</f>
        <v>019666</v>
      </c>
      <c r="C5549" t="s">
        <v>14738</v>
      </c>
      <c r="D5549" t="s">
        <v>3398</v>
      </c>
      <c r="E5549" t="s">
        <v>3395</v>
      </c>
      <c r="F5549" t="s">
        <v>3396</v>
      </c>
      <c r="G5549" t="s">
        <v>383</v>
      </c>
      <c r="H5549" t="s">
        <v>1979</v>
      </c>
      <c r="I5549" t="s">
        <v>1980</v>
      </c>
      <c r="J5549" t="s">
        <v>1981</v>
      </c>
      <c r="K5549" t="s">
        <v>55</v>
      </c>
      <c r="L5549" t="s">
        <v>1982</v>
      </c>
      <c r="M5549" t="s">
        <v>57</v>
      </c>
      <c r="N5549" t="str">
        <f>"048389"</f>
        <v>048389</v>
      </c>
      <c r="O5549" t="s">
        <v>1978</v>
      </c>
      <c r="P5549" t="s">
        <v>68</v>
      </c>
      <c r="Q5549">
        <v>55.6</v>
      </c>
      <c r="R5549">
        <v>0</v>
      </c>
      <c r="S5549" t="s">
        <v>77</v>
      </c>
    </row>
    <row r="5550" spans="1:19" x14ac:dyDescent="0.35">
      <c r="A5550">
        <v>19666</v>
      </c>
      <c r="B5550" t="str">
        <f>"019666"</f>
        <v>019666</v>
      </c>
      <c r="C5550" t="s">
        <v>14738</v>
      </c>
      <c r="D5550" t="s">
        <v>12476</v>
      </c>
      <c r="E5550" t="s">
        <v>3395</v>
      </c>
      <c r="F5550" t="s">
        <v>3396</v>
      </c>
      <c r="G5550" t="s">
        <v>383</v>
      </c>
      <c r="H5550" t="s">
        <v>1979</v>
      </c>
      <c r="I5550" t="s">
        <v>1980</v>
      </c>
      <c r="J5550" t="s">
        <v>1981</v>
      </c>
      <c r="K5550" t="s">
        <v>55</v>
      </c>
      <c r="L5550" t="s">
        <v>1982</v>
      </c>
      <c r="M5550" t="s">
        <v>57</v>
      </c>
      <c r="N5550" t="str">
        <f>"048389"</f>
        <v>048389</v>
      </c>
      <c r="O5550" t="s">
        <v>1978</v>
      </c>
      <c r="P5550" t="s">
        <v>68</v>
      </c>
      <c r="Q5550">
        <v>55.6</v>
      </c>
      <c r="R5550">
        <v>0</v>
      </c>
      <c r="S5550" t="s">
        <v>77</v>
      </c>
    </row>
    <row r="5551" spans="1:19" x14ac:dyDescent="0.35">
      <c r="A5551">
        <v>19670</v>
      </c>
      <c r="B5551" t="str">
        <f>"019670"</f>
        <v>019670</v>
      </c>
      <c r="C5551" t="s">
        <v>14739</v>
      </c>
      <c r="D5551" t="s">
        <v>3398</v>
      </c>
      <c r="E5551" t="s">
        <v>3395</v>
      </c>
      <c r="F5551" t="s">
        <v>3396</v>
      </c>
      <c r="G5551" t="s">
        <v>543</v>
      </c>
      <c r="H5551" t="s">
        <v>14740</v>
      </c>
      <c r="I5551" t="s">
        <v>14741</v>
      </c>
      <c r="J5551" t="s">
        <v>790</v>
      </c>
      <c r="K5551" t="s">
        <v>55</v>
      </c>
      <c r="L5551" t="s">
        <v>791</v>
      </c>
      <c r="M5551" t="s">
        <v>57</v>
      </c>
      <c r="N5551" t="str">
        <f>"044396"</f>
        <v>044396</v>
      </c>
      <c r="O5551" t="s">
        <v>787</v>
      </c>
      <c r="P5551" t="s">
        <v>68</v>
      </c>
      <c r="Q5551" t="s">
        <v>68</v>
      </c>
      <c r="R5551" t="s">
        <v>68</v>
      </c>
      <c r="S5551" t="s">
        <v>180</v>
      </c>
    </row>
    <row r="5552" spans="1:19" x14ac:dyDescent="0.35">
      <c r="A5552">
        <v>19670</v>
      </c>
      <c r="B5552" t="str">
        <f>"019670"</f>
        <v>019670</v>
      </c>
      <c r="C5552" t="s">
        <v>14739</v>
      </c>
      <c r="D5552" t="s">
        <v>12476</v>
      </c>
      <c r="E5552" t="s">
        <v>3395</v>
      </c>
      <c r="F5552" t="s">
        <v>3396</v>
      </c>
      <c r="G5552" t="s">
        <v>543</v>
      </c>
      <c r="H5552" t="s">
        <v>14740</v>
      </c>
      <c r="I5552" t="s">
        <v>14741</v>
      </c>
      <c r="J5552" t="s">
        <v>790</v>
      </c>
      <c r="K5552" t="s">
        <v>55</v>
      </c>
      <c r="L5552" t="s">
        <v>791</v>
      </c>
      <c r="M5552" t="s">
        <v>57</v>
      </c>
      <c r="N5552" t="str">
        <f>"044396"</f>
        <v>044396</v>
      </c>
      <c r="O5552" t="s">
        <v>787</v>
      </c>
      <c r="P5552" t="s">
        <v>68</v>
      </c>
      <c r="Q5552" t="s">
        <v>68</v>
      </c>
      <c r="R5552" t="s">
        <v>68</v>
      </c>
      <c r="S5552" t="s">
        <v>180</v>
      </c>
    </row>
    <row r="5553" spans="1:19" x14ac:dyDescent="0.35">
      <c r="A5553">
        <v>19680</v>
      </c>
      <c r="B5553" t="str">
        <f>"019680"</f>
        <v>019680</v>
      </c>
      <c r="C5553" t="s">
        <v>14742</v>
      </c>
      <c r="D5553" t="s">
        <v>3398</v>
      </c>
      <c r="E5553" t="s">
        <v>3395</v>
      </c>
      <c r="F5553" t="s">
        <v>3396</v>
      </c>
      <c r="G5553" t="s">
        <v>481</v>
      </c>
      <c r="H5553" t="s">
        <v>5749</v>
      </c>
      <c r="I5553" t="s">
        <v>5750</v>
      </c>
      <c r="J5553" t="s">
        <v>876</v>
      </c>
      <c r="K5553" t="s">
        <v>55</v>
      </c>
      <c r="L5553" t="s">
        <v>819</v>
      </c>
      <c r="M5553" t="s">
        <v>57</v>
      </c>
      <c r="N5553" t="str">
        <f>"044628"</f>
        <v>044628</v>
      </c>
      <c r="O5553" t="s">
        <v>873</v>
      </c>
      <c r="P5553" t="s">
        <v>68</v>
      </c>
      <c r="Q5553" t="s">
        <v>68</v>
      </c>
      <c r="R5553" t="s">
        <v>68</v>
      </c>
      <c r="S5553" t="s">
        <v>69</v>
      </c>
    </row>
    <row r="5554" spans="1:19" x14ac:dyDescent="0.35">
      <c r="A5554">
        <v>19680</v>
      </c>
      <c r="B5554" t="str">
        <f>"019680"</f>
        <v>019680</v>
      </c>
      <c r="C5554" t="s">
        <v>14742</v>
      </c>
      <c r="D5554" t="s">
        <v>12476</v>
      </c>
      <c r="E5554" t="s">
        <v>3395</v>
      </c>
      <c r="F5554" t="s">
        <v>3396</v>
      </c>
      <c r="G5554" t="s">
        <v>481</v>
      </c>
      <c r="H5554" t="s">
        <v>5749</v>
      </c>
      <c r="I5554" t="s">
        <v>5750</v>
      </c>
      <c r="J5554" t="s">
        <v>876</v>
      </c>
      <c r="K5554" t="s">
        <v>55</v>
      </c>
      <c r="L5554" t="s">
        <v>819</v>
      </c>
      <c r="M5554" t="s">
        <v>57</v>
      </c>
      <c r="N5554" t="str">
        <f>"044628"</f>
        <v>044628</v>
      </c>
      <c r="O5554" t="s">
        <v>873</v>
      </c>
      <c r="P5554" t="s">
        <v>68</v>
      </c>
      <c r="Q5554" t="s">
        <v>68</v>
      </c>
      <c r="R5554" t="s">
        <v>68</v>
      </c>
      <c r="S5554" t="s">
        <v>69</v>
      </c>
    </row>
    <row r="5555" spans="1:19" x14ac:dyDescent="0.35">
      <c r="A5555">
        <v>19677</v>
      </c>
      <c r="B5555" t="str">
        <f>"019677"</f>
        <v>019677</v>
      </c>
      <c r="C5555" t="s">
        <v>14743</v>
      </c>
      <c r="D5555" t="s">
        <v>3398</v>
      </c>
      <c r="E5555" t="s">
        <v>3395</v>
      </c>
      <c r="F5555" t="s">
        <v>3396</v>
      </c>
      <c r="G5555" t="s">
        <v>543</v>
      </c>
      <c r="H5555" t="s">
        <v>544</v>
      </c>
      <c r="I5555" t="s">
        <v>545</v>
      </c>
      <c r="J5555" t="s">
        <v>546</v>
      </c>
      <c r="K5555" t="s">
        <v>55</v>
      </c>
      <c r="L5555" t="s">
        <v>547</v>
      </c>
      <c r="M5555" t="s">
        <v>57</v>
      </c>
      <c r="N5555" t="str">
        <f>"048694"</f>
        <v>048694</v>
      </c>
      <c r="O5555" t="s">
        <v>542</v>
      </c>
      <c r="P5555" t="s">
        <v>68</v>
      </c>
      <c r="Q5555">
        <v>89.7</v>
      </c>
      <c r="R5555">
        <v>100</v>
      </c>
      <c r="S5555" t="s">
        <v>180</v>
      </c>
    </row>
    <row r="5556" spans="1:19" x14ac:dyDescent="0.35">
      <c r="A5556">
        <v>19677</v>
      </c>
      <c r="B5556" t="str">
        <f>"019677"</f>
        <v>019677</v>
      </c>
      <c r="C5556" t="s">
        <v>14743</v>
      </c>
      <c r="D5556" t="s">
        <v>12476</v>
      </c>
      <c r="E5556" t="s">
        <v>3395</v>
      </c>
      <c r="F5556" t="s">
        <v>3396</v>
      </c>
      <c r="G5556" t="s">
        <v>543</v>
      </c>
      <c r="H5556" t="s">
        <v>544</v>
      </c>
      <c r="I5556" t="s">
        <v>545</v>
      </c>
      <c r="J5556" t="s">
        <v>546</v>
      </c>
      <c r="K5556" t="s">
        <v>55</v>
      </c>
      <c r="L5556" t="s">
        <v>547</v>
      </c>
      <c r="M5556" t="s">
        <v>57</v>
      </c>
      <c r="N5556" t="str">
        <f>"048694"</f>
        <v>048694</v>
      </c>
      <c r="O5556" t="s">
        <v>542</v>
      </c>
      <c r="P5556" t="s">
        <v>68</v>
      </c>
      <c r="Q5556">
        <v>89.7</v>
      </c>
      <c r="R5556">
        <v>100</v>
      </c>
      <c r="S5556" t="s">
        <v>180</v>
      </c>
    </row>
    <row r="5557" spans="1:19" x14ac:dyDescent="0.35">
      <c r="A5557">
        <v>19682</v>
      </c>
      <c r="B5557" t="str">
        <f>"019682"</f>
        <v>019682</v>
      </c>
      <c r="C5557" t="s">
        <v>14744</v>
      </c>
      <c r="D5557" t="s">
        <v>3398</v>
      </c>
      <c r="E5557" t="s">
        <v>3395</v>
      </c>
      <c r="F5557" t="s">
        <v>3396</v>
      </c>
      <c r="G5557" t="s">
        <v>63</v>
      </c>
      <c r="H5557" t="s">
        <v>14745</v>
      </c>
      <c r="I5557" t="s">
        <v>14746</v>
      </c>
      <c r="J5557" t="s">
        <v>2182</v>
      </c>
      <c r="K5557" t="s">
        <v>55</v>
      </c>
      <c r="L5557" t="s">
        <v>2183</v>
      </c>
      <c r="M5557" t="s">
        <v>57</v>
      </c>
      <c r="N5557" t="str">
        <f>"043950"</f>
        <v>043950</v>
      </c>
      <c r="O5557" t="s">
        <v>2179</v>
      </c>
      <c r="P5557" t="s">
        <v>68</v>
      </c>
      <c r="Q5557">
        <v>100</v>
      </c>
      <c r="R5557">
        <v>100</v>
      </c>
      <c r="S5557" t="s">
        <v>69</v>
      </c>
    </row>
    <row r="5558" spans="1:19" x14ac:dyDescent="0.35">
      <c r="A5558">
        <v>19682</v>
      </c>
      <c r="B5558" t="str">
        <f>"019682"</f>
        <v>019682</v>
      </c>
      <c r="C5558" t="s">
        <v>14744</v>
      </c>
      <c r="D5558" t="s">
        <v>12476</v>
      </c>
      <c r="E5558" t="s">
        <v>3395</v>
      </c>
      <c r="F5558" t="s">
        <v>3396</v>
      </c>
      <c r="G5558" t="s">
        <v>63</v>
      </c>
      <c r="H5558" t="s">
        <v>14745</v>
      </c>
      <c r="I5558" t="s">
        <v>14746</v>
      </c>
      <c r="J5558" t="s">
        <v>2182</v>
      </c>
      <c r="K5558" t="s">
        <v>55</v>
      </c>
      <c r="L5558" t="s">
        <v>2183</v>
      </c>
      <c r="M5558" t="s">
        <v>57</v>
      </c>
      <c r="N5558" t="str">
        <f>"043950"</f>
        <v>043950</v>
      </c>
      <c r="O5558" t="s">
        <v>2179</v>
      </c>
      <c r="P5558" t="s">
        <v>68</v>
      </c>
      <c r="Q5558">
        <v>100</v>
      </c>
      <c r="R5558">
        <v>100</v>
      </c>
      <c r="S5558" t="s">
        <v>69</v>
      </c>
    </row>
    <row r="5559" spans="1:19" x14ac:dyDescent="0.35">
      <c r="A5559">
        <v>19683</v>
      </c>
      <c r="B5559" t="str">
        <f>"019683"</f>
        <v>019683</v>
      </c>
      <c r="C5559" t="s">
        <v>14747</v>
      </c>
      <c r="D5559" t="s">
        <v>3398</v>
      </c>
      <c r="E5559" t="s">
        <v>3395</v>
      </c>
      <c r="F5559" t="s">
        <v>3396</v>
      </c>
      <c r="G5559" t="s">
        <v>226</v>
      </c>
      <c r="H5559" t="s">
        <v>616</v>
      </c>
      <c r="I5559" t="s">
        <v>617</v>
      </c>
      <c r="J5559" t="s">
        <v>618</v>
      </c>
      <c r="K5559" t="s">
        <v>55</v>
      </c>
      <c r="L5559" t="s">
        <v>619</v>
      </c>
      <c r="M5559" t="s">
        <v>57</v>
      </c>
      <c r="N5559" t="str">
        <f>"050716"</f>
        <v>050716</v>
      </c>
      <c r="O5559" t="s">
        <v>615</v>
      </c>
      <c r="P5559" t="s">
        <v>68</v>
      </c>
      <c r="Q5559">
        <v>0</v>
      </c>
      <c r="R5559">
        <v>13.299999999999997</v>
      </c>
      <c r="S5559" t="s">
        <v>156</v>
      </c>
    </row>
    <row r="5560" spans="1:19" x14ac:dyDescent="0.35">
      <c r="A5560">
        <v>19683</v>
      </c>
      <c r="B5560" t="str">
        <f>"019683"</f>
        <v>019683</v>
      </c>
      <c r="C5560" t="s">
        <v>14747</v>
      </c>
      <c r="D5560" t="s">
        <v>12476</v>
      </c>
      <c r="E5560" t="s">
        <v>3395</v>
      </c>
      <c r="F5560" t="s">
        <v>3396</v>
      </c>
      <c r="G5560" t="s">
        <v>226</v>
      </c>
      <c r="H5560" t="s">
        <v>616</v>
      </c>
      <c r="I5560" t="s">
        <v>617</v>
      </c>
      <c r="J5560" t="s">
        <v>618</v>
      </c>
      <c r="K5560" t="s">
        <v>55</v>
      </c>
      <c r="L5560" t="s">
        <v>619</v>
      </c>
      <c r="M5560" t="s">
        <v>57</v>
      </c>
      <c r="N5560" t="str">
        <f>"050716"</f>
        <v>050716</v>
      </c>
      <c r="O5560" t="s">
        <v>615</v>
      </c>
      <c r="P5560" t="s">
        <v>68</v>
      </c>
      <c r="Q5560">
        <v>0</v>
      </c>
      <c r="R5560">
        <v>13.299999999999997</v>
      </c>
      <c r="S5560" t="s">
        <v>156</v>
      </c>
    </row>
    <row r="5561" spans="1:19" x14ac:dyDescent="0.35">
      <c r="A5561">
        <v>19688</v>
      </c>
      <c r="B5561" t="str">
        <f>"019688"</f>
        <v>019688</v>
      </c>
      <c r="C5561" t="s">
        <v>14748</v>
      </c>
      <c r="D5561" t="s">
        <v>3398</v>
      </c>
      <c r="E5561" t="s">
        <v>3395</v>
      </c>
      <c r="F5561" t="s">
        <v>3396</v>
      </c>
      <c r="G5561" t="s">
        <v>383</v>
      </c>
      <c r="H5561" t="s">
        <v>3084</v>
      </c>
      <c r="I5561" t="s">
        <v>3085</v>
      </c>
      <c r="J5561" t="s">
        <v>3086</v>
      </c>
      <c r="K5561" t="s">
        <v>55</v>
      </c>
      <c r="L5561" t="s">
        <v>3087</v>
      </c>
      <c r="M5561" t="s">
        <v>57</v>
      </c>
      <c r="N5561" t="str">
        <f>"043703"</f>
        <v>043703</v>
      </c>
      <c r="O5561" t="s">
        <v>3083</v>
      </c>
      <c r="P5561" t="s">
        <v>68</v>
      </c>
      <c r="Q5561" t="s">
        <v>68</v>
      </c>
      <c r="R5561" t="s">
        <v>68</v>
      </c>
      <c r="S5561" t="s">
        <v>77</v>
      </c>
    </row>
    <row r="5562" spans="1:19" x14ac:dyDescent="0.35">
      <c r="A5562">
        <v>19688</v>
      </c>
      <c r="B5562" t="str">
        <f>"019688"</f>
        <v>019688</v>
      </c>
      <c r="C5562" t="s">
        <v>14748</v>
      </c>
      <c r="D5562" t="s">
        <v>12476</v>
      </c>
      <c r="E5562" t="s">
        <v>3395</v>
      </c>
      <c r="F5562" t="s">
        <v>3396</v>
      </c>
      <c r="G5562" t="s">
        <v>383</v>
      </c>
      <c r="H5562" t="s">
        <v>3084</v>
      </c>
      <c r="I5562" t="s">
        <v>3085</v>
      </c>
      <c r="J5562" t="s">
        <v>3086</v>
      </c>
      <c r="K5562" t="s">
        <v>55</v>
      </c>
      <c r="L5562" t="s">
        <v>3087</v>
      </c>
      <c r="M5562" t="s">
        <v>57</v>
      </c>
      <c r="N5562" t="str">
        <f>"043703"</f>
        <v>043703</v>
      </c>
      <c r="O5562" t="s">
        <v>3083</v>
      </c>
      <c r="P5562" t="s">
        <v>68</v>
      </c>
      <c r="Q5562" t="s">
        <v>68</v>
      </c>
      <c r="R5562" t="s">
        <v>68</v>
      </c>
      <c r="S5562" t="s">
        <v>77</v>
      </c>
    </row>
    <row r="5563" spans="1:19" x14ac:dyDescent="0.35">
      <c r="A5563">
        <v>19704</v>
      </c>
      <c r="B5563" t="str">
        <f>"019704"</f>
        <v>019704</v>
      </c>
      <c r="C5563" t="s">
        <v>14749</v>
      </c>
      <c r="D5563" t="s">
        <v>3398</v>
      </c>
      <c r="E5563" t="s">
        <v>3395</v>
      </c>
      <c r="F5563" t="s">
        <v>3396</v>
      </c>
      <c r="G5563" t="s">
        <v>264</v>
      </c>
      <c r="H5563" t="s">
        <v>2556</v>
      </c>
      <c r="I5563" t="s">
        <v>2557</v>
      </c>
      <c r="J5563" t="s">
        <v>2558</v>
      </c>
      <c r="K5563" t="s">
        <v>55</v>
      </c>
      <c r="L5563" t="s">
        <v>2559</v>
      </c>
      <c r="M5563" t="s">
        <v>57</v>
      </c>
      <c r="N5563" t="str">
        <f>"043539"</f>
        <v>043539</v>
      </c>
      <c r="O5563" t="s">
        <v>2555</v>
      </c>
      <c r="P5563" t="s">
        <v>68</v>
      </c>
      <c r="Q5563">
        <v>76.900000000000006</v>
      </c>
      <c r="R5563">
        <v>23.099999999999994</v>
      </c>
      <c r="S5563" t="s">
        <v>77</v>
      </c>
    </row>
    <row r="5564" spans="1:19" x14ac:dyDescent="0.35">
      <c r="A5564">
        <v>19704</v>
      </c>
      <c r="B5564" t="str">
        <f>"019704"</f>
        <v>019704</v>
      </c>
      <c r="C5564" t="s">
        <v>14749</v>
      </c>
      <c r="D5564" t="s">
        <v>12476</v>
      </c>
      <c r="E5564" t="s">
        <v>3395</v>
      </c>
      <c r="F5564" t="s">
        <v>3396</v>
      </c>
      <c r="G5564" t="s">
        <v>264</v>
      </c>
      <c r="H5564" t="s">
        <v>2556</v>
      </c>
      <c r="I5564" t="s">
        <v>2557</v>
      </c>
      <c r="J5564" t="s">
        <v>2558</v>
      </c>
      <c r="K5564" t="s">
        <v>55</v>
      </c>
      <c r="L5564" t="s">
        <v>2559</v>
      </c>
      <c r="M5564" t="s">
        <v>57</v>
      </c>
      <c r="N5564" t="str">
        <f>"043539"</f>
        <v>043539</v>
      </c>
      <c r="O5564" t="s">
        <v>2555</v>
      </c>
      <c r="P5564" t="s">
        <v>68</v>
      </c>
      <c r="Q5564">
        <v>76.900000000000006</v>
      </c>
      <c r="R5564">
        <v>23.099999999999994</v>
      </c>
      <c r="S5564" t="s">
        <v>77</v>
      </c>
    </row>
    <row r="5565" spans="1:19" x14ac:dyDescent="0.35">
      <c r="A5565">
        <v>19694</v>
      </c>
      <c r="B5565" t="str">
        <f>"019694"</f>
        <v>019694</v>
      </c>
      <c r="C5565" t="s">
        <v>14750</v>
      </c>
      <c r="D5565" t="s">
        <v>3398</v>
      </c>
      <c r="E5565" t="s">
        <v>3395</v>
      </c>
      <c r="F5565" t="s">
        <v>3396</v>
      </c>
      <c r="G5565" t="s">
        <v>712</v>
      </c>
      <c r="H5565" t="s">
        <v>14751</v>
      </c>
      <c r="I5565" t="s">
        <v>14752</v>
      </c>
      <c r="J5565" t="s">
        <v>715</v>
      </c>
      <c r="K5565" t="s">
        <v>55</v>
      </c>
      <c r="L5565" t="s">
        <v>716</v>
      </c>
      <c r="M5565" t="s">
        <v>57</v>
      </c>
      <c r="N5565" t="str">
        <f>"047696"</f>
        <v>047696</v>
      </c>
      <c r="O5565" t="s">
        <v>711</v>
      </c>
      <c r="P5565" t="s">
        <v>68</v>
      </c>
      <c r="Q5565">
        <v>54.5</v>
      </c>
      <c r="R5565">
        <v>3</v>
      </c>
      <c r="S5565" t="s">
        <v>77</v>
      </c>
    </row>
    <row r="5566" spans="1:19" x14ac:dyDescent="0.35">
      <c r="A5566">
        <v>19694</v>
      </c>
      <c r="B5566" t="str">
        <f>"019694"</f>
        <v>019694</v>
      </c>
      <c r="C5566" t="s">
        <v>14750</v>
      </c>
      <c r="D5566" t="s">
        <v>12476</v>
      </c>
      <c r="E5566" t="s">
        <v>3395</v>
      </c>
      <c r="F5566" t="s">
        <v>3396</v>
      </c>
      <c r="G5566" t="s">
        <v>712</v>
      </c>
      <c r="H5566" t="s">
        <v>14751</v>
      </c>
      <c r="I5566" t="s">
        <v>14752</v>
      </c>
      <c r="J5566" t="s">
        <v>715</v>
      </c>
      <c r="K5566" t="s">
        <v>55</v>
      </c>
      <c r="L5566" t="s">
        <v>716</v>
      </c>
      <c r="M5566" t="s">
        <v>57</v>
      </c>
      <c r="N5566" t="str">
        <f>"047696"</f>
        <v>047696</v>
      </c>
      <c r="O5566" t="s">
        <v>711</v>
      </c>
      <c r="P5566" t="s">
        <v>68</v>
      </c>
      <c r="Q5566">
        <v>54.5</v>
      </c>
      <c r="R5566">
        <v>3</v>
      </c>
      <c r="S5566" t="s">
        <v>77</v>
      </c>
    </row>
    <row r="5567" spans="1:19" x14ac:dyDescent="0.35">
      <c r="A5567">
        <v>19698</v>
      </c>
      <c r="B5567" t="str">
        <f>"019698"</f>
        <v>019698</v>
      </c>
      <c r="C5567" t="s">
        <v>14753</v>
      </c>
      <c r="D5567" t="s">
        <v>3398</v>
      </c>
      <c r="E5567" t="s">
        <v>3395</v>
      </c>
      <c r="F5567" t="s">
        <v>3396</v>
      </c>
      <c r="G5567" t="s">
        <v>110</v>
      </c>
      <c r="H5567" t="s">
        <v>1310</v>
      </c>
      <c r="I5567" t="s">
        <v>1311</v>
      </c>
      <c r="J5567" t="s">
        <v>1312</v>
      </c>
      <c r="K5567" t="s">
        <v>55</v>
      </c>
      <c r="L5567" t="s">
        <v>1313</v>
      </c>
      <c r="M5567" t="s">
        <v>57</v>
      </c>
      <c r="N5567" t="str">
        <f>"048025"</f>
        <v>048025</v>
      </c>
      <c r="O5567" t="s">
        <v>1309</v>
      </c>
      <c r="P5567" t="s">
        <v>68</v>
      </c>
      <c r="Q5567" t="s">
        <v>68</v>
      </c>
      <c r="R5567" t="s">
        <v>68</v>
      </c>
      <c r="S5567" t="s">
        <v>60</v>
      </c>
    </row>
    <row r="5568" spans="1:19" x14ac:dyDescent="0.35">
      <c r="A5568">
        <v>19698</v>
      </c>
      <c r="B5568" t="str">
        <f>"019698"</f>
        <v>019698</v>
      </c>
      <c r="C5568" t="s">
        <v>14753</v>
      </c>
      <c r="D5568" t="s">
        <v>12476</v>
      </c>
      <c r="E5568" t="s">
        <v>3395</v>
      </c>
      <c r="F5568" t="s">
        <v>3396</v>
      </c>
      <c r="G5568" t="s">
        <v>110</v>
      </c>
      <c r="H5568" t="s">
        <v>1310</v>
      </c>
      <c r="I5568" t="s">
        <v>1311</v>
      </c>
      <c r="J5568" t="s">
        <v>1312</v>
      </c>
      <c r="K5568" t="s">
        <v>55</v>
      </c>
      <c r="L5568" t="s">
        <v>1313</v>
      </c>
      <c r="M5568" t="s">
        <v>57</v>
      </c>
      <c r="N5568" t="str">
        <f>"048025"</f>
        <v>048025</v>
      </c>
      <c r="O5568" t="s">
        <v>1309</v>
      </c>
      <c r="P5568" t="s">
        <v>68</v>
      </c>
      <c r="Q5568" t="s">
        <v>68</v>
      </c>
      <c r="R5568" t="s">
        <v>68</v>
      </c>
      <c r="S5568" t="s">
        <v>60</v>
      </c>
    </row>
    <row r="5569" spans="1:19" x14ac:dyDescent="0.35">
      <c r="A5569">
        <v>19751</v>
      </c>
      <c r="B5569" t="str">
        <f>"019751"</f>
        <v>019751</v>
      </c>
      <c r="C5569" t="s">
        <v>14754</v>
      </c>
      <c r="D5569" t="s">
        <v>3398</v>
      </c>
      <c r="E5569" t="s">
        <v>3395</v>
      </c>
      <c r="F5569" t="s">
        <v>3396</v>
      </c>
      <c r="G5569" t="s">
        <v>124</v>
      </c>
      <c r="H5569" t="s">
        <v>584</v>
      </c>
      <c r="I5569" t="s">
        <v>585</v>
      </c>
      <c r="J5569" t="s">
        <v>586</v>
      </c>
      <c r="K5569" t="s">
        <v>55</v>
      </c>
      <c r="L5569" t="s">
        <v>587</v>
      </c>
      <c r="M5569" t="s">
        <v>57</v>
      </c>
      <c r="N5569" t="str">
        <f>"044321"</f>
        <v>044321</v>
      </c>
      <c r="O5569" t="s">
        <v>583</v>
      </c>
      <c r="P5569" t="s">
        <v>68</v>
      </c>
      <c r="Q5569" t="s">
        <v>68</v>
      </c>
      <c r="R5569" t="s">
        <v>68</v>
      </c>
      <c r="S5569" t="s">
        <v>130</v>
      </c>
    </row>
    <row r="5570" spans="1:19" x14ac:dyDescent="0.35">
      <c r="A5570">
        <v>19751</v>
      </c>
      <c r="B5570" t="str">
        <f>"019751"</f>
        <v>019751</v>
      </c>
      <c r="C5570" t="s">
        <v>14754</v>
      </c>
      <c r="D5570" t="s">
        <v>12476</v>
      </c>
      <c r="E5570" t="s">
        <v>3395</v>
      </c>
      <c r="F5570" t="s">
        <v>3396</v>
      </c>
      <c r="G5570" t="s">
        <v>124</v>
      </c>
      <c r="H5570" t="s">
        <v>584</v>
      </c>
      <c r="I5570" t="s">
        <v>585</v>
      </c>
      <c r="J5570" t="s">
        <v>586</v>
      </c>
      <c r="K5570" t="s">
        <v>55</v>
      </c>
      <c r="L5570" t="s">
        <v>587</v>
      </c>
      <c r="M5570" t="s">
        <v>57</v>
      </c>
      <c r="N5570" t="str">
        <f>"044321"</f>
        <v>044321</v>
      </c>
      <c r="O5570" t="s">
        <v>583</v>
      </c>
      <c r="P5570" t="s">
        <v>68</v>
      </c>
      <c r="Q5570" t="s">
        <v>68</v>
      </c>
      <c r="R5570" t="s">
        <v>68</v>
      </c>
      <c r="S5570" t="s">
        <v>130</v>
      </c>
    </row>
    <row r="5571" spans="1:19" x14ac:dyDescent="0.35">
      <c r="A5571">
        <v>19707</v>
      </c>
      <c r="B5571" t="str">
        <f>"019707"</f>
        <v>019707</v>
      </c>
      <c r="C5571" t="s">
        <v>14755</v>
      </c>
      <c r="D5571" t="s">
        <v>3398</v>
      </c>
      <c r="E5571" t="s">
        <v>3395</v>
      </c>
      <c r="F5571" t="s">
        <v>3396</v>
      </c>
      <c r="G5571" t="s">
        <v>295</v>
      </c>
      <c r="H5571" t="s">
        <v>3207</v>
      </c>
      <c r="I5571" t="s">
        <v>3208</v>
      </c>
      <c r="J5571" t="s">
        <v>3209</v>
      </c>
      <c r="K5571" t="s">
        <v>55</v>
      </c>
      <c r="L5571" t="s">
        <v>3210</v>
      </c>
      <c r="M5571" t="s">
        <v>57</v>
      </c>
      <c r="N5571" t="str">
        <f>"049239"</f>
        <v>049239</v>
      </c>
      <c r="O5571" t="s">
        <v>3206</v>
      </c>
      <c r="P5571" t="s">
        <v>68</v>
      </c>
      <c r="Q5571" t="s">
        <v>68</v>
      </c>
      <c r="R5571" t="s">
        <v>68</v>
      </c>
      <c r="S5571" t="s">
        <v>77</v>
      </c>
    </row>
    <row r="5572" spans="1:19" x14ac:dyDescent="0.35">
      <c r="A5572">
        <v>19707</v>
      </c>
      <c r="B5572" t="str">
        <f>"019707"</f>
        <v>019707</v>
      </c>
      <c r="C5572" t="s">
        <v>14755</v>
      </c>
      <c r="D5572" t="s">
        <v>12476</v>
      </c>
      <c r="E5572" t="s">
        <v>3395</v>
      </c>
      <c r="F5572" t="s">
        <v>3396</v>
      </c>
      <c r="G5572" t="s">
        <v>295</v>
      </c>
      <c r="H5572" t="s">
        <v>3207</v>
      </c>
      <c r="I5572" t="s">
        <v>3208</v>
      </c>
      <c r="J5572" t="s">
        <v>3209</v>
      </c>
      <c r="K5572" t="s">
        <v>55</v>
      </c>
      <c r="L5572" t="s">
        <v>3210</v>
      </c>
      <c r="M5572" t="s">
        <v>57</v>
      </c>
      <c r="N5572" t="str">
        <f>"049239"</f>
        <v>049239</v>
      </c>
      <c r="O5572" t="s">
        <v>3206</v>
      </c>
      <c r="P5572" t="s">
        <v>68</v>
      </c>
      <c r="Q5572" t="s">
        <v>68</v>
      </c>
      <c r="R5572" t="s">
        <v>68</v>
      </c>
      <c r="S5572" t="s">
        <v>77</v>
      </c>
    </row>
    <row r="5573" spans="1:19" x14ac:dyDescent="0.35">
      <c r="A5573">
        <v>19714</v>
      </c>
      <c r="B5573" t="str">
        <f>"019714"</f>
        <v>019714</v>
      </c>
      <c r="C5573" t="s">
        <v>14756</v>
      </c>
      <c r="D5573" t="s">
        <v>3398</v>
      </c>
      <c r="E5573" t="s">
        <v>3395</v>
      </c>
      <c r="F5573" t="s">
        <v>3396</v>
      </c>
      <c r="G5573" t="s">
        <v>331</v>
      </c>
      <c r="H5573" t="s">
        <v>4587</v>
      </c>
      <c r="I5573" t="s">
        <v>4588</v>
      </c>
      <c r="J5573" t="s">
        <v>334</v>
      </c>
      <c r="K5573" t="s">
        <v>55</v>
      </c>
      <c r="L5573" t="s">
        <v>335</v>
      </c>
      <c r="M5573" t="s">
        <v>57</v>
      </c>
      <c r="N5573" t="str">
        <f>"045344"</f>
        <v>045344</v>
      </c>
      <c r="O5573" t="s">
        <v>330</v>
      </c>
      <c r="P5573" t="s">
        <v>68</v>
      </c>
      <c r="Q5573" t="s">
        <v>68</v>
      </c>
      <c r="R5573" t="s">
        <v>68</v>
      </c>
      <c r="S5573" t="s">
        <v>156</v>
      </c>
    </row>
    <row r="5574" spans="1:19" x14ac:dyDescent="0.35">
      <c r="A5574">
        <v>19714</v>
      </c>
      <c r="B5574" t="str">
        <f>"019714"</f>
        <v>019714</v>
      </c>
      <c r="C5574" t="s">
        <v>14756</v>
      </c>
      <c r="D5574" t="s">
        <v>12476</v>
      </c>
      <c r="E5574" t="s">
        <v>3395</v>
      </c>
      <c r="F5574" t="s">
        <v>3396</v>
      </c>
      <c r="G5574" t="s">
        <v>331</v>
      </c>
      <c r="H5574" t="s">
        <v>4587</v>
      </c>
      <c r="I5574" t="s">
        <v>4588</v>
      </c>
      <c r="J5574" t="s">
        <v>334</v>
      </c>
      <c r="K5574" t="s">
        <v>55</v>
      </c>
      <c r="L5574" t="s">
        <v>335</v>
      </c>
      <c r="M5574" t="s">
        <v>57</v>
      </c>
      <c r="N5574" t="str">
        <f>"045344"</f>
        <v>045344</v>
      </c>
      <c r="O5574" t="s">
        <v>330</v>
      </c>
      <c r="P5574" t="s">
        <v>68</v>
      </c>
      <c r="Q5574" t="s">
        <v>68</v>
      </c>
      <c r="R5574" t="s">
        <v>68</v>
      </c>
      <c r="S5574" t="s">
        <v>156</v>
      </c>
    </row>
    <row r="5575" spans="1:19" x14ac:dyDescent="0.35">
      <c r="A5575">
        <v>19709</v>
      </c>
      <c r="B5575" t="str">
        <f>"019709"</f>
        <v>019709</v>
      </c>
      <c r="C5575" t="s">
        <v>14757</v>
      </c>
      <c r="D5575" t="s">
        <v>3398</v>
      </c>
      <c r="E5575" t="s">
        <v>3395</v>
      </c>
      <c r="F5575" t="s">
        <v>3396</v>
      </c>
      <c r="G5575" t="s">
        <v>543</v>
      </c>
      <c r="H5575" t="s">
        <v>14708</v>
      </c>
      <c r="I5575" t="s">
        <v>14709</v>
      </c>
      <c r="J5575" t="s">
        <v>687</v>
      </c>
      <c r="K5575" t="s">
        <v>55</v>
      </c>
      <c r="L5575" t="s">
        <v>786</v>
      </c>
      <c r="M5575" t="s">
        <v>57</v>
      </c>
      <c r="N5575" t="str">
        <f>"048728"</f>
        <v>048728</v>
      </c>
      <c r="O5575" t="s">
        <v>2876</v>
      </c>
      <c r="P5575" t="s">
        <v>68</v>
      </c>
      <c r="Q5575" t="s">
        <v>68</v>
      </c>
      <c r="R5575" t="s">
        <v>68</v>
      </c>
      <c r="S5575" t="s">
        <v>180</v>
      </c>
    </row>
    <row r="5576" spans="1:19" x14ac:dyDescent="0.35">
      <c r="A5576">
        <v>19709</v>
      </c>
      <c r="B5576" t="str">
        <f>"019709"</f>
        <v>019709</v>
      </c>
      <c r="C5576" t="s">
        <v>14757</v>
      </c>
      <c r="D5576" t="s">
        <v>12476</v>
      </c>
      <c r="E5576" t="s">
        <v>3395</v>
      </c>
      <c r="F5576" t="s">
        <v>3396</v>
      </c>
      <c r="G5576" t="s">
        <v>543</v>
      </c>
      <c r="H5576" t="s">
        <v>14708</v>
      </c>
      <c r="I5576" t="s">
        <v>14709</v>
      </c>
      <c r="J5576" t="s">
        <v>687</v>
      </c>
      <c r="K5576" t="s">
        <v>55</v>
      </c>
      <c r="L5576" t="s">
        <v>786</v>
      </c>
      <c r="M5576" t="s">
        <v>57</v>
      </c>
      <c r="N5576" t="str">
        <f>"048728"</f>
        <v>048728</v>
      </c>
      <c r="O5576" t="s">
        <v>2876</v>
      </c>
      <c r="P5576" t="s">
        <v>68</v>
      </c>
      <c r="Q5576" t="s">
        <v>68</v>
      </c>
      <c r="R5576" t="s">
        <v>68</v>
      </c>
      <c r="S5576" t="s">
        <v>180</v>
      </c>
    </row>
    <row r="5577" spans="1:19" x14ac:dyDescent="0.35">
      <c r="A5577">
        <v>19716</v>
      </c>
      <c r="B5577" t="str">
        <f>"019716"</f>
        <v>019716</v>
      </c>
      <c r="C5577" t="s">
        <v>14758</v>
      </c>
      <c r="D5577" t="s">
        <v>3398</v>
      </c>
      <c r="E5577" t="s">
        <v>3395</v>
      </c>
      <c r="F5577" t="s">
        <v>3396</v>
      </c>
      <c r="G5577" t="s">
        <v>124</v>
      </c>
      <c r="H5577" t="s">
        <v>14759</v>
      </c>
      <c r="I5577" t="s">
        <v>14760</v>
      </c>
      <c r="J5577" t="s">
        <v>1792</v>
      </c>
      <c r="K5577" t="s">
        <v>55</v>
      </c>
      <c r="L5577" t="s">
        <v>1793</v>
      </c>
      <c r="M5577" t="s">
        <v>57</v>
      </c>
      <c r="N5577" t="str">
        <f>"050518"</f>
        <v>050518</v>
      </c>
      <c r="O5577" t="s">
        <v>1789</v>
      </c>
      <c r="P5577" t="s">
        <v>68</v>
      </c>
      <c r="Q5577" t="s">
        <v>68</v>
      </c>
      <c r="R5577" t="s">
        <v>68</v>
      </c>
      <c r="S5577" t="s">
        <v>130</v>
      </c>
    </row>
    <row r="5578" spans="1:19" x14ac:dyDescent="0.35">
      <c r="A5578">
        <v>19716</v>
      </c>
      <c r="B5578" t="str">
        <f>"019716"</f>
        <v>019716</v>
      </c>
      <c r="C5578" t="s">
        <v>14758</v>
      </c>
      <c r="D5578" t="s">
        <v>12476</v>
      </c>
      <c r="E5578" t="s">
        <v>3395</v>
      </c>
      <c r="F5578" t="s">
        <v>3396</v>
      </c>
      <c r="G5578" t="s">
        <v>124</v>
      </c>
      <c r="H5578" t="s">
        <v>14759</v>
      </c>
      <c r="I5578" t="s">
        <v>14760</v>
      </c>
      <c r="J5578" t="s">
        <v>1792</v>
      </c>
      <c r="K5578" t="s">
        <v>55</v>
      </c>
      <c r="L5578" t="s">
        <v>1793</v>
      </c>
      <c r="M5578" t="s">
        <v>57</v>
      </c>
      <c r="N5578" t="str">
        <f>"050518"</f>
        <v>050518</v>
      </c>
      <c r="O5578" t="s">
        <v>1789</v>
      </c>
      <c r="P5578" t="s">
        <v>68</v>
      </c>
      <c r="Q5578" t="s">
        <v>68</v>
      </c>
      <c r="R5578" t="s">
        <v>68</v>
      </c>
      <c r="S5578" t="s">
        <v>130</v>
      </c>
    </row>
    <row r="5579" spans="1:19" x14ac:dyDescent="0.35">
      <c r="A5579">
        <v>19717</v>
      </c>
      <c r="B5579" t="str">
        <f>"019717"</f>
        <v>019717</v>
      </c>
      <c r="C5579" t="s">
        <v>14761</v>
      </c>
      <c r="D5579" t="s">
        <v>3398</v>
      </c>
      <c r="E5579" t="s">
        <v>3395</v>
      </c>
      <c r="F5579" t="s">
        <v>3396</v>
      </c>
      <c r="G5579" t="s">
        <v>878</v>
      </c>
      <c r="H5579" t="s">
        <v>1395</v>
      </c>
      <c r="I5579" t="s">
        <v>1396</v>
      </c>
      <c r="J5579" t="s">
        <v>1397</v>
      </c>
      <c r="K5579" t="s">
        <v>55</v>
      </c>
      <c r="L5579" t="s">
        <v>1398</v>
      </c>
      <c r="M5579" t="s">
        <v>57</v>
      </c>
      <c r="N5579" t="str">
        <f>"045187"</f>
        <v>045187</v>
      </c>
      <c r="O5579" t="s">
        <v>1394</v>
      </c>
      <c r="P5579" t="s">
        <v>68</v>
      </c>
      <c r="Q5579" t="s">
        <v>68</v>
      </c>
      <c r="R5579" t="s">
        <v>68</v>
      </c>
      <c r="S5579" t="s">
        <v>156</v>
      </c>
    </row>
    <row r="5580" spans="1:19" x14ac:dyDescent="0.35">
      <c r="A5580">
        <v>19717</v>
      </c>
      <c r="B5580" t="str">
        <f>"019717"</f>
        <v>019717</v>
      </c>
      <c r="C5580" t="s">
        <v>14761</v>
      </c>
      <c r="D5580" t="s">
        <v>12476</v>
      </c>
      <c r="E5580" t="s">
        <v>3395</v>
      </c>
      <c r="F5580" t="s">
        <v>3396</v>
      </c>
      <c r="G5580" t="s">
        <v>878</v>
      </c>
      <c r="H5580" t="s">
        <v>1395</v>
      </c>
      <c r="I5580" t="s">
        <v>1396</v>
      </c>
      <c r="J5580" t="s">
        <v>1397</v>
      </c>
      <c r="K5580" t="s">
        <v>55</v>
      </c>
      <c r="L5580" t="s">
        <v>1398</v>
      </c>
      <c r="M5580" t="s">
        <v>57</v>
      </c>
      <c r="N5580" t="str">
        <f>"045187"</f>
        <v>045187</v>
      </c>
      <c r="O5580" t="s">
        <v>1394</v>
      </c>
      <c r="P5580" t="s">
        <v>68</v>
      </c>
      <c r="Q5580" t="s">
        <v>68</v>
      </c>
      <c r="R5580" t="s">
        <v>68</v>
      </c>
      <c r="S5580" t="s">
        <v>156</v>
      </c>
    </row>
    <row r="5581" spans="1:19" x14ac:dyDescent="0.35">
      <c r="A5581">
        <v>19720</v>
      </c>
      <c r="B5581" t="str">
        <f>"019720"</f>
        <v>019720</v>
      </c>
      <c r="C5581" t="s">
        <v>14762</v>
      </c>
      <c r="D5581" t="s">
        <v>3398</v>
      </c>
      <c r="E5581" t="s">
        <v>3395</v>
      </c>
      <c r="F5581" t="s">
        <v>3396</v>
      </c>
      <c r="G5581" t="s">
        <v>325</v>
      </c>
      <c r="H5581" t="s">
        <v>2817</v>
      </c>
      <c r="I5581" t="s">
        <v>2818</v>
      </c>
      <c r="J5581" t="s">
        <v>2819</v>
      </c>
      <c r="K5581" t="s">
        <v>55</v>
      </c>
      <c r="L5581" t="s">
        <v>2820</v>
      </c>
      <c r="M5581" t="s">
        <v>57</v>
      </c>
      <c r="N5581" t="str">
        <f>"044925"</f>
        <v>044925</v>
      </c>
      <c r="O5581" t="s">
        <v>2816</v>
      </c>
      <c r="P5581" t="s">
        <v>68</v>
      </c>
      <c r="Q5581" t="s">
        <v>68</v>
      </c>
      <c r="R5581" t="s">
        <v>68</v>
      </c>
      <c r="S5581" t="s">
        <v>180</v>
      </c>
    </row>
    <row r="5582" spans="1:19" x14ac:dyDescent="0.35">
      <c r="A5582">
        <v>19720</v>
      </c>
      <c r="B5582" t="str">
        <f>"019720"</f>
        <v>019720</v>
      </c>
      <c r="C5582" t="s">
        <v>14762</v>
      </c>
      <c r="D5582" t="s">
        <v>12476</v>
      </c>
      <c r="E5582" t="s">
        <v>3395</v>
      </c>
      <c r="F5582" t="s">
        <v>3396</v>
      </c>
      <c r="G5582" t="s">
        <v>325</v>
      </c>
      <c r="H5582" t="s">
        <v>2817</v>
      </c>
      <c r="I5582" t="s">
        <v>2818</v>
      </c>
      <c r="J5582" t="s">
        <v>2819</v>
      </c>
      <c r="K5582" t="s">
        <v>55</v>
      </c>
      <c r="L5582" t="s">
        <v>2820</v>
      </c>
      <c r="M5582" t="s">
        <v>57</v>
      </c>
      <c r="N5582" t="str">
        <f>"044925"</f>
        <v>044925</v>
      </c>
      <c r="O5582" t="s">
        <v>2816</v>
      </c>
      <c r="P5582" t="s">
        <v>68</v>
      </c>
      <c r="Q5582" t="s">
        <v>68</v>
      </c>
      <c r="R5582" t="s">
        <v>68</v>
      </c>
      <c r="S5582" t="s">
        <v>180</v>
      </c>
    </row>
    <row r="5583" spans="1:19" x14ac:dyDescent="0.35">
      <c r="A5583">
        <v>19723</v>
      </c>
      <c r="B5583" t="str">
        <f>"019723"</f>
        <v>019723</v>
      </c>
      <c r="C5583" t="s">
        <v>14763</v>
      </c>
      <c r="D5583" t="s">
        <v>3398</v>
      </c>
      <c r="E5583" t="s">
        <v>3395</v>
      </c>
      <c r="F5583" t="s">
        <v>3396</v>
      </c>
      <c r="G5583" t="s">
        <v>406</v>
      </c>
      <c r="H5583" t="s">
        <v>743</v>
      </c>
      <c r="I5583" t="s">
        <v>744</v>
      </c>
      <c r="J5583" t="s">
        <v>406</v>
      </c>
      <c r="K5583" t="s">
        <v>55</v>
      </c>
      <c r="L5583" t="s">
        <v>409</v>
      </c>
      <c r="M5583" t="s">
        <v>57</v>
      </c>
      <c r="N5583" t="str">
        <f>"048470"</f>
        <v>048470</v>
      </c>
      <c r="O5583" t="s">
        <v>742</v>
      </c>
      <c r="P5583" t="s">
        <v>68</v>
      </c>
      <c r="Q5583" t="s">
        <v>68</v>
      </c>
      <c r="R5583" t="s">
        <v>68</v>
      </c>
      <c r="S5583" t="s">
        <v>77</v>
      </c>
    </row>
    <row r="5584" spans="1:19" x14ac:dyDescent="0.35">
      <c r="A5584">
        <v>19723</v>
      </c>
      <c r="B5584" t="str">
        <f>"019723"</f>
        <v>019723</v>
      </c>
      <c r="C5584" t="s">
        <v>14763</v>
      </c>
      <c r="D5584" t="s">
        <v>12476</v>
      </c>
      <c r="E5584" t="s">
        <v>3395</v>
      </c>
      <c r="F5584" t="s">
        <v>3396</v>
      </c>
      <c r="G5584" t="s">
        <v>406</v>
      </c>
      <c r="H5584" t="s">
        <v>743</v>
      </c>
      <c r="I5584" t="s">
        <v>744</v>
      </c>
      <c r="J5584" t="s">
        <v>406</v>
      </c>
      <c r="K5584" t="s">
        <v>55</v>
      </c>
      <c r="L5584" t="s">
        <v>409</v>
      </c>
      <c r="M5584" t="s">
        <v>57</v>
      </c>
      <c r="N5584" t="str">
        <f>"048470"</f>
        <v>048470</v>
      </c>
      <c r="O5584" t="s">
        <v>742</v>
      </c>
      <c r="P5584" t="s">
        <v>68</v>
      </c>
      <c r="Q5584" t="s">
        <v>68</v>
      </c>
      <c r="R5584" t="s">
        <v>68</v>
      </c>
      <c r="S5584" t="s">
        <v>77</v>
      </c>
    </row>
    <row r="5585" spans="1:19" x14ac:dyDescent="0.35">
      <c r="A5585">
        <v>19727</v>
      </c>
      <c r="B5585" t="str">
        <f>"019727"</f>
        <v>019727</v>
      </c>
      <c r="C5585" t="s">
        <v>14764</v>
      </c>
      <c r="D5585" t="s">
        <v>3398</v>
      </c>
      <c r="E5585" t="s">
        <v>3395</v>
      </c>
      <c r="F5585" t="s">
        <v>3396</v>
      </c>
      <c r="G5585" t="s">
        <v>861</v>
      </c>
      <c r="H5585" t="s">
        <v>14765</v>
      </c>
      <c r="I5585" t="s">
        <v>14766</v>
      </c>
      <c r="J5585" t="s">
        <v>1743</v>
      </c>
      <c r="K5585" t="s">
        <v>55</v>
      </c>
      <c r="L5585" t="s">
        <v>1744</v>
      </c>
      <c r="M5585" t="s">
        <v>57</v>
      </c>
      <c r="N5585" t="str">
        <f>"065680"</f>
        <v>065680</v>
      </c>
      <c r="O5585" t="s">
        <v>1755</v>
      </c>
      <c r="P5585" t="s">
        <v>68</v>
      </c>
      <c r="Q5585">
        <v>100</v>
      </c>
      <c r="R5585">
        <v>11.299999999999997</v>
      </c>
      <c r="S5585" t="s">
        <v>130</v>
      </c>
    </row>
    <row r="5586" spans="1:19" x14ac:dyDescent="0.35">
      <c r="A5586">
        <v>19727</v>
      </c>
      <c r="B5586" t="str">
        <f>"019727"</f>
        <v>019727</v>
      </c>
      <c r="C5586" t="s">
        <v>14764</v>
      </c>
      <c r="D5586" t="s">
        <v>12476</v>
      </c>
      <c r="E5586" t="s">
        <v>3395</v>
      </c>
      <c r="F5586" t="s">
        <v>3396</v>
      </c>
      <c r="G5586" t="s">
        <v>861</v>
      </c>
      <c r="H5586" t="s">
        <v>14765</v>
      </c>
      <c r="I5586" t="s">
        <v>14766</v>
      </c>
      <c r="J5586" t="s">
        <v>1743</v>
      </c>
      <c r="K5586" t="s">
        <v>55</v>
      </c>
      <c r="L5586" t="s">
        <v>1744</v>
      </c>
      <c r="M5586" t="s">
        <v>57</v>
      </c>
      <c r="N5586" t="str">
        <f>"065680"</f>
        <v>065680</v>
      </c>
      <c r="O5586" t="s">
        <v>1755</v>
      </c>
      <c r="P5586" t="s">
        <v>68</v>
      </c>
      <c r="Q5586">
        <v>100</v>
      </c>
      <c r="R5586">
        <v>11.299999999999997</v>
      </c>
      <c r="S5586" t="s">
        <v>130</v>
      </c>
    </row>
    <row r="5587" spans="1:19" x14ac:dyDescent="0.35">
      <c r="A5587">
        <v>19725</v>
      </c>
      <c r="B5587" t="str">
        <f>"019725"</f>
        <v>019725</v>
      </c>
      <c r="C5587" t="s">
        <v>14767</v>
      </c>
      <c r="D5587" t="s">
        <v>3398</v>
      </c>
      <c r="E5587" t="s">
        <v>3395</v>
      </c>
      <c r="F5587" t="s">
        <v>3396</v>
      </c>
      <c r="G5587" t="s">
        <v>264</v>
      </c>
      <c r="H5587" t="s">
        <v>3379</v>
      </c>
      <c r="I5587" t="s">
        <v>3380</v>
      </c>
      <c r="J5587" t="s">
        <v>3381</v>
      </c>
      <c r="K5587" t="s">
        <v>55</v>
      </c>
      <c r="L5587" t="s">
        <v>3382</v>
      </c>
      <c r="M5587" t="s">
        <v>57</v>
      </c>
      <c r="N5587" t="str">
        <f>"049973"</f>
        <v>049973</v>
      </c>
      <c r="O5587" t="s">
        <v>3378</v>
      </c>
      <c r="P5587" t="s">
        <v>68</v>
      </c>
      <c r="Q5587">
        <v>58.5</v>
      </c>
      <c r="R5587">
        <v>48.8</v>
      </c>
      <c r="S5587" t="s">
        <v>77</v>
      </c>
    </row>
    <row r="5588" spans="1:19" x14ac:dyDescent="0.35">
      <c r="A5588">
        <v>19725</v>
      </c>
      <c r="B5588" t="str">
        <f>"019725"</f>
        <v>019725</v>
      </c>
      <c r="C5588" t="s">
        <v>14767</v>
      </c>
      <c r="D5588" t="s">
        <v>12476</v>
      </c>
      <c r="E5588" t="s">
        <v>3395</v>
      </c>
      <c r="F5588" t="s">
        <v>3396</v>
      </c>
      <c r="G5588" t="s">
        <v>264</v>
      </c>
      <c r="H5588" t="s">
        <v>3379</v>
      </c>
      <c r="I5588" t="s">
        <v>3380</v>
      </c>
      <c r="J5588" t="s">
        <v>3381</v>
      </c>
      <c r="K5588" t="s">
        <v>55</v>
      </c>
      <c r="L5588" t="s">
        <v>3382</v>
      </c>
      <c r="M5588" t="s">
        <v>57</v>
      </c>
      <c r="N5588" t="str">
        <f>"049973"</f>
        <v>049973</v>
      </c>
      <c r="O5588" t="s">
        <v>3378</v>
      </c>
      <c r="P5588" t="s">
        <v>68</v>
      </c>
      <c r="Q5588">
        <v>58.5</v>
      </c>
      <c r="R5588">
        <v>48.8</v>
      </c>
      <c r="S5588" t="s">
        <v>77</v>
      </c>
    </row>
    <row r="5589" spans="1:19" x14ac:dyDescent="0.35">
      <c r="A5589">
        <v>19724</v>
      </c>
      <c r="B5589" t="str">
        <f>"019724"</f>
        <v>019724</v>
      </c>
      <c r="C5589" t="s">
        <v>14768</v>
      </c>
      <c r="D5589" t="s">
        <v>3398</v>
      </c>
      <c r="E5589" t="s">
        <v>3395</v>
      </c>
      <c r="F5589" t="s">
        <v>3396</v>
      </c>
      <c r="G5589" t="s">
        <v>383</v>
      </c>
      <c r="H5589" t="s">
        <v>13454</v>
      </c>
      <c r="I5589" t="s">
        <v>13455</v>
      </c>
      <c r="J5589" t="s">
        <v>1215</v>
      </c>
      <c r="K5589" t="s">
        <v>55</v>
      </c>
      <c r="L5589" t="s">
        <v>8607</v>
      </c>
      <c r="M5589" t="s">
        <v>57</v>
      </c>
      <c r="N5589" t="str">
        <f>"045161"</f>
        <v>045161</v>
      </c>
      <c r="O5589" t="s">
        <v>1212</v>
      </c>
      <c r="P5589" t="s">
        <v>68</v>
      </c>
      <c r="Q5589">
        <v>100</v>
      </c>
      <c r="R5589">
        <v>79.099999999999994</v>
      </c>
      <c r="S5589" t="s">
        <v>77</v>
      </c>
    </row>
    <row r="5590" spans="1:19" x14ac:dyDescent="0.35">
      <c r="A5590">
        <v>19724</v>
      </c>
      <c r="B5590" t="str">
        <f>"019724"</f>
        <v>019724</v>
      </c>
      <c r="C5590" t="s">
        <v>14768</v>
      </c>
      <c r="D5590" t="s">
        <v>12476</v>
      </c>
      <c r="E5590" t="s">
        <v>3395</v>
      </c>
      <c r="F5590" t="s">
        <v>3396</v>
      </c>
      <c r="G5590" t="s">
        <v>383</v>
      </c>
      <c r="H5590" t="s">
        <v>13454</v>
      </c>
      <c r="I5590" t="s">
        <v>13455</v>
      </c>
      <c r="J5590" t="s">
        <v>1215</v>
      </c>
      <c r="K5590" t="s">
        <v>55</v>
      </c>
      <c r="L5590" t="s">
        <v>8607</v>
      </c>
      <c r="M5590" t="s">
        <v>57</v>
      </c>
      <c r="N5590" t="str">
        <f>"045161"</f>
        <v>045161</v>
      </c>
      <c r="O5590" t="s">
        <v>1212</v>
      </c>
      <c r="P5590" t="s">
        <v>68</v>
      </c>
      <c r="Q5590">
        <v>100</v>
      </c>
      <c r="R5590">
        <v>79.099999999999994</v>
      </c>
      <c r="S5590" t="s">
        <v>77</v>
      </c>
    </row>
    <row r="5591" spans="1:19" x14ac:dyDescent="0.35">
      <c r="A5591">
        <v>19731</v>
      </c>
      <c r="B5591" t="str">
        <f>"019731"</f>
        <v>019731</v>
      </c>
      <c r="C5591" t="s">
        <v>14769</v>
      </c>
      <c r="D5591" t="s">
        <v>3398</v>
      </c>
      <c r="E5591" t="s">
        <v>3395</v>
      </c>
      <c r="F5591" t="s">
        <v>3396</v>
      </c>
      <c r="G5591" t="s">
        <v>821</v>
      </c>
      <c r="H5591" t="s">
        <v>2646</v>
      </c>
      <c r="I5591" t="s">
        <v>2647</v>
      </c>
      <c r="J5591" t="s">
        <v>1427</v>
      </c>
      <c r="K5591" t="s">
        <v>55</v>
      </c>
      <c r="L5591" t="s">
        <v>1428</v>
      </c>
      <c r="M5591" t="s">
        <v>57</v>
      </c>
      <c r="N5591" t="str">
        <f>"047449"</f>
        <v>047449</v>
      </c>
      <c r="O5591" t="s">
        <v>2645</v>
      </c>
      <c r="P5591" t="s">
        <v>68</v>
      </c>
      <c r="Q5591" t="s">
        <v>68</v>
      </c>
      <c r="R5591" t="s">
        <v>68</v>
      </c>
      <c r="S5591" t="s">
        <v>156</v>
      </c>
    </row>
    <row r="5592" spans="1:19" x14ac:dyDescent="0.35">
      <c r="A5592">
        <v>19731</v>
      </c>
      <c r="B5592" t="str">
        <f>"019731"</f>
        <v>019731</v>
      </c>
      <c r="C5592" t="s">
        <v>14769</v>
      </c>
      <c r="D5592" t="s">
        <v>12476</v>
      </c>
      <c r="E5592" t="s">
        <v>3395</v>
      </c>
      <c r="F5592" t="s">
        <v>3396</v>
      </c>
      <c r="G5592" t="s">
        <v>821</v>
      </c>
      <c r="H5592" t="s">
        <v>2646</v>
      </c>
      <c r="I5592" t="s">
        <v>2647</v>
      </c>
      <c r="J5592" t="s">
        <v>1427</v>
      </c>
      <c r="K5592" t="s">
        <v>55</v>
      </c>
      <c r="L5592" t="s">
        <v>1428</v>
      </c>
      <c r="M5592" t="s">
        <v>57</v>
      </c>
      <c r="N5592" t="str">
        <f>"047449"</f>
        <v>047449</v>
      </c>
      <c r="O5592" t="s">
        <v>2645</v>
      </c>
      <c r="P5592" t="s">
        <v>68</v>
      </c>
      <c r="Q5592" t="s">
        <v>68</v>
      </c>
      <c r="R5592" t="s">
        <v>68</v>
      </c>
      <c r="S5592" t="s">
        <v>156</v>
      </c>
    </row>
    <row r="5593" spans="1:19" x14ac:dyDescent="0.35">
      <c r="A5593">
        <v>19753</v>
      </c>
      <c r="B5593" t="str">
        <f>"019753"</f>
        <v>019753</v>
      </c>
      <c r="C5593" t="s">
        <v>14770</v>
      </c>
      <c r="D5593" t="s">
        <v>3398</v>
      </c>
      <c r="E5593" t="s">
        <v>3395</v>
      </c>
      <c r="F5593" t="s">
        <v>3396</v>
      </c>
      <c r="G5593" t="s">
        <v>536</v>
      </c>
      <c r="H5593" t="s">
        <v>2358</v>
      </c>
      <c r="I5593" t="s">
        <v>2359</v>
      </c>
      <c r="J5593" t="s">
        <v>2360</v>
      </c>
      <c r="K5593" t="s">
        <v>55</v>
      </c>
      <c r="L5593" t="s">
        <v>2361</v>
      </c>
      <c r="M5593" t="s">
        <v>57</v>
      </c>
      <c r="N5593" t="str">
        <f>"046441"</f>
        <v>046441</v>
      </c>
      <c r="O5593" t="s">
        <v>2238</v>
      </c>
      <c r="P5593" t="s">
        <v>68</v>
      </c>
      <c r="Q5593" t="s">
        <v>68</v>
      </c>
      <c r="R5593" t="s">
        <v>68</v>
      </c>
      <c r="S5593" t="s">
        <v>77</v>
      </c>
    </row>
    <row r="5594" spans="1:19" x14ac:dyDescent="0.35">
      <c r="A5594">
        <v>19753</v>
      </c>
      <c r="B5594" t="str">
        <f>"019753"</f>
        <v>019753</v>
      </c>
      <c r="C5594" t="s">
        <v>14770</v>
      </c>
      <c r="D5594" t="s">
        <v>12476</v>
      </c>
      <c r="E5594" t="s">
        <v>3395</v>
      </c>
      <c r="F5594" t="s">
        <v>3396</v>
      </c>
      <c r="G5594" t="s">
        <v>536</v>
      </c>
      <c r="H5594" t="s">
        <v>2358</v>
      </c>
      <c r="I5594" t="s">
        <v>2359</v>
      </c>
      <c r="J5594" t="s">
        <v>2360</v>
      </c>
      <c r="K5594" t="s">
        <v>55</v>
      </c>
      <c r="L5594" t="s">
        <v>2361</v>
      </c>
      <c r="M5594" t="s">
        <v>57</v>
      </c>
      <c r="N5594" t="str">
        <f>"046441"</f>
        <v>046441</v>
      </c>
      <c r="O5594" t="s">
        <v>2238</v>
      </c>
      <c r="P5594" t="s">
        <v>68</v>
      </c>
      <c r="Q5594" t="s">
        <v>68</v>
      </c>
      <c r="R5594" t="s">
        <v>68</v>
      </c>
      <c r="S5594" t="s">
        <v>77</v>
      </c>
    </row>
    <row r="5595" spans="1:19" x14ac:dyDescent="0.35">
      <c r="A5595">
        <v>19734</v>
      </c>
      <c r="B5595" t="str">
        <f>"019734"</f>
        <v>019734</v>
      </c>
      <c r="C5595" t="s">
        <v>14771</v>
      </c>
      <c r="D5595" t="s">
        <v>3398</v>
      </c>
      <c r="E5595" t="s">
        <v>3395</v>
      </c>
      <c r="F5595" t="s">
        <v>3396</v>
      </c>
      <c r="G5595" t="s">
        <v>212</v>
      </c>
      <c r="H5595" t="s">
        <v>12439</v>
      </c>
      <c r="I5595" t="s">
        <v>12440</v>
      </c>
      <c r="J5595" t="s">
        <v>215</v>
      </c>
      <c r="K5595" t="s">
        <v>55</v>
      </c>
      <c r="L5595" t="s">
        <v>5781</v>
      </c>
      <c r="M5595" t="s">
        <v>57</v>
      </c>
      <c r="N5595" t="str">
        <f>"043752"</f>
        <v>043752</v>
      </c>
      <c r="O5595" t="s">
        <v>440</v>
      </c>
      <c r="P5595" t="s">
        <v>68</v>
      </c>
      <c r="Q5595">
        <v>57.7</v>
      </c>
      <c r="R5595">
        <v>79.400000000000006</v>
      </c>
      <c r="S5595" t="s">
        <v>217</v>
      </c>
    </row>
    <row r="5596" spans="1:19" x14ac:dyDescent="0.35">
      <c r="A5596">
        <v>19734</v>
      </c>
      <c r="B5596" t="str">
        <f>"019734"</f>
        <v>019734</v>
      </c>
      <c r="C5596" t="s">
        <v>14771</v>
      </c>
      <c r="D5596" t="s">
        <v>12476</v>
      </c>
      <c r="E5596" t="s">
        <v>3395</v>
      </c>
      <c r="F5596" t="s">
        <v>3396</v>
      </c>
      <c r="G5596" t="s">
        <v>212</v>
      </c>
      <c r="H5596" t="s">
        <v>12439</v>
      </c>
      <c r="I5596" t="s">
        <v>12440</v>
      </c>
      <c r="J5596" t="s">
        <v>215</v>
      </c>
      <c r="K5596" t="s">
        <v>55</v>
      </c>
      <c r="L5596" t="s">
        <v>5781</v>
      </c>
      <c r="M5596" t="s">
        <v>57</v>
      </c>
      <c r="N5596" t="str">
        <f>"043752"</f>
        <v>043752</v>
      </c>
      <c r="O5596" t="s">
        <v>440</v>
      </c>
      <c r="P5596" t="s">
        <v>68</v>
      </c>
      <c r="Q5596">
        <v>57.7</v>
      </c>
      <c r="R5596">
        <v>79.400000000000006</v>
      </c>
      <c r="S5596" t="s">
        <v>217</v>
      </c>
    </row>
    <row r="5597" spans="1:19" x14ac:dyDescent="0.35">
      <c r="A5597">
        <v>19732</v>
      </c>
      <c r="B5597" t="str">
        <f>"019732"</f>
        <v>019732</v>
      </c>
      <c r="C5597" t="s">
        <v>14772</v>
      </c>
      <c r="D5597" t="s">
        <v>3398</v>
      </c>
      <c r="E5597" t="s">
        <v>3395</v>
      </c>
      <c r="F5597" t="s">
        <v>3396</v>
      </c>
      <c r="G5597" t="s">
        <v>572</v>
      </c>
      <c r="H5597" t="s">
        <v>14773</v>
      </c>
      <c r="I5597" t="s">
        <v>14774</v>
      </c>
      <c r="J5597" t="s">
        <v>2954</v>
      </c>
      <c r="K5597" t="s">
        <v>55</v>
      </c>
      <c r="L5597" t="s">
        <v>2955</v>
      </c>
      <c r="M5597" t="s">
        <v>57</v>
      </c>
      <c r="N5597" t="str">
        <f>"044784"</f>
        <v>044784</v>
      </c>
      <c r="O5597" t="s">
        <v>2951</v>
      </c>
      <c r="P5597" t="s">
        <v>68</v>
      </c>
      <c r="Q5597">
        <v>69.599999999999994</v>
      </c>
      <c r="R5597">
        <v>10.900000000000006</v>
      </c>
      <c r="S5597" t="s">
        <v>180</v>
      </c>
    </row>
    <row r="5598" spans="1:19" x14ac:dyDescent="0.35">
      <c r="A5598">
        <v>19732</v>
      </c>
      <c r="B5598" t="str">
        <f>"019732"</f>
        <v>019732</v>
      </c>
      <c r="C5598" t="s">
        <v>14772</v>
      </c>
      <c r="D5598" t="s">
        <v>12476</v>
      </c>
      <c r="E5598" t="s">
        <v>3395</v>
      </c>
      <c r="F5598" t="s">
        <v>3396</v>
      </c>
      <c r="G5598" t="s">
        <v>572</v>
      </c>
      <c r="H5598" t="s">
        <v>14773</v>
      </c>
      <c r="I5598" t="s">
        <v>14774</v>
      </c>
      <c r="J5598" t="s">
        <v>2954</v>
      </c>
      <c r="K5598" t="s">
        <v>55</v>
      </c>
      <c r="L5598" t="s">
        <v>2955</v>
      </c>
      <c r="M5598" t="s">
        <v>57</v>
      </c>
      <c r="N5598" t="str">
        <f>"044784"</f>
        <v>044784</v>
      </c>
      <c r="O5598" t="s">
        <v>2951</v>
      </c>
      <c r="P5598" t="s">
        <v>68</v>
      </c>
      <c r="Q5598">
        <v>69.599999999999994</v>
      </c>
      <c r="R5598">
        <v>10.900000000000006</v>
      </c>
      <c r="S5598" t="s">
        <v>180</v>
      </c>
    </row>
    <row r="5599" spans="1:19" x14ac:dyDescent="0.35">
      <c r="A5599">
        <v>19726</v>
      </c>
      <c r="B5599" t="str">
        <f>"019726"</f>
        <v>019726</v>
      </c>
      <c r="C5599" t="s">
        <v>14775</v>
      </c>
      <c r="D5599" t="s">
        <v>3398</v>
      </c>
      <c r="E5599" t="s">
        <v>3395</v>
      </c>
      <c r="F5599" t="s">
        <v>3396</v>
      </c>
      <c r="G5599" t="s">
        <v>63</v>
      </c>
      <c r="H5599" t="s">
        <v>14776</v>
      </c>
      <c r="I5599" t="s">
        <v>14777</v>
      </c>
      <c r="J5599" t="s">
        <v>1844</v>
      </c>
      <c r="K5599" t="s">
        <v>55</v>
      </c>
      <c r="L5599" t="s">
        <v>1636</v>
      </c>
      <c r="M5599" t="s">
        <v>57</v>
      </c>
      <c r="N5599" t="str">
        <f>"043794"</f>
        <v>043794</v>
      </c>
      <c r="O5599" t="s">
        <v>1912</v>
      </c>
      <c r="P5599" t="s">
        <v>68</v>
      </c>
      <c r="Q5599">
        <v>100</v>
      </c>
      <c r="R5599">
        <v>82.5</v>
      </c>
      <c r="S5599" t="s">
        <v>69</v>
      </c>
    </row>
    <row r="5600" spans="1:19" x14ac:dyDescent="0.35">
      <c r="A5600">
        <v>19726</v>
      </c>
      <c r="B5600" t="str">
        <f>"019726"</f>
        <v>019726</v>
      </c>
      <c r="C5600" t="s">
        <v>14775</v>
      </c>
      <c r="D5600" t="s">
        <v>12476</v>
      </c>
      <c r="E5600" t="s">
        <v>3395</v>
      </c>
      <c r="F5600" t="s">
        <v>3396</v>
      </c>
      <c r="G5600" t="s">
        <v>63</v>
      </c>
      <c r="H5600" t="s">
        <v>14776</v>
      </c>
      <c r="I5600" t="s">
        <v>14777</v>
      </c>
      <c r="J5600" t="s">
        <v>1844</v>
      </c>
      <c r="K5600" t="s">
        <v>55</v>
      </c>
      <c r="L5600" t="s">
        <v>1636</v>
      </c>
      <c r="M5600" t="s">
        <v>57</v>
      </c>
      <c r="N5600" t="str">
        <f>"043794"</f>
        <v>043794</v>
      </c>
      <c r="O5600" t="s">
        <v>1912</v>
      </c>
      <c r="P5600" t="s">
        <v>68</v>
      </c>
      <c r="Q5600">
        <v>100</v>
      </c>
      <c r="R5600">
        <v>82.5</v>
      </c>
      <c r="S5600" t="s">
        <v>69</v>
      </c>
    </row>
    <row r="5601" spans="1:19" x14ac:dyDescent="0.35">
      <c r="A5601">
        <v>19735</v>
      </c>
      <c r="B5601" t="str">
        <f>"019735"</f>
        <v>019735</v>
      </c>
      <c r="C5601" t="s">
        <v>14778</v>
      </c>
      <c r="D5601" t="s">
        <v>3398</v>
      </c>
      <c r="E5601" t="s">
        <v>3395</v>
      </c>
      <c r="F5601" t="s">
        <v>3396</v>
      </c>
      <c r="G5601" t="s">
        <v>406</v>
      </c>
      <c r="H5601" t="s">
        <v>3285</v>
      </c>
      <c r="I5601" t="s">
        <v>3286</v>
      </c>
      <c r="J5601" t="s">
        <v>3287</v>
      </c>
      <c r="K5601" t="s">
        <v>55</v>
      </c>
      <c r="L5601" t="s">
        <v>3288</v>
      </c>
      <c r="M5601" t="s">
        <v>57</v>
      </c>
      <c r="N5601" t="str">
        <f>"048462"</f>
        <v>048462</v>
      </c>
      <c r="O5601" t="s">
        <v>3284</v>
      </c>
      <c r="P5601" t="s">
        <v>68</v>
      </c>
      <c r="Q5601" t="s">
        <v>68</v>
      </c>
      <c r="R5601" t="s">
        <v>68</v>
      </c>
      <c r="S5601" t="s">
        <v>77</v>
      </c>
    </row>
    <row r="5602" spans="1:19" x14ac:dyDescent="0.35">
      <c r="A5602">
        <v>19735</v>
      </c>
      <c r="B5602" t="str">
        <f>"019735"</f>
        <v>019735</v>
      </c>
      <c r="C5602" t="s">
        <v>14778</v>
      </c>
      <c r="D5602" t="s">
        <v>12476</v>
      </c>
      <c r="E5602" t="s">
        <v>3395</v>
      </c>
      <c r="F5602" t="s">
        <v>3396</v>
      </c>
      <c r="G5602" t="s">
        <v>406</v>
      </c>
      <c r="H5602" t="s">
        <v>3285</v>
      </c>
      <c r="I5602" t="s">
        <v>3286</v>
      </c>
      <c r="J5602" t="s">
        <v>3287</v>
      </c>
      <c r="K5602" t="s">
        <v>55</v>
      </c>
      <c r="L5602" t="s">
        <v>3288</v>
      </c>
      <c r="M5602" t="s">
        <v>57</v>
      </c>
      <c r="N5602" t="str">
        <f>"048462"</f>
        <v>048462</v>
      </c>
      <c r="O5602" t="s">
        <v>3284</v>
      </c>
      <c r="P5602" t="s">
        <v>68</v>
      </c>
      <c r="Q5602" t="s">
        <v>68</v>
      </c>
      <c r="R5602" t="s">
        <v>68</v>
      </c>
      <c r="S5602" t="s">
        <v>77</v>
      </c>
    </row>
    <row r="5603" spans="1:19" x14ac:dyDescent="0.35">
      <c r="A5603">
        <v>19730</v>
      </c>
      <c r="B5603" t="str">
        <f>"019730"</f>
        <v>019730</v>
      </c>
      <c r="C5603" t="s">
        <v>14779</v>
      </c>
      <c r="D5603" t="s">
        <v>3398</v>
      </c>
      <c r="E5603" t="s">
        <v>3395</v>
      </c>
      <c r="F5603" t="s">
        <v>3396</v>
      </c>
      <c r="G5603" t="s">
        <v>143</v>
      </c>
      <c r="H5603" t="s">
        <v>6933</v>
      </c>
      <c r="I5603" t="s">
        <v>6934</v>
      </c>
      <c r="J5603" t="s">
        <v>2256</v>
      </c>
      <c r="K5603" t="s">
        <v>55</v>
      </c>
      <c r="L5603" t="s">
        <v>2257</v>
      </c>
      <c r="M5603" t="s">
        <v>57</v>
      </c>
      <c r="N5603" t="str">
        <f>"048173"</f>
        <v>048173</v>
      </c>
      <c r="O5603" t="s">
        <v>2253</v>
      </c>
      <c r="P5603" t="s">
        <v>68</v>
      </c>
      <c r="Q5603">
        <v>52.2</v>
      </c>
      <c r="R5603">
        <v>7.2000000000000028</v>
      </c>
      <c r="S5603" t="s">
        <v>69</v>
      </c>
    </row>
    <row r="5604" spans="1:19" x14ac:dyDescent="0.35">
      <c r="A5604">
        <v>19730</v>
      </c>
      <c r="B5604" t="str">
        <f>"019730"</f>
        <v>019730</v>
      </c>
      <c r="C5604" t="s">
        <v>14779</v>
      </c>
      <c r="D5604" t="s">
        <v>12476</v>
      </c>
      <c r="E5604" t="s">
        <v>3395</v>
      </c>
      <c r="F5604" t="s">
        <v>3396</v>
      </c>
      <c r="G5604" t="s">
        <v>143</v>
      </c>
      <c r="H5604" t="s">
        <v>6933</v>
      </c>
      <c r="I5604" t="s">
        <v>6934</v>
      </c>
      <c r="J5604" t="s">
        <v>2256</v>
      </c>
      <c r="K5604" t="s">
        <v>55</v>
      </c>
      <c r="L5604" t="s">
        <v>2257</v>
      </c>
      <c r="M5604" t="s">
        <v>57</v>
      </c>
      <c r="N5604" t="str">
        <f>"048173"</f>
        <v>048173</v>
      </c>
      <c r="O5604" t="s">
        <v>2253</v>
      </c>
      <c r="P5604" t="s">
        <v>68</v>
      </c>
      <c r="Q5604">
        <v>52.2</v>
      </c>
      <c r="R5604">
        <v>7.2000000000000028</v>
      </c>
      <c r="S5604" t="s">
        <v>69</v>
      </c>
    </row>
    <row r="5605" spans="1:19" x14ac:dyDescent="0.35">
      <c r="A5605">
        <v>19741</v>
      </c>
      <c r="B5605" t="str">
        <f>"019741"</f>
        <v>019741</v>
      </c>
      <c r="C5605" t="s">
        <v>14780</v>
      </c>
      <c r="D5605" t="s">
        <v>3398</v>
      </c>
      <c r="E5605" t="s">
        <v>3395</v>
      </c>
      <c r="F5605" t="s">
        <v>3396</v>
      </c>
      <c r="G5605" t="s">
        <v>143</v>
      </c>
      <c r="H5605" t="s">
        <v>1031</v>
      </c>
      <c r="I5605" t="s">
        <v>1032</v>
      </c>
      <c r="J5605" t="s">
        <v>143</v>
      </c>
      <c r="K5605" t="s">
        <v>55</v>
      </c>
      <c r="L5605" t="s">
        <v>1033</v>
      </c>
      <c r="M5605" t="s">
        <v>57</v>
      </c>
      <c r="N5605" t="str">
        <f>"048132"</f>
        <v>048132</v>
      </c>
      <c r="O5605" t="s">
        <v>1030</v>
      </c>
      <c r="P5605" t="s">
        <v>68</v>
      </c>
      <c r="Q5605">
        <v>100</v>
      </c>
      <c r="R5605">
        <v>66.7</v>
      </c>
      <c r="S5605" t="s">
        <v>69</v>
      </c>
    </row>
    <row r="5606" spans="1:19" x14ac:dyDescent="0.35">
      <c r="A5606">
        <v>19741</v>
      </c>
      <c r="B5606" t="str">
        <f>"019741"</f>
        <v>019741</v>
      </c>
      <c r="C5606" t="s">
        <v>14780</v>
      </c>
      <c r="D5606" t="s">
        <v>12476</v>
      </c>
      <c r="E5606" t="s">
        <v>3395</v>
      </c>
      <c r="F5606" t="s">
        <v>3396</v>
      </c>
      <c r="G5606" t="s">
        <v>143</v>
      </c>
      <c r="H5606" t="s">
        <v>1031</v>
      </c>
      <c r="I5606" t="s">
        <v>1032</v>
      </c>
      <c r="J5606" t="s">
        <v>143</v>
      </c>
      <c r="K5606" t="s">
        <v>55</v>
      </c>
      <c r="L5606" t="s">
        <v>1033</v>
      </c>
      <c r="M5606" t="s">
        <v>57</v>
      </c>
      <c r="N5606" t="str">
        <f>"048132"</f>
        <v>048132</v>
      </c>
      <c r="O5606" t="s">
        <v>1030</v>
      </c>
      <c r="P5606" t="s">
        <v>68</v>
      </c>
      <c r="Q5606">
        <v>100</v>
      </c>
      <c r="R5606">
        <v>66.7</v>
      </c>
      <c r="S5606" t="s">
        <v>69</v>
      </c>
    </row>
    <row r="5607" spans="1:19" x14ac:dyDescent="0.35">
      <c r="A5607">
        <v>19740</v>
      </c>
      <c r="B5607" t="str">
        <f>"019740"</f>
        <v>019740</v>
      </c>
      <c r="C5607" t="s">
        <v>14781</v>
      </c>
      <c r="D5607" t="s">
        <v>3398</v>
      </c>
      <c r="E5607" t="s">
        <v>3395</v>
      </c>
      <c r="F5607" t="s">
        <v>3396</v>
      </c>
      <c r="G5607" t="s">
        <v>132</v>
      </c>
      <c r="H5607" t="s">
        <v>455</v>
      </c>
      <c r="I5607" t="s">
        <v>456</v>
      </c>
      <c r="J5607" t="s">
        <v>135</v>
      </c>
      <c r="K5607" t="s">
        <v>55</v>
      </c>
      <c r="L5607" t="s">
        <v>136</v>
      </c>
      <c r="M5607" t="s">
        <v>57</v>
      </c>
      <c r="N5607" t="str">
        <f>"045872"</f>
        <v>045872</v>
      </c>
      <c r="O5607" t="s">
        <v>454</v>
      </c>
      <c r="P5607" t="s">
        <v>68</v>
      </c>
      <c r="Q5607" t="s">
        <v>68</v>
      </c>
      <c r="R5607" t="s">
        <v>68</v>
      </c>
      <c r="S5607" t="s">
        <v>69</v>
      </c>
    </row>
    <row r="5608" spans="1:19" x14ac:dyDescent="0.35">
      <c r="A5608">
        <v>19740</v>
      </c>
      <c r="B5608" t="str">
        <f>"019740"</f>
        <v>019740</v>
      </c>
      <c r="C5608" t="s">
        <v>14781</v>
      </c>
      <c r="D5608" t="s">
        <v>12476</v>
      </c>
      <c r="E5608" t="s">
        <v>3395</v>
      </c>
      <c r="F5608" t="s">
        <v>3396</v>
      </c>
      <c r="G5608" t="s">
        <v>132</v>
      </c>
      <c r="H5608" t="s">
        <v>455</v>
      </c>
      <c r="I5608" t="s">
        <v>456</v>
      </c>
      <c r="J5608" t="s">
        <v>135</v>
      </c>
      <c r="K5608" t="s">
        <v>55</v>
      </c>
      <c r="L5608" t="s">
        <v>136</v>
      </c>
      <c r="M5608" t="s">
        <v>57</v>
      </c>
      <c r="N5608" t="str">
        <f>"045872"</f>
        <v>045872</v>
      </c>
      <c r="O5608" t="s">
        <v>454</v>
      </c>
      <c r="P5608" t="s">
        <v>68</v>
      </c>
      <c r="Q5608" t="s">
        <v>68</v>
      </c>
      <c r="R5608" t="s">
        <v>68</v>
      </c>
      <c r="S5608" t="s">
        <v>69</v>
      </c>
    </row>
    <row r="5609" spans="1:19" x14ac:dyDescent="0.35">
      <c r="A5609">
        <v>19743</v>
      </c>
      <c r="B5609" t="str">
        <f>"019743"</f>
        <v>019743</v>
      </c>
      <c r="C5609" t="s">
        <v>14782</v>
      </c>
      <c r="D5609" t="s">
        <v>3398</v>
      </c>
      <c r="E5609" t="s">
        <v>3395</v>
      </c>
      <c r="F5609" t="s">
        <v>3396</v>
      </c>
      <c r="G5609" t="s">
        <v>132</v>
      </c>
      <c r="H5609" t="s">
        <v>14783</v>
      </c>
      <c r="I5609" t="s">
        <v>14784</v>
      </c>
      <c r="J5609" t="s">
        <v>3185</v>
      </c>
      <c r="K5609" t="s">
        <v>55</v>
      </c>
      <c r="L5609" t="s">
        <v>3186</v>
      </c>
      <c r="M5609" t="s">
        <v>57</v>
      </c>
      <c r="N5609" t="str">
        <f>"045880"</f>
        <v>045880</v>
      </c>
      <c r="O5609" t="s">
        <v>3182</v>
      </c>
      <c r="P5609" t="s">
        <v>68</v>
      </c>
      <c r="Q5609">
        <v>0</v>
      </c>
      <c r="R5609">
        <v>5.9000000000000057</v>
      </c>
      <c r="S5609" t="s">
        <v>69</v>
      </c>
    </row>
    <row r="5610" spans="1:19" x14ac:dyDescent="0.35">
      <c r="A5610">
        <v>19743</v>
      </c>
      <c r="B5610" t="str">
        <f>"019743"</f>
        <v>019743</v>
      </c>
      <c r="C5610" t="s">
        <v>14782</v>
      </c>
      <c r="D5610" t="s">
        <v>12476</v>
      </c>
      <c r="E5610" t="s">
        <v>3395</v>
      </c>
      <c r="F5610" t="s">
        <v>3396</v>
      </c>
      <c r="G5610" t="s">
        <v>132</v>
      </c>
      <c r="H5610" t="s">
        <v>14783</v>
      </c>
      <c r="I5610" t="s">
        <v>14784</v>
      </c>
      <c r="J5610" t="s">
        <v>3185</v>
      </c>
      <c r="K5610" t="s">
        <v>55</v>
      </c>
      <c r="L5610" t="s">
        <v>3186</v>
      </c>
      <c r="M5610" t="s">
        <v>57</v>
      </c>
      <c r="N5610" t="str">
        <f>"045880"</f>
        <v>045880</v>
      </c>
      <c r="O5610" t="s">
        <v>3182</v>
      </c>
      <c r="P5610" t="s">
        <v>68</v>
      </c>
      <c r="Q5610">
        <v>0</v>
      </c>
      <c r="R5610">
        <v>5.9000000000000057</v>
      </c>
      <c r="S5610" t="s">
        <v>69</v>
      </c>
    </row>
    <row r="5611" spans="1:19" x14ac:dyDescent="0.35">
      <c r="A5611">
        <v>19749</v>
      </c>
      <c r="B5611" t="str">
        <f>"019749"</f>
        <v>019749</v>
      </c>
      <c r="C5611" t="s">
        <v>14785</v>
      </c>
      <c r="D5611" t="s">
        <v>3398</v>
      </c>
      <c r="E5611" t="s">
        <v>3395</v>
      </c>
      <c r="F5611" t="s">
        <v>3396</v>
      </c>
      <c r="G5611" t="s">
        <v>124</v>
      </c>
      <c r="H5611" t="s">
        <v>125</v>
      </c>
      <c r="I5611" t="s">
        <v>126</v>
      </c>
      <c r="J5611" t="s">
        <v>127</v>
      </c>
      <c r="K5611" t="s">
        <v>55</v>
      </c>
      <c r="L5611" t="s">
        <v>128</v>
      </c>
      <c r="M5611" t="s">
        <v>57</v>
      </c>
      <c r="N5611" t="str">
        <f>"050492"</f>
        <v>050492</v>
      </c>
      <c r="O5611" t="s">
        <v>123</v>
      </c>
      <c r="P5611" t="s">
        <v>68</v>
      </c>
      <c r="Q5611" t="s">
        <v>68</v>
      </c>
      <c r="R5611" t="s">
        <v>68</v>
      </c>
      <c r="S5611" t="s">
        <v>130</v>
      </c>
    </row>
    <row r="5612" spans="1:19" x14ac:dyDescent="0.35">
      <c r="A5612">
        <v>19749</v>
      </c>
      <c r="B5612" t="str">
        <f>"019749"</f>
        <v>019749</v>
      </c>
      <c r="C5612" t="s">
        <v>14785</v>
      </c>
      <c r="D5612" t="s">
        <v>12476</v>
      </c>
      <c r="E5612" t="s">
        <v>3395</v>
      </c>
      <c r="F5612" t="s">
        <v>3396</v>
      </c>
      <c r="G5612" t="s">
        <v>124</v>
      </c>
      <c r="H5612" t="s">
        <v>125</v>
      </c>
      <c r="I5612" t="s">
        <v>126</v>
      </c>
      <c r="J5612" t="s">
        <v>127</v>
      </c>
      <c r="K5612" t="s">
        <v>55</v>
      </c>
      <c r="L5612" t="s">
        <v>128</v>
      </c>
      <c r="M5612" t="s">
        <v>57</v>
      </c>
      <c r="N5612" t="str">
        <f>"050492"</f>
        <v>050492</v>
      </c>
      <c r="O5612" t="s">
        <v>123</v>
      </c>
      <c r="P5612" t="s">
        <v>68</v>
      </c>
      <c r="Q5612" t="s">
        <v>68</v>
      </c>
      <c r="R5612" t="s">
        <v>68</v>
      </c>
      <c r="S5612" t="s">
        <v>130</v>
      </c>
    </row>
    <row r="5613" spans="1:19" x14ac:dyDescent="0.35">
      <c r="A5613">
        <v>19761</v>
      </c>
      <c r="B5613" t="str">
        <f>"019761"</f>
        <v>019761</v>
      </c>
      <c r="C5613" t="s">
        <v>14786</v>
      </c>
      <c r="D5613" t="s">
        <v>3398</v>
      </c>
      <c r="E5613" t="s">
        <v>3395</v>
      </c>
      <c r="F5613" t="s">
        <v>3396</v>
      </c>
      <c r="G5613" t="s">
        <v>777</v>
      </c>
      <c r="H5613" t="s">
        <v>5028</v>
      </c>
      <c r="I5613" t="s">
        <v>5029</v>
      </c>
      <c r="J5613" t="s">
        <v>780</v>
      </c>
      <c r="K5613" t="s">
        <v>55</v>
      </c>
      <c r="L5613" t="s">
        <v>894</v>
      </c>
      <c r="M5613" t="s">
        <v>57</v>
      </c>
      <c r="N5613" t="str">
        <f>"044818"</f>
        <v>044818</v>
      </c>
      <c r="O5613" t="s">
        <v>2812</v>
      </c>
      <c r="P5613" t="s">
        <v>68</v>
      </c>
      <c r="Q5613">
        <v>100</v>
      </c>
      <c r="R5613">
        <v>36.700000000000003</v>
      </c>
      <c r="S5613" t="s">
        <v>180</v>
      </c>
    </row>
    <row r="5614" spans="1:19" x14ac:dyDescent="0.35">
      <c r="A5614">
        <v>19761</v>
      </c>
      <c r="B5614" t="str">
        <f>"019761"</f>
        <v>019761</v>
      </c>
      <c r="C5614" t="s">
        <v>14786</v>
      </c>
      <c r="D5614" t="s">
        <v>12476</v>
      </c>
      <c r="E5614" t="s">
        <v>3395</v>
      </c>
      <c r="F5614" t="s">
        <v>3396</v>
      </c>
      <c r="G5614" t="s">
        <v>777</v>
      </c>
      <c r="H5614" t="s">
        <v>5028</v>
      </c>
      <c r="I5614" t="s">
        <v>5029</v>
      </c>
      <c r="J5614" t="s">
        <v>780</v>
      </c>
      <c r="K5614" t="s">
        <v>55</v>
      </c>
      <c r="L5614" t="s">
        <v>894</v>
      </c>
      <c r="M5614" t="s">
        <v>57</v>
      </c>
      <c r="N5614" t="str">
        <f>"044818"</f>
        <v>044818</v>
      </c>
      <c r="O5614" t="s">
        <v>2812</v>
      </c>
      <c r="P5614" t="s">
        <v>68</v>
      </c>
      <c r="Q5614">
        <v>100</v>
      </c>
      <c r="R5614">
        <v>36.700000000000003</v>
      </c>
      <c r="S5614" t="s">
        <v>180</v>
      </c>
    </row>
    <row r="5615" spans="1:19" x14ac:dyDescent="0.35">
      <c r="A5615">
        <v>19762</v>
      </c>
      <c r="B5615" t="str">
        <f>"019762"</f>
        <v>019762</v>
      </c>
      <c r="C5615" t="s">
        <v>14787</v>
      </c>
      <c r="D5615" t="s">
        <v>3398</v>
      </c>
      <c r="E5615" t="s">
        <v>3395</v>
      </c>
      <c r="F5615" t="s">
        <v>3396</v>
      </c>
      <c r="G5615" t="s">
        <v>855</v>
      </c>
      <c r="H5615" t="s">
        <v>1643</v>
      </c>
      <c r="I5615" t="s">
        <v>1644</v>
      </c>
      <c r="J5615" t="s">
        <v>855</v>
      </c>
      <c r="K5615" t="s">
        <v>55</v>
      </c>
      <c r="L5615" t="s">
        <v>1457</v>
      </c>
      <c r="M5615" t="s">
        <v>57</v>
      </c>
      <c r="N5615" t="str">
        <f>"045831"</f>
        <v>045831</v>
      </c>
      <c r="O5615" t="s">
        <v>1642</v>
      </c>
      <c r="P5615" t="s">
        <v>68</v>
      </c>
      <c r="Q5615">
        <v>0</v>
      </c>
      <c r="R5615">
        <v>4.5</v>
      </c>
      <c r="S5615" t="s">
        <v>77</v>
      </c>
    </row>
    <row r="5616" spans="1:19" x14ac:dyDescent="0.35">
      <c r="A5616">
        <v>19762</v>
      </c>
      <c r="B5616" t="str">
        <f>"019762"</f>
        <v>019762</v>
      </c>
      <c r="C5616" t="s">
        <v>14787</v>
      </c>
      <c r="D5616" t="s">
        <v>12476</v>
      </c>
      <c r="E5616" t="s">
        <v>3395</v>
      </c>
      <c r="F5616" t="s">
        <v>3396</v>
      </c>
      <c r="G5616" t="s">
        <v>855</v>
      </c>
      <c r="H5616" t="s">
        <v>1643</v>
      </c>
      <c r="I5616" t="s">
        <v>1644</v>
      </c>
      <c r="J5616" t="s">
        <v>855</v>
      </c>
      <c r="K5616" t="s">
        <v>55</v>
      </c>
      <c r="L5616" t="s">
        <v>1457</v>
      </c>
      <c r="M5616" t="s">
        <v>57</v>
      </c>
      <c r="N5616" t="str">
        <f>"045831"</f>
        <v>045831</v>
      </c>
      <c r="O5616" t="s">
        <v>1642</v>
      </c>
      <c r="P5616" t="s">
        <v>68</v>
      </c>
      <c r="Q5616">
        <v>0</v>
      </c>
      <c r="R5616">
        <v>4.5</v>
      </c>
      <c r="S5616" t="s">
        <v>77</v>
      </c>
    </row>
    <row r="5617" spans="1:19" x14ac:dyDescent="0.35">
      <c r="A5617">
        <v>19774</v>
      </c>
      <c r="B5617" t="str">
        <f>"019774"</f>
        <v>019774</v>
      </c>
      <c r="C5617" t="s">
        <v>14788</v>
      </c>
      <c r="D5617" t="s">
        <v>3543</v>
      </c>
      <c r="E5617" t="s">
        <v>3395</v>
      </c>
      <c r="F5617" t="s">
        <v>3396</v>
      </c>
      <c r="G5617" t="s">
        <v>383</v>
      </c>
      <c r="H5617" t="s">
        <v>9135</v>
      </c>
      <c r="I5617" t="s">
        <v>9136</v>
      </c>
      <c r="J5617" t="s">
        <v>1215</v>
      </c>
      <c r="K5617" t="s">
        <v>55</v>
      </c>
      <c r="L5617" t="s">
        <v>4319</v>
      </c>
      <c r="M5617" t="s">
        <v>57</v>
      </c>
      <c r="N5617" t="str">
        <f>"045161"</f>
        <v>045161</v>
      </c>
      <c r="O5617" t="s">
        <v>1212</v>
      </c>
      <c r="P5617" t="s">
        <v>68</v>
      </c>
      <c r="Q5617" t="s">
        <v>68</v>
      </c>
      <c r="R5617" t="s">
        <v>68</v>
      </c>
      <c r="S5617" t="s">
        <v>77</v>
      </c>
    </row>
    <row r="5618" spans="1:19" x14ac:dyDescent="0.35">
      <c r="A5618">
        <v>19785</v>
      </c>
      <c r="B5618" t="str">
        <f>"019785"</f>
        <v>019785</v>
      </c>
      <c r="C5618" t="s">
        <v>14789</v>
      </c>
      <c r="D5618" t="s">
        <v>3398</v>
      </c>
      <c r="E5618" t="s">
        <v>3395</v>
      </c>
      <c r="F5618" t="s">
        <v>3396</v>
      </c>
      <c r="G5618" t="s">
        <v>212</v>
      </c>
      <c r="H5618" t="s">
        <v>1164</v>
      </c>
      <c r="I5618" t="s">
        <v>1165</v>
      </c>
      <c r="J5618" t="s">
        <v>215</v>
      </c>
      <c r="K5618" t="s">
        <v>55</v>
      </c>
      <c r="L5618" t="s">
        <v>614</v>
      </c>
      <c r="M5618" t="s">
        <v>57</v>
      </c>
      <c r="N5618" t="str">
        <f>"044511"</f>
        <v>044511</v>
      </c>
      <c r="O5618" t="s">
        <v>1163</v>
      </c>
      <c r="P5618" t="s">
        <v>68</v>
      </c>
      <c r="Q5618">
        <v>100</v>
      </c>
      <c r="R5618">
        <v>100</v>
      </c>
      <c r="S5618" t="s">
        <v>217</v>
      </c>
    </row>
    <row r="5619" spans="1:19" x14ac:dyDescent="0.35">
      <c r="A5619">
        <v>19785</v>
      </c>
      <c r="B5619" t="str">
        <f>"019785"</f>
        <v>019785</v>
      </c>
      <c r="C5619" t="s">
        <v>14789</v>
      </c>
      <c r="D5619" t="s">
        <v>12476</v>
      </c>
      <c r="E5619" t="s">
        <v>3395</v>
      </c>
      <c r="F5619" t="s">
        <v>3396</v>
      </c>
      <c r="G5619" t="s">
        <v>212</v>
      </c>
      <c r="H5619" t="s">
        <v>1164</v>
      </c>
      <c r="I5619" t="s">
        <v>1165</v>
      </c>
      <c r="J5619" t="s">
        <v>215</v>
      </c>
      <c r="K5619" t="s">
        <v>55</v>
      </c>
      <c r="L5619" t="s">
        <v>614</v>
      </c>
      <c r="M5619" t="s">
        <v>57</v>
      </c>
      <c r="N5619" t="str">
        <f>"044511"</f>
        <v>044511</v>
      </c>
      <c r="O5619" t="s">
        <v>1163</v>
      </c>
      <c r="P5619" t="s">
        <v>68</v>
      </c>
      <c r="Q5619">
        <v>100</v>
      </c>
      <c r="R5619">
        <v>100</v>
      </c>
      <c r="S5619" t="s">
        <v>217</v>
      </c>
    </row>
    <row r="5620" spans="1:19" x14ac:dyDescent="0.35">
      <c r="A5620">
        <v>19784</v>
      </c>
      <c r="B5620" t="str">
        <f>"019784"</f>
        <v>019784</v>
      </c>
      <c r="C5620" t="s">
        <v>14790</v>
      </c>
      <c r="D5620" t="s">
        <v>3398</v>
      </c>
      <c r="E5620" t="s">
        <v>3395</v>
      </c>
      <c r="F5620" t="s">
        <v>3396</v>
      </c>
      <c r="G5620" t="s">
        <v>1296</v>
      </c>
      <c r="H5620" t="s">
        <v>3296</v>
      </c>
      <c r="I5620" t="s">
        <v>3297</v>
      </c>
      <c r="J5620" t="s">
        <v>1299</v>
      </c>
      <c r="K5620" t="s">
        <v>55</v>
      </c>
      <c r="L5620" t="s">
        <v>1300</v>
      </c>
      <c r="M5620" t="s">
        <v>57</v>
      </c>
      <c r="N5620" t="str">
        <f>"044891"</f>
        <v>044891</v>
      </c>
      <c r="O5620" t="s">
        <v>3295</v>
      </c>
      <c r="P5620" t="s">
        <v>68</v>
      </c>
      <c r="Q5620">
        <v>47.3</v>
      </c>
      <c r="R5620">
        <v>11.5</v>
      </c>
      <c r="S5620" t="s">
        <v>156</v>
      </c>
    </row>
    <row r="5621" spans="1:19" x14ac:dyDescent="0.35">
      <c r="A5621">
        <v>19784</v>
      </c>
      <c r="B5621" t="str">
        <f>"019784"</f>
        <v>019784</v>
      </c>
      <c r="C5621" t="s">
        <v>14790</v>
      </c>
      <c r="D5621" t="s">
        <v>12476</v>
      </c>
      <c r="E5621" t="s">
        <v>3395</v>
      </c>
      <c r="F5621" t="s">
        <v>3396</v>
      </c>
      <c r="G5621" t="s">
        <v>1296</v>
      </c>
      <c r="H5621" t="s">
        <v>3296</v>
      </c>
      <c r="I5621" t="s">
        <v>3297</v>
      </c>
      <c r="J5621" t="s">
        <v>1299</v>
      </c>
      <c r="K5621" t="s">
        <v>55</v>
      </c>
      <c r="L5621" t="s">
        <v>1300</v>
      </c>
      <c r="M5621" t="s">
        <v>57</v>
      </c>
      <c r="N5621" t="str">
        <f>"044891"</f>
        <v>044891</v>
      </c>
      <c r="O5621" t="s">
        <v>3295</v>
      </c>
      <c r="P5621" t="s">
        <v>68</v>
      </c>
      <c r="Q5621">
        <v>47.3</v>
      </c>
      <c r="R5621">
        <v>11.5</v>
      </c>
      <c r="S5621" t="s">
        <v>156</v>
      </c>
    </row>
    <row r="5622" spans="1:19" x14ac:dyDescent="0.35">
      <c r="A5622">
        <v>19796</v>
      </c>
      <c r="B5622" t="str">
        <f>"019796"</f>
        <v>019796</v>
      </c>
      <c r="C5622" t="s">
        <v>14791</v>
      </c>
      <c r="D5622" t="s">
        <v>3398</v>
      </c>
      <c r="E5622" t="s">
        <v>3395</v>
      </c>
      <c r="F5622" t="s">
        <v>3396</v>
      </c>
      <c r="G5622" t="s">
        <v>63</v>
      </c>
      <c r="H5622" t="s">
        <v>14792</v>
      </c>
      <c r="I5622" t="s">
        <v>14793</v>
      </c>
      <c r="J5622" t="s">
        <v>2080</v>
      </c>
      <c r="K5622" t="s">
        <v>55</v>
      </c>
      <c r="L5622" t="s">
        <v>2081</v>
      </c>
      <c r="M5622" t="s">
        <v>57</v>
      </c>
      <c r="N5622" t="str">
        <f>"043562"</f>
        <v>043562</v>
      </c>
      <c r="O5622" t="s">
        <v>2077</v>
      </c>
      <c r="P5622" t="s">
        <v>68</v>
      </c>
      <c r="Q5622">
        <v>68.900000000000006</v>
      </c>
      <c r="R5622">
        <v>100</v>
      </c>
      <c r="S5622" t="s">
        <v>69</v>
      </c>
    </row>
    <row r="5623" spans="1:19" x14ac:dyDescent="0.35">
      <c r="A5623">
        <v>19796</v>
      </c>
      <c r="B5623" t="str">
        <f>"019796"</f>
        <v>019796</v>
      </c>
      <c r="C5623" t="s">
        <v>14791</v>
      </c>
      <c r="D5623" t="s">
        <v>12476</v>
      </c>
      <c r="E5623" t="s">
        <v>3395</v>
      </c>
      <c r="F5623" t="s">
        <v>3396</v>
      </c>
      <c r="G5623" t="s">
        <v>63</v>
      </c>
      <c r="H5623" t="s">
        <v>14792</v>
      </c>
      <c r="I5623" t="s">
        <v>14793</v>
      </c>
      <c r="J5623" t="s">
        <v>2080</v>
      </c>
      <c r="K5623" t="s">
        <v>55</v>
      </c>
      <c r="L5623" t="s">
        <v>2081</v>
      </c>
      <c r="M5623" t="s">
        <v>57</v>
      </c>
      <c r="N5623" t="str">
        <f>"043562"</f>
        <v>043562</v>
      </c>
      <c r="O5623" t="s">
        <v>2077</v>
      </c>
      <c r="P5623" t="s">
        <v>68</v>
      </c>
      <c r="Q5623">
        <v>68.900000000000006</v>
      </c>
      <c r="R5623">
        <v>100</v>
      </c>
      <c r="S5623" t="s">
        <v>69</v>
      </c>
    </row>
    <row r="5624" spans="1:19" x14ac:dyDescent="0.35">
      <c r="A5624">
        <v>19797</v>
      </c>
      <c r="B5624" t="str">
        <f>"019797"</f>
        <v>019797</v>
      </c>
      <c r="C5624" t="s">
        <v>14794</v>
      </c>
      <c r="D5624" t="s">
        <v>3398</v>
      </c>
      <c r="E5624" t="s">
        <v>3395</v>
      </c>
      <c r="F5624" t="s">
        <v>3396</v>
      </c>
      <c r="G5624" t="s">
        <v>331</v>
      </c>
      <c r="H5624" t="s">
        <v>5353</v>
      </c>
      <c r="I5624" t="s">
        <v>5354</v>
      </c>
      <c r="J5624" t="s">
        <v>1733</v>
      </c>
      <c r="K5624" t="s">
        <v>55</v>
      </c>
      <c r="L5624" t="s">
        <v>1734</v>
      </c>
      <c r="M5624" t="s">
        <v>57</v>
      </c>
      <c r="N5624" t="str">
        <f>"044024"</f>
        <v>044024</v>
      </c>
      <c r="O5624" t="s">
        <v>2184</v>
      </c>
      <c r="P5624" t="s">
        <v>68</v>
      </c>
      <c r="Q5624" t="s">
        <v>68</v>
      </c>
      <c r="R5624" t="s">
        <v>68</v>
      </c>
      <c r="S5624" t="s">
        <v>156</v>
      </c>
    </row>
    <row r="5625" spans="1:19" x14ac:dyDescent="0.35">
      <c r="A5625">
        <v>19797</v>
      </c>
      <c r="B5625" t="str">
        <f>"019797"</f>
        <v>019797</v>
      </c>
      <c r="C5625" t="s">
        <v>14794</v>
      </c>
      <c r="D5625" t="s">
        <v>12476</v>
      </c>
      <c r="E5625" t="s">
        <v>3395</v>
      </c>
      <c r="F5625" t="s">
        <v>3396</v>
      </c>
      <c r="G5625" t="s">
        <v>331</v>
      </c>
      <c r="H5625" t="s">
        <v>5353</v>
      </c>
      <c r="I5625" t="s">
        <v>5354</v>
      </c>
      <c r="J5625" t="s">
        <v>1733</v>
      </c>
      <c r="K5625" t="s">
        <v>55</v>
      </c>
      <c r="L5625" t="s">
        <v>1734</v>
      </c>
      <c r="M5625" t="s">
        <v>57</v>
      </c>
      <c r="N5625" t="str">
        <f>"044024"</f>
        <v>044024</v>
      </c>
      <c r="O5625" t="s">
        <v>2184</v>
      </c>
      <c r="P5625" t="s">
        <v>68</v>
      </c>
      <c r="Q5625" t="s">
        <v>68</v>
      </c>
      <c r="R5625" t="s">
        <v>68</v>
      </c>
      <c r="S5625" t="s">
        <v>156</v>
      </c>
    </row>
    <row r="5626" spans="1:19" x14ac:dyDescent="0.35">
      <c r="A5626">
        <v>19800</v>
      </c>
      <c r="B5626" t="str">
        <f>"019800"</f>
        <v>019800</v>
      </c>
      <c r="C5626" t="s">
        <v>14795</v>
      </c>
      <c r="D5626" t="s">
        <v>3543</v>
      </c>
      <c r="E5626" t="s">
        <v>3395</v>
      </c>
      <c r="F5626" t="s">
        <v>3396</v>
      </c>
      <c r="G5626" t="s">
        <v>481</v>
      </c>
      <c r="H5626" t="s">
        <v>14796</v>
      </c>
      <c r="I5626" t="s">
        <v>14797</v>
      </c>
      <c r="J5626" t="s">
        <v>876</v>
      </c>
      <c r="K5626" t="s">
        <v>55</v>
      </c>
      <c r="L5626" t="s">
        <v>819</v>
      </c>
      <c r="M5626" t="s">
        <v>57</v>
      </c>
      <c r="N5626" t="str">
        <f>"047894"</f>
        <v>047894</v>
      </c>
      <c r="O5626" t="s">
        <v>287</v>
      </c>
      <c r="P5626" t="s">
        <v>68</v>
      </c>
      <c r="Q5626" t="s">
        <v>68</v>
      </c>
      <c r="R5626" t="s">
        <v>68</v>
      </c>
      <c r="S5626" t="s">
        <v>69</v>
      </c>
    </row>
    <row r="5627" spans="1:19" x14ac:dyDescent="0.35">
      <c r="A5627">
        <v>19798</v>
      </c>
      <c r="B5627" t="str">
        <f>"019798"</f>
        <v>019798</v>
      </c>
      <c r="C5627" t="s">
        <v>14798</v>
      </c>
      <c r="D5627" t="s">
        <v>3398</v>
      </c>
      <c r="E5627" t="s">
        <v>3395</v>
      </c>
      <c r="F5627" t="s">
        <v>3396</v>
      </c>
      <c r="G5627" t="s">
        <v>124</v>
      </c>
      <c r="H5627" t="s">
        <v>1245</v>
      </c>
      <c r="I5627" t="s">
        <v>1246</v>
      </c>
      <c r="J5627" t="s">
        <v>1247</v>
      </c>
      <c r="K5627" t="s">
        <v>55</v>
      </c>
      <c r="L5627" t="s">
        <v>1248</v>
      </c>
      <c r="M5627" t="s">
        <v>57</v>
      </c>
      <c r="N5627" t="str">
        <f>"043604"</f>
        <v>043604</v>
      </c>
      <c r="O5627" t="s">
        <v>1244</v>
      </c>
      <c r="P5627" t="s">
        <v>68</v>
      </c>
      <c r="Q5627">
        <v>0</v>
      </c>
      <c r="R5627">
        <v>14.299999999999997</v>
      </c>
      <c r="S5627" t="s">
        <v>130</v>
      </c>
    </row>
    <row r="5628" spans="1:19" x14ac:dyDescent="0.35">
      <c r="A5628">
        <v>19798</v>
      </c>
      <c r="B5628" t="str">
        <f>"019798"</f>
        <v>019798</v>
      </c>
      <c r="C5628" t="s">
        <v>14798</v>
      </c>
      <c r="D5628" t="s">
        <v>12476</v>
      </c>
      <c r="E5628" t="s">
        <v>3395</v>
      </c>
      <c r="F5628" t="s">
        <v>3396</v>
      </c>
      <c r="G5628" t="s">
        <v>124</v>
      </c>
      <c r="H5628" t="s">
        <v>1245</v>
      </c>
      <c r="I5628" t="s">
        <v>1246</v>
      </c>
      <c r="J5628" t="s">
        <v>1247</v>
      </c>
      <c r="K5628" t="s">
        <v>55</v>
      </c>
      <c r="L5628" t="s">
        <v>1248</v>
      </c>
      <c r="M5628" t="s">
        <v>57</v>
      </c>
      <c r="N5628" t="str">
        <f>"043604"</f>
        <v>043604</v>
      </c>
      <c r="O5628" t="s">
        <v>1244</v>
      </c>
      <c r="P5628" t="s">
        <v>68</v>
      </c>
      <c r="Q5628">
        <v>0</v>
      </c>
      <c r="R5628">
        <v>14.299999999999997</v>
      </c>
      <c r="S5628" t="s">
        <v>130</v>
      </c>
    </row>
    <row r="5629" spans="1:19" x14ac:dyDescent="0.35">
      <c r="A5629">
        <v>19803</v>
      </c>
      <c r="B5629" t="str">
        <f>"019803"</f>
        <v>019803</v>
      </c>
      <c r="C5629" t="s">
        <v>14799</v>
      </c>
      <c r="D5629" t="s">
        <v>3398</v>
      </c>
      <c r="E5629" t="s">
        <v>3395</v>
      </c>
      <c r="F5629" t="s">
        <v>3396</v>
      </c>
      <c r="G5629" t="s">
        <v>264</v>
      </c>
      <c r="H5629" t="s">
        <v>1526</v>
      </c>
      <c r="I5629" t="s">
        <v>1527</v>
      </c>
      <c r="J5629" t="s">
        <v>267</v>
      </c>
      <c r="K5629" t="s">
        <v>55</v>
      </c>
      <c r="L5629" t="s">
        <v>1528</v>
      </c>
      <c r="M5629" t="s">
        <v>57</v>
      </c>
      <c r="N5629" t="str">
        <f>"043489"</f>
        <v>043489</v>
      </c>
      <c r="O5629" t="s">
        <v>3176</v>
      </c>
      <c r="P5629" t="s">
        <v>68</v>
      </c>
      <c r="Q5629">
        <v>100</v>
      </c>
      <c r="R5629">
        <v>65.599999999999994</v>
      </c>
      <c r="S5629" t="s">
        <v>77</v>
      </c>
    </row>
    <row r="5630" spans="1:19" x14ac:dyDescent="0.35">
      <c r="A5630">
        <v>19803</v>
      </c>
      <c r="B5630" t="str">
        <f>"019803"</f>
        <v>019803</v>
      </c>
      <c r="C5630" t="s">
        <v>14799</v>
      </c>
      <c r="D5630" t="s">
        <v>12476</v>
      </c>
      <c r="E5630" t="s">
        <v>3395</v>
      </c>
      <c r="F5630" t="s">
        <v>3396</v>
      </c>
      <c r="G5630" t="s">
        <v>264</v>
      </c>
      <c r="H5630" t="s">
        <v>1526</v>
      </c>
      <c r="I5630" t="s">
        <v>1527</v>
      </c>
      <c r="J5630" t="s">
        <v>267</v>
      </c>
      <c r="K5630" t="s">
        <v>55</v>
      </c>
      <c r="L5630" t="s">
        <v>1528</v>
      </c>
      <c r="M5630" t="s">
        <v>57</v>
      </c>
      <c r="N5630" t="str">
        <f>"043489"</f>
        <v>043489</v>
      </c>
      <c r="O5630" t="s">
        <v>3176</v>
      </c>
      <c r="P5630" t="s">
        <v>68</v>
      </c>
      <c r="Q5630">
        <v>100</v>
      </c>
      <c r="R5630">
        <v>65.599999999999994</v>
      </c>
      <c r="S5630" t="s">
        <v>77</v>
      </c>
    </row>
    <row r="5631" spans="1:19" x14ac:dyDescent="0.35">
      <c r="A5631">
        <v>19813</v>
      </c>
      <c r="B5631" t="str">
        <f>"019813"</f>
        <v>019813</v>
      </c>
      <c r="C5631" t="s">
        <v>14800</v>
      </c>
      <c r="D5631" t="s">
        <v>3398</v>
      </c>
      <c r="E5631" t="s">
        <v>3395</v>
      </c>
      <c r="F5631" t="s">
        <v>3396</v>
      </c>
      <c r="G5631" t="s">
        <v>493</v>
      </c>
      <c r="H5631" t="s">
        <v>2524</v>
      </c>
      <c r="I5631" t="s">
        <v>2525</v>
      </c>
      <c r="J5631" t="s">
        <v>2526</v>
      </c>
      <c r="K5631" t="s">
        <v>55</v>
      </c>
      <c r="L5631" t="s">
        <v>2527</v>
      </c>
      <c r="M5631" t="s">
        <v>57</v>
      </c>
      <c r="N5631" t="str">
        <f>"045914"</f>
        <v>045914</v>
      </c>
      <c r="O5631" t="s">
        <v>2523</v>
      </c>
      <c r="P5631" t="s">
        <v>68</v>
      </c>
      <c r="Q5631" t="s">
        <v>68</v>
      </c>
      <c r="R5631" t="s">
        <v>68</v>
      </c>
      <c r="S5631" t="s">
        <v>130</v>
      </c>
    </row>
    <row r="5632" spans="1:19" x14ac:dyDescent="0.35">
      <c r="A5632">
        <v>19813</v>
      </c>
      <c r="B5632" t="str">
        <f>"019813"</f>
        <v>019813</v>
      </c>
      <c r="C5632" t="s">
        <v>14800</v>
      </c>
      <c r="D5632" t="s">
        <v>12476</v>
      </c>
      <c r="E5632" t="s">
        <v>3395</v>
      </c>
      <c r="F5632" t="s">
        <v>3396</v>
      </c>
      <c r="G5632" t="s">
        <v>493</v>
      </c>
      <c r="H5632" t="s">
        <v>2524</v>
      </c>
      <c r="I5632" t="s">
        <v>2525</v>
      </c>
      <c r="J5632" t="s">
        <v>2526</v>
      </c>
      <c r="K5632" t="s">
        <v>55</v>
      </c>
      <c r="L5632" t="s">
        <v>2527</v>
      </c>
      <c r="M5632" t="s">
        <v>57</v>
      </c>
      <c r="N5632" t="str">
        <f>"045914"</f>
        <v>045914</v>
      </c>
      <c r="O5632" t="s">
        <v>2523</v>
      </c>
      <c r="P5632" t="s">
        <v>68</v>
      </c>
      <c r="Q5632" t="s">
        <v>68</v>
      </c>
      <c r="R5632" t="s">
        <v>68</v>
      </c>
      <c r="S5632" t="s">
        <v>130</v>
      </c>
    </row>
    <row r="5633" spans="1:19" x14ac:dyDescent="0.35">
      <c r="A5633">
        <v>19812</v>
      </c>
      <c r="B5633" t="str">
        <f>"019812"</f>
        <v>019812</v>
      </c>
      <c r="C5633" t="s">
        <v>14801</v>
      </c>
      <c r="D5633" t="s">
        <v>3398</v>
      </c>
      <c r="E5633" t="s">
        <v>3395</v>
      </c>
      <c r="F5633" t="s">
        <v>3396</v>
      </c>
      <c r="G5633" t="s">
        <v>493</v>
      </c>
      <c r="H5633" t="s">
        <v>14802</v>
      </c>
      <c r="I5633" t="s">
        <v>14803</v>
      </c>
      <c r="J5633" t="s">
        <v>501</v>
      </c>
      <c r="K5633" t="s">
        <v>55</v>
      </c>
      <c r="L5633" t="s">
        <v>502</v>
      </c>
      <c r="M5633" t="s">
        <v>57</v>
      </c>
      <c r="N5633" t="str">
        <f>"045922"</f>
        <v>045922</v>
      </c>
      <c r="O5633" t="s">
        <v>498</v>
      </c>
      <c r="P5633" t="s">
        <v>68</v>
      </c>
      <c r="Q5633" t="s">
        <v>68</v>
      </c>
      <c r="R5633" t="s">
        <v>68</v>
      </c>
      <c r="S5633" t="s">
        <v>130</v>
      </c>
    </row>
    <row r="5634" spans="1:19" x14ac:dyDescent="0.35">
      <c r="A5634">
        <v>19812</v>
      </c>
      <c r="B5634" t="str">
        <f>"019812"</f>
        <v>019812</v>
      </c>
      <c r="C5634" t="s">
        <v>14801</v>
      </c>
      <c r="D5634" t="s">
        <v>12476</v>
      </c>
      <c r="E5634" t="s">
        <v>3395</v>
      </c>
      <c r="F5634" t="s">
        <v>3396</v>
      </c>
      <c r="G5634" t="s">
        <v>493</v>
      </c>
      <c r="H5634" t="s">
        <v>14802</v>
      </c>
      <c r="I5634" t="s">
        <v>14803</v>
      </c>
      <c r="J5634" t="s">
        <v>501</v>
      </c>
      <c r="K5634" t="s">
        <v>55</v>
      </c>
      <c r="L5634" t="s">
        <v>502</v>
      </c>
      <c r="M5634" t="s">
        <v>57</v>
      </c>
      <c r="N5634" t="str">
        <f>"045922"</f>
        <v>045922</v>
      </c>
      <c r="O5634" t="s">
        <v>498</v>
      </c>
      <c r="P5634" t="s">
        <v>68</v>
      </c>
      <c r="Q5634" t="s">
        <v>68</v>
      </c>
      <c r="R5634" t="s">
        <v>68</v>
      </c>
      <c r="S5634" t="s">
        <v>130</v>
      </c>
    </row>
    <row r="5635" spans="1:19" x14ac:dyDescent="0.35">
      <c r="A5635">
        <v>19818</v>
      </c>
      <c r="B5635" t="str">
        <f>"019818"</f>
        <v>019818</v>
      </c>
      <c r="C5635" t="s">
        <v>14804</v>
      </c>
      <c r="D5635" t="s">
        <v>3398</v>
      </c>
      <c r="E5635" t="s">
        <v>3395</v>
      </c>
      <c r="F5635" t="s">
        <v>3396</v>
      </c>
      <c r="G5635" t="s">
        <v>543</v>
      </c>
      <c r="H5635" t="s">
        <v>14805</v>
      </c>
      <c r="I5635" t="s">
        <v>14806</v>
      </c>
      <c r="J5635" t="s">
        <v>687</v>
      </c>
      <c r="K5635" t="s">
        <v>55</v>
      </c>
      <c r="L5635" t="s">
        <v>2578</v>
      </c>
      <c r="M5635" t="s">
        <v>57</v>
      </c>
      <c r="N5635" t="str">
        <f>"048736"</f>
        <v>048736</v>
      </c>
      <c r="O5635" t="s">
        <v>109</v>
      </c>
      <c r="P5635" t="s">
        <v>68</v>
      </c>
      <c r="Q5635" t="s">
        <v>68</v>
      </c>
      <c r="R5635" t="s">
        <v>68</v>
      </c>
      <c r="S5635" t="s">
        <v>180</v>
      </c>
    </row>
    <row r="5636" spans="1:19" x14ac:dyDescent="0.35">
      <c r="A5636">
        <v>19818</v>
      </c>
      <c r="B5636" t="str">
        <f>"019818"</f>
        <v>019818</v>
      </c>
      <c r="C5636" t="s">
        <v>14804</v>
      </c>
      <c r="D5636" t="s">
        <v>12476</v>
      </c>
      <c r="E5636" t="s">
        <v>3395</v>
      </c>
      <c r="F5636" t="s">
        <v>3396</v>
      </c>
      <c r="G5636" t="s">
        <v>543</v>
      </c>
      <c r="H5636" t="s">
        <v>14805</v>
      </c>
      <c r="I5636" t="s">
        <v>14806</v>
      </c>
      <c r="J5636" t="s">
        <v>687</v>
      </c>
      <c r="K5636" t="s">
        <v>55</v>
      </c>
      <c r="L5636" t="s">
        <v>2578</v>
      </c>
      <c r="M5636" t="s">
        <v>57</v>
      </c>
      <c r="N5636" t="str">
        <f>"048736"</f>
        <v>048736</v>
      </c>
      <c r="O5636" t="s">
        <v>109</v>
      </c>
      <c r="P5636" t="s">
        <v>68</v>
      </c>
      <c r="Q5636" t="s">
        <v>68</v>
      </c>
      <c r="R5636" t="s">
        <v>68</v>
      </c>
      <c r="S5636" t="s">
        <v>180</v>
      </c>
    </row>
    <row r="5637" spans="1:19" x14ac:dyDescent="0.35">
      <c r="A5637">
        <v>19817</v>
      </c>
      <c r="B5637" t="str">
        <f>"019817"</f>
        <v>019817</v>
      </c>
      <c r="C5637" t="s">
        <v>14807</v>
      </c>
      <c r="D5637" t="s">
        <v>3398</v>
      </c>
      <c r="E5637" t="s">
        <v>3395</v>
      </c>
      <c r="F5637" t="s">
        <v>3396</v>
      </c>
      <c r="G5637" t="s">
        <v>1193</v>
      </c>
      <c r="H5637" t="s">
        <v>3697</v>
      </c>
      <c r="I5637" t="s">
        <v>3698</v>
      </c>
      <c r="J5637" t="s">
        <v>1196</v>
      </c>
      <c r="K5637" t="s">
        <v>55</v>
      </c>
      <c r="L5637" t="s">
        <v>1197</v>
      </c>
      <c r="M5637" t="s">
        <v>57</v>
      </c>
      <c r="N5637" t="str">
        <f>"045765"</f>
        <v>045765</v>
      </c>
      <c r="O5637" t="s">
        <v>1192</v>
      </c>
      <c r="P5637" t="s">
        <v>68</v>
      </c>
      <c r="Q5637">
        <v>0</v>
      </c>
      <c r="R5637">
        <v>6.7000000000000028</v>
      </c>
      <c r="S5637" t="s">
        <v>156</v>
      </c>
    </row>
    <row r="5638" spans="1:19" x14ac:dyDescent="0.35">
      <c r="A5638">
        <v>19817</v>
      </c>
      <c r="B5638" t="str">
        <f>"019817"</f>
        <v>019817</v>
      </c>
      <c r="C5638" t="s">
        <v>14807</v>
      </c>
      <c r="D5638" t="s">
        <v>12476</v>
      </c>
      <c r="E5638" t="s">
        <v>3395</v>
      </c>
      <c r="F5638" t="s">
        <v>3396</v>
      </c>
      <c r="G5638" t="s">
        <v>1193</v>
      </c>
      <c r="H5638" t="s">
        <v>3697</v>
      </c>
      <c r="I5638" t="s">
        <v>3698</v>
      </c>
      <c r="J5638" t="s">
        <v>1196</v>
      </c>
      <c r="K5638" t="s">
        <v>55</v>
      </c>
      <c r="L5638" t="s">
        <v>1197</v>
      </c>
      <c r="M5638" t="s">
        <v>57</v>
      </c>
      <c r="N5638" t="str">
        <f>"045765"</f>
        <v>045765</v>
      </c>
      <c r="O5638" t="s">
        <v>1192</v>
      </c>
      <c r="P5638" t="s">
        <v>68</v>
      </c>
      <c r="Q5638">
        <v>0</v>
      </c>
      <c r="R5638">
        <v>6.7000000000000028</v>
      </c>
      <c r="S5638" t="s">
        <v>156</v>
      </c>
    </row>
    <row r="5639" spans="1:19" x14ac:dyDescent="0.35">
      <c r="A5639">
        <v>19829</v>
      </c>
      <c r="B5639" t="str">
        <f>"019829"</f>
        <v>019829</v>
      </c>
      <c r="C5639" t="s">
        <v>14808</v>
      </c>
      <c r="D5639" t="s">
        <v>3398</v>
      </c>
      <c r="E5639" t="s">
        <v>3395</v>
      </c>
      <c r="F5639" t="s">
        <v>3396</v>
      </c>
      <c r="G5639" t="s">
        <v>1567</v>
      </c>
      <c r="H5639" t="s">
        <v>14809</v>
      </c>
      <c r="I5639" t="s">
        <v>14810</v>
      </c>
      <c r="J5639" t="s">
        <v>3056</v>
      </c>
      <c r="K5639" t="s">
        <v>55</v>
      </c>
      <c r="L5639" t="s">
        <v>3057</v>
      </c>
      <c r="M5639" t="s">
        <v>57</v>
      </c>
      <c r="N5639" t="str">
        <f>"049098"</f>
        <v>049098</v>
      </c>
      <c r="O5639" t="s">
        <v>3053</v>
      </c>
      <c r="P5639" t="s">
        <v>68</v>
      </c>
      <c r="Q5639">
        <v>39.1</v>
      </c>
      <c r="R5639">
        <v>10.099999999999994</v>
      </c>
      <c r="S5639" t="s">
        <v>60</v>
      </c>
    </row>
    <row r="5640" spans="1:19" x14ac:dyDescent="0.35">
      <c r="A5640">
        <v>19829</v>
      </c>
      <c r="B5640" t="str">
        <f>"019829"</f>
        <v>019829</v>
      </c>
      <c r="C5640" t="s">
        <v>14808</v>
      </c>
      <c r="D5640" t="s">
        <v>12476</v>
      </c>
      <c r="E5640" t="s">
        <v>3395</v>
      </c>
      <c r="F5640" t="s">
        <v>3396</v>
      </c>
      <c r="G5640" t="s">
        <v>1567</v>
      </c>
      <c r="H5640" t="s">
        <v>14809</v>
      </c>
      <c r="I5640" t="s">
        <v>14810</v>
      </c>
      <c r="J5640" t="s">
        <v>3056</v>
      </c>
      <c r="K5640" t="s">
        <v>55</v>
      </c>
      <c r="L5640" t="s">
        <v>3057</v>
      </c>
      <c r="M5640" t="s">
        <v>57</v>
      </c>
      <c r="N5640" t="str">
        <f>"049098"</f>
        <v>049098</v>
      </c>
      <c r="O5640" t="s">
        <v>3053</v>
      </c>
      <c r="P5640" t="s">
        <v>68</v>
      </c>
      <c r="Q5640">
        <v>39.1</v>
      </c>
      <c r="R5640">
        <v>10.099999999999994</v>
      </c>
      <c r="S5640" t="s">
        <v>60</v>
      </c>
    </row>
    <row r="5641" spans="1:19" x14ac:dyDescent="0.35">
      <c r="A5641">
        <v>20007</v>
      </c>
      <c r="B5641" t="str">
        <f>"020007"</f>
        <v>020007</v>
      </c>
      <c r="C5641" t="s">
        <v>14811</v>
      </c>
      <c r="D5641" t="s">
        <v>12052</v>
      </c>
      <c r="E5641" t="s">
        <v>12048</v>
      </c>
      <c r="F5641" t="s">
        <v>3396</v>
      </c>
      <c r="G5641" t="s">
        <v>212</v>
      </c>
      <c r="H5641" t="s">
        <v>14812</v>
      </c>
      <c r="I5641" t="s">
        <v>14813</v>
      </c>
      <c r="J5641" t="s">
        <v>215</v>
      </c>
      <c r="K5641" t="s">
        <v>55</v>
      </c>
      <c r="L5641" t="s">
        <v>7611</v>
      </c>
      <c r="M5641" t="s">
        <v>57</v>
      </c>
      <c r="N5641" t="str">
        <f>"020336"</f>
        <v>020336</v>
      </c>
      <c r="O5641" t="s">
        <v>14814</v>
      </c>
      <c r="P5641" t="s">
        <v>68</v>
      </c>
      <c r="Q5641">
        <v>89</v>
      </c>
      <c r="R5641">
        <v>91.6</v>
      </c>
      <c r="S5641" t="s">
        <v>217</v>
      </c>
    </row>
    <row r="5642" spans="1:19" x14ac:dyDescent="0.35">
      <c r="A5642">
        <v>19839</v>
      </c>
      <c r="B5642" t="str">
        <f>"019839"</f>
        <v>019839</v>
      </c>
      <c r="C5642" t="s">
        <v>14815</v>
      </c>
      <c r="D5642" t="s">
        <v>3398</v>
      </c>
      <c r="E5642" t="s">
        <v>3395</v>
      </c>
      <c r="F5642" t="s">
        <v>3396</v>
      </c>
      <c r="G5642" t="s">
        <v>63</v>
      </c>
      <c r="H5642" t="s">
        <v>14816</v>
      </c>
      <c r="I5642" t="s">
        <v>14817</v>
      </c>
      <c r="J5642" t="s">
        <v>1271</v>
      </c>
      <c r="K5642" t="s">
        <v>55</v>
      </c>
      <c r="L5642" t="s">
        <v>1272</v>
      </c>
      <c r="M5642" t="s">
        <v>57</v>
      </c>
      <c r="N5642" t="str">
        <f>"044198"</f>
        <v>044198</v>
      </c>
      <c r="O5642" t="s">
        <v>1268</v>
      </c>
      <c r="P5642" t="s">
        <v>68</v>
      </c>
      <c r="Q5642">
        <v>63.2</v>
      </c>
      <c r="R5642">
        <v>43.2</v>
      </c>
      <c r="S5642" t="s">
        <v>69</v>
      </c>
    </row>
    <row r="5643" spans="1:19" x14ac:dyDescent="0.35">
      <c r="A5643">
        <v>19839</v>
      </c>
      <c r="B5643" t="str">
        <f>"019839"</f>
        <v>019839</v>
      </c>
      <c r="C5643" t="s">
        <v>14815</v>
      </c>
      <c r="D5643" t="s">
        <v>12476</v>
      </c>
      <c r="E5643" t="s">
        <v>3395</v>
      </c>
      <c r="F5643" t="s">
        <v>3396</v>
      </c>
      <c r="G5643" t="s">
        <v>63</v>
      </c>
      <c r="H5643" t="s">
        <v>14816</v>
      </c>
      <c r="I5643" t="s">
        <v>14817</v>
      </c>
      <c r="J5643" t="s">
        <v>1271</v>
      </c>
      <c r="K5643" t="s">
        <v>55</v>
      </c>
      <c r="L5643" t="s">
        <v>1272</v>
      </c>
      <c r="M5643" t="s">
        <v>57</v>
      </c>
      <c r="N5643" t="str">
        <f>"044198"</f>
        <v>044198</v>
      </c>
      <c r="O5643" t="s">
        <v>1268</v>
      </c>
      <c r="P5643" t="s">
        <v>68</v>
      </c>
      <c r="Q5643">
        <v>63.2</v>
      </c>
      <c r="R5643">
        <v>43.2</v>
      </c>
      <c r="S5643" t="s">
        <v>69</v>
      </c>
    </row>
    <row r="5644" spans="1:19" x14ac:dyDescent="0.35">
      <c r="A5644">
        <v>19845</v>
      </c>
      <c r="B5644" t="str">
        <f>"019845"</f>
        <v>019845</v>
      </c>
      <c r="C5644" t="s">
        <v>14818</v>
      </c>
      <c r="D5644" t="s">
        <v>3394</v>
      </c>
      <c r="E5644" t="s">
        <v>9538</v>
      </c>
      <c r="F5644" t="s">
        <v>3396</v>
      </c>
      <c r="G5644" t="s">
        <v>212</v>
      </c>
      <c r="H5644" t="s">
        <v>14819</v>
      </c>
      <c r="I5644" t="s">
        <v>14820</v>
      </c>
      <c r="J5644" t="s">
        <v>215</v>
      </c>
      <c r="K5644" t="s">
        <v>55</v>
      </c>
      <c r="L5644" t="s">
        <v>614</v>
      </c>
      <c r="M5644" t="s">
        <v>57</v>
      </c>
      <c r="N5644" t="str">
        <f>"019845"</f>
        <v>019845</v>
      </c>
      <c r="O5644" t="s">
        <v>14818</v>
      </c>
      <c r="P5644" t="s">
        <v>68</v>
      </c>
      <c r="Q5644" t="s">
        <v>68</v>
      </c>
      <c r="R5644" t="s">
        <v>68</v>
      </c>
      <c r="S5644" t="s">
        <v>217</v>
      </c>
    </row>
    <row r="5645" spans="1:19" x14ac:dyDescent="0.35">
      <c r="A5645">
        <v>19846</v>
      </c>
      <c r="B5645" t="str">
        <f>"019846"</f>
        <v>019846</v>
      </c>
      <c r="C5645" t="s">
        <v>14821</v>
      </c>
      <c r="D5645" t="s">
        <v>3398</v>
      </c>
      <c r="E5645" t="s">
        <v>9538</v>
      </c>
      <c r="F5645" t="s">
        <v>3396</v>
      </c>
      <c r="G5645" t="s">
        <v>212</v>
      </c>
      <c r="H5645" t="s">
        <v>14822</v>
      </c>
      <c r="I5645" t="s">
        <v>14823</v>
      </c>
      <c r="J5645" t="s">
        <v>215</v>
      </c>
      <c r="K5645" t="s">
        <v>55</v>
      </c>
      <c r="L5645" t="s">
        <v>6589</v>
      </c>
      <c r="M5645" t="s">
        <v>57</v>
      </c>
      <c r="N5645" t="str">
        <f>"019846"</f>
        <v>019846</v>
      </c>
      <c r="O5645" t="s">
        <v>14821</v>
      </c>
      <c r="P5645" t="s">
        <v>68</v>
      </c>
      <c r="Q5645" t="s">
        <v>68</v>
      </c>
      <c r="R5645" t="s">
        <v>68</v>
      </c>
      <c r="S5645" t="s">
        <v>217</v>
      </c>
    </row>
    <row r="5646" spans="1:19" x14ac:dyDescent="0.35">
      <c r="A5646">
        <v>19847</v>
      </c>
      <c r="B5646" t="str">
        <f>"019847"</f>
        <v>019847</v>
      </c>
      <c r="C5646" t="s">
        <v>14824</v>
      </c>
      <c r="D5646" t="s">
        <v>3394</v>
      </c>
      <c r="E5646" t="s">
        <v>9538</v>
      </c>
      <c r="F5646" t="s">
        <v>3396</v>
      </c>
      <c r="G5646" t="s">
        <v>264</v>
      </c>
      <c r="H5646" t="s">
        <v>14825</v>
      </c>
      <c r="I5646" t="s">
        <v>14826</v>
      </c>
      <c r="J5646" t="s">
        <v>267</v>
      </c>
      <c r="K5646" t="s">
        <v>55</v>
      </c>
      <c r="L5646" t="s">
        <v>5205</v>
      </c>
      <c r="M5646" t="s">
        <v>57</v>
      </c>
      <c r="N5646" t="str">
        <f>"019847"</f>
        <v>019847</v>
      </c>
      <c r="O5646" t="s">
        <v>14824</v>
      </c>
      <c r="P5646" t="s">
        <v>68</v>
      </c>
      <c r="Q5646" t="s">
        <v>68</v>
      </c>
      <c r="R5646" t="s">
        <v>68</v>
      </c>
      <c r="S5646" t="s">
        <v>77</v>
      </c>
    </row>
    <row r="5647" spans="1:19" x14ac:dyDescent="0.35">
      <c r="A5647">
        <v>19848</v>
      </c>
      <c r="B5647" t="str">
        <f>"019848"</f>
        <v>019848</v>
      </c>
      <c r="C5647" t="s">
        <v>14827</v>
      </c>
      <c r="D5647" t="s">
        <v>3398</v>
      </c>
      <c r="E5647" t="s">
        <v>9538</v>
      </c>
      <c r="F5647" t="s">
        <v>3396</v>
      </c>
      <c r="G5647" t="s">
        <v>212</v>
      </c>
      <c r="H5647" t="s">
        <v>14828</v>
      </c>
      <c r="I5647" t="s">
        <v>14829</v>
      </c>
      <c r="J5647" t="s">
        <v>215</v>
      </c>
      <c r="K5647" t="s">
        <v>55</v>
      </c>
      <c r="L5647" t="s">
        <v>3919</v>
      </c>
      <c r="M5647" t="s">
        <v>57</v>
      </c>
      <c r="N5647" t="str">
        <f>"019848"</f>
        <v>019848</v>
      </c>
      <c r="O5647" t="s">
        <v>14827</v>
      </c>
      <c r="P5647" t="s">
        <v>68</v>
      </c>
      <c r="Q5647" t="s">
        <v>68</v>
      </c>
      <c r="R5647" t="s">
        <v>68</v>
      </c>
      <c r="S5647" t="s">
        <v>217</v>
      </c>
    </row>
    <row r="5648" spans="1:19" x14ac:dyDescent="0.35">
      <c r="A5648">
        <v>19850</v>
      </c>
      <c r="B5648" t="str">
        <f>"019850"</f>
        <v>019850</v>
      </c>
      <c r="C5648" t="s">
        <v>14830</v>
      </c>
      <c r="D5648" t="s">
        <v>3394</v>
      </c>
      <c r="E5648" t="s">
        <v>9538</v>
      </c>
      <c r="F5648" t="s">
        <v>3396</v>
      </c>
      <c r="G5648" t="s">
        <v>63</v>
      </c>
      <c r="H5648" t="s">
        <v>14831</v>
      </c>
      <c r="I5648" t="s">
        <v>14832</v>
      </c>
      <c r="J5648" t="s">
        <v>3051</v>
      </c>
      <c r="K5648" t="s">
        <v>55</v>
      </c>
      <c r="L5648" t="s">
        <v>3052</v>
      </c>
      <c r="M5648" t="s">
        <v>57</v>
      </c>
      <c r="N5648" t="str">
        <f>"052522"</f>
        <v>052522</v>
      </c>
      <c r="O5648" t="s">
        <v>605</v>
      </c>
      <c r="P5648" t="s">
        <v>68</v>
      </c>
      <c r="Q5648" t="s">
        <v>68</v>
      </c>
      <c r="R5648" t="s">
        <v>68</v>
      </c>
      <c r="S5648" t="s">
        <v>69</v>
      </c>
    </row>
    <row r="5649" spans="1:19" x14ac:dyDescent="0.35">
      <c r="A5649">
        <v>19875</v>
      </c>
      <c r="B5649" t="str">
        <f>"019875"</f>
        <v>019875</v>
      </c>
      <c r="C5649" t="s">
        <v>14833</v>
      </c>
      <c r="D5649" t="s">
        <v>3394</v>
      </c>
      <c r="E5649" t="s">
        <v>3395</v>
      </c>
      <c r="F5649" t="s">
        <v>3396</v>
      </c>
      <c r="G5649" t="s">
        <v>600</v>
      </c>
      <c r="H5649" t="s">
        <v>14834</v>
      </c>
      <c r="I5649" t="s">
        <v>14835</v>
      </c>
      <c r="J5649" t="s">
        <v>1348</v>
      </c>
      <c r="K5649" t="s">
        <v>55</v>
      </c>
      <c r="L5649" t="s">
        <v>5767</v>
      </c>
      <c r="M5649" t="s">
        <v>57</v>
      </c>
      <c r="N5649" t="str">
        <f>"045047"</f>
        <v>045047</v>
      </c>
      <c r="O5649" t="s">
        <v>2687</v>
      </c>
      <c r="P5649" t="s">
        <v>68</v>
      </c>
      <c r="Q5649">
        <v>65.400000000000006</v>
      </c>
      <c r="R5649">
        <v>79.2</v>
      </c>
      <c r="S5649" t="s">
        <v>60</v>
      </c>
    </row>
    <row r="5650" spans="1:19" x14ac:dyDescent="0.35">
      <c r="A5650">
        <v>19886</v>
      </c>
      <c r="B5650" t="str">
        <f>"019886"</f>
        <v>019886</v>
      </c>
      <c r="C5650" t="s">
        <v>14836</v>
      </c>
      <c r="D5650" t="s">
        <v>3398</v>
      </c>
      <c r="E5650" t="s">
        <v>3395</v>
      </c>
      <c r="F5650" t="s">
        <v>3396</v>
      </c>
      <c r="G5650" t="s">
        <v>325</v>
      </c>
      <c r="H5650" t="s">
        <v>2206</v>
      </c>
      <c r="I5650" t="s">
        <v>2207</v>
      </c>
      <c r="J5650" t="s">
        <v>2172</v>
      </c>
      <c r="K5650" t="s">
        <v>55</v>
      </c>
      <c r="L5650" t="s">
        <v>2173</v>
      </c>
      <c r="M5650" t="s">
        <v>57</v>
      </c>
      <c r="N5650" t="str">
        <f>"045617"</f>
        <v>045617</v>
      </c>
      <c r="O5650" t="s">
        <v>2205</v>
      </c>
      <c r="P5650" t="s">
        <v>68</v>
      </c>
      <c r="Q5650" t="s">
        <v>68</v>
      </c>
      <c r="R5650" t="s">
        <v>68</v>
      </c>
      <c r="S5650" t="s">
        <v>180</v>
      </c>
    </row>
    <row r="5651" spans="1:19" x14ac:dyDescent="0.35">
      <c r="A5651">
        <v>19886</v>
      </c>
      <c r="B5651" t="str">
        <f>"019886"</f>
        <v>019886</v>
      </c>
      <c r="C5651" t="s">
        <v>14836</v>
      </c>
      <c r="D5651" t="s">
        <v>12476</v>
      </c>
      <c r="E5651" t="s">
        <v>3395</v>
      </c>
      <c r="F5651" t="s">
        <v>3396</v>
      </c>
      <c r="G5651" t="s">
        <v>325</v>
      </c>
      <c r="H5651" t="s">
        <v>2206</v>
      </c>
      <c r="I5651" t="s">
        <v>2207</v>
      </c>
      <c r="J5651" t="s">
        <v>2172</v>
      </c>
      <c r="K5651" t="s">
        <v>55</v>
      </c>
      <c r="L5651" t="s">
        <v>2173</v>
      </c>
      <c r="M5651" t="s">
        <v>57</v>
      </c>
      <c r="N5651" t="str">
        <f>"045617"</f>
        <v>045617</v>
      </c>
      <c r="O5651" t="s">
        <v>2205</v>
      </c>
      <c r="P5651" t="s">
        <v>68</v>
      </c>
      <c r="Q5651" t="s">
        <v>68</v>
      </c>
      <c r="R5651" t="s">
        <v>68</v>
      </c>
      <c r="S5651" t="s">
        <v>180</v>
      </c>
    </row>
    <row r="5652" spans="1:19" x14ac:dyDescent="0.35">
      <c r="A5652">
        <v>19880</v>
      </c>
      <c r="B5652" t="str">
        <f>"019880"</f>
        <v>019880</v>
      </c>
      <c r="C5652" t="s">
        <v>14837</v>
      </c>
      <c r="D5652" t="s">
        <v>3398</v>
      </c>
      <c r="E5652" t="s">
        <v>9538</v>
      </c>
      <c r="F5652" t="s">
        <v>3396</v>
      </c>
      <c r="G5652" t="s">
        <v>759</v>
      </c>
      <c r="H5652" t="s">
        <v>14838</v>
      </c>
      <c r="I5652" t="s">
        <v>14839</v>
      </c>
      <c r="J5652" t="s">
        <v>400</v>
      </c>
      <c r="K5652" t="s">
        <v>55</v>
      </c>
      <c r="L5652" t="s">
        <v>762</v>
      </c>
      <c r="M5652" t="s">
        <v>57</v>
      </c>
      <c r="N5652" t="str">
        <f>"019880"</f>
        <v>019880</v>
      </c>
      <c r="O5652" t="s">
        <v>14837</v>
      </c>
      <c r="P5652" t="s">
        <v>68</v>
      </c>
      <c r="Q5652" t="s">
        <v>68</v>
      </c>
      <c r="R5652" t="s">
        <v>68</v>
      </c>
      <c r="S5652" t="s">
        <v>69</v>
      </c>
    </row>
    <row r="5653" spans="1:19" x14ac:dyDescent="0.35">
      <c r="A5653">
        <v>19881</v>
      </c>
      <c r="B5653" t="str">
        <f>"019881"</f>
        <v>019881</v>
      </c>
      <c r="C5653" t="s">
        <v>14840</v>
      </c>
      <c r="D5653" t="s">
        <v>3398</v>
      </c>
      <c r="E5653" t="s">
        <v>9538</v>
      </c>
      <c r="F5653" t="s">
        <v>3396</v>
      </c>
      <c r="G5653" t="s">
        <v>92</v>
      </c>
      <c r="H5653" t="s">
        <v>14841</v>
      </c>
      <c r="I5653" t="s">
        <v>14842</v>
      </c>
      <c r="J5653" t="s">
        <v>1940</v>
      </c>
      <c r="K5653" t="s">
        <v>55</v>
      </c>
      <c r="L5653" t="s">
        <v>1941</v>
      </c>
      <c r="M5653" t="s">
        <v>57</v>
      </c>
      <c r="N5653" t="str">
        <f>"019881"</f>
        <v>019881</v>
      </c>
      <c r="O5653" t="s">
        <v>14840</v>
      </c>
      <c r="P5653" t="s">
        <v>68</v>
      </c>
      <c r="Q5653" t="s">
        <v>68</v>
      </c>
      <c r="R5653" t="s">
        <v>68</v>
      </c>
      <c r="S5653" t="s">
        <v>60</v>
      </c>
    </row>
    <row r="5654" spans="1:19" x14ac:dyDescent="0.35">
      <c r="A5654">
        <v>19882</v>
      </c>
      <c r="B5654" t="str">
        <f>"019882"</f>
        <v>019882</v>
      </c>
      <c r="C5654" t="s">
        <v>14843</v>
      </c>
      <c r="D5654" t="s">
        <v>3398</v>
      </c>
      <c r="E5654" t="s">
        <v>9538</v>
      </c>
      <c r="F5654" t="s">
        <v>3396</v>
      </c>
      <c r="G5654" t="s">
        <v>493</v>
      </c>
      <c r="H5654" t="s">
        <v>14844</v>
      </c>
      <c r="I5654" t="s">
        <v>14845</v>
      </c>
      <c r="J5654" t="s">
        <v>3113</v>
      </c>
      <c r="K5654" t="s">
        <v>55</v>
      </c>
      <c r="L5654" t="s">
        <v>3114</v>
      </c>
      <c r="M5654" t="s">
        <v>57</v>
      </c>
      <c r="N5654" t="str">
        <f>"019882"</f>
        <v>019882</v>
      </c>
      <c r="O5654" t="s">
        <v>14843</v>
      </c>
      <c r="P5654" t="s">
        <v>68</v>
      </c>
      <c r="Q5654" t="s">
        <v>68</v>
      </c>
      <c r="R5654" t="s">
        <v>68</v>
      </c>
      <c r="S5654" t="s">
        <v>130</v>
      </c>
    </row>
    <row r="5655" spans="1:19" x14ac:dyDescent="0.35">
      <c r="A5655">
        <v>19883</v>
      </c>
      <c r="B5655" t="str">
        <f>"019883"</f>
        <v>019883</v>
      </c>
      <c r="C5655" t="s">
        <v>14846</v>
      </c>
      <c r="D5655" t="s">
        <v>3398</v>
      </c>
      <c r="E5655" t="s">
        <v>9538</v>
      </c>
      <c r="F5655" t="s">
        <v>3396</v>
      </c>
      <c r="G5655" t="s">
        <v>600</v>
      </c>
      <c r="H5655" t="s">
        <v>14847</v>
      </c>
      <c r="I5655" t="s">
        <v>14848</v>
      </c>
      <c r="J5655" t="s">
        <v>1348</v>
      </c>
      <c r="K5655" t="s">
        <v>55</v>
      </c>
      <c r="L5655" t="s">
        <v>6119</v>
      </c>
      <c r="M5655" t="s">
        <v>57</v>
      </c>
      <c r="N5655" t="str">
        <f>"019883"</f>
        <v>019883</v>
      </c>
      <c r="O5655" t="s">
        <v>14846</v>
      </c>
      <c r="P5655" t="s">
        <v>68</v>
      </c>
      <c r="Q5655" t="s">
        <v>68</v>
      </c>
      <c r="R5655" t="s">
        <v>68</v>
      </c>
      <c r="S5655" t="s">
        <v>60</v>
      </c>
    </row>
    <row r="5656" spans="1:19" x14ac:dyDescent="0.35">
      <c r="A5656">
        <v>19884</v>
      </c>
      <c r="B5656" t="str">
        <f>"019884"</f>
        <v>019884</v>
      </c>
      <c r="C5656" t="s">
        <v>14849</v>
      </c>
      <c r="D5656" t="s">
        <v>3398</v>
      </c>
      <c r="E5656" t="s">
        <v>9538</v>
      </c>
      <c r="F5656" t="s">
        <v>3396</v>
      </c>
      <c r="G5656" t="s">
        <v>600</v>
      </c>
      <c r="H5656" t="s">
        <v>14850</v>
      </c>
      <c r="I5656" t="s">
        <v>14851</v>
      </c>
      <c r="J5656" t="s">
        <v>1348</v>
      </c>
      <c r="K5656" t="s">
        <v>55</v>
      </c>
      <c r="L5656" t="s">
        <v>4008</v>
      </c>
      <c r="M5656" t="s">
        <v>57</v>
      </c>
      <c r="N5656" t="str">
        <f>"019884"</f>
        <v>019884</v>
      </c>
      <c r="O5656" t="s">
        <v>14849</v>
      </c>
      <c r="P5656" t="s">
        <v>68</v>
      </c>
      <c r="Q5656" t="s">
        <v>68</v>
      </c>
      <c r="R5656" t="s">
        <v>68</v>
      </c>
      <c r="S5656" t="s">
        <v>60</v>
      </c>
    </row>
    <row r="5657" spans="1:19" x14ac:dyDescent="0.35">
      <c r="A5657">
        <v>19910</v>
      </c>
      <c r="B5657" t="str">
        <f>"019910"</f>
        <v>019910</v>
      </c>
      <c r="C5657" t="s">
        <v>14852</v>
      </c>
      <c r="D5657" t="s">
        <v>3394</v>
      </c>
      <c r="E5657" t="s">
        <v>3395</v>
      </c>
      <c r="F5657" t="s">
        <v>3396</v>
      </c>
      <c r="G5657" t="s">
        <v>63</v>
      </c>
      <c r="H5657" t="s">
        <v>14853</v>
      </c>
      <c r="I5657" t="s">
        <v>14854</v>
      </c>
      <c r="J5657" t="s">
        <v>140</v>
      </c>
      <c r="K5657" t="s">
        <v>55</v>
      </c>
      <c r="L5657" t="s">
        <v>141</v>
      </c>
      <c r="M5657" t="s">
        <v>57</v>
      </c>
      <c r="N5657" t="str">
        <f>"043646"</f>
        <v>043646</v>
      </c>
      <c r="O5657" t="s">
        <v>137</v>
      </c>
      <c r="P5657" t="s">
        <v>68</v>
      </c>
      <c r="Q5657">
        <v>10.5</v>
      </c>
      <c r="R5657">
        <v>16.5</v>
      </c>
      <c r="S5657" t="s">
        <v>69</v>
      </c>
    </row>
    <row r="5658" spans="1:19" x14ac:dyDescent="0.35">
      <c r="A5658">
        <v>19891</v>
      </c>
      <c r="B5658" t="str">
        <f>"019891"</f>
        <v>019891</v>
      </c>
      <c r="C5658" t="s">
        <v>14855</v>
      </c>
      <c r="D5658" t="s">
        <v>3398</v>
      </c>
      <c r="E5658" t="s">
        <v>9538</v>
      </c>
      <c r="F5658" t="s">
        <v>3396</v>
      </c>
      <c r="G5658" t="s">
        <v>600</v>
      </c>
      <c r="H5658" t="s">
        <v>14856</v>
      </c>
      <c r="I5658" t="s">
        <v>14857</v>
      </c>
      <c r="J5658" t="s">
        <v>1348</v>
      </c>
      <c r="K5658" t="s">
        <v>55</v>
      </c>
      <c r="L5658" t="s">
        <v>1516</v>
      </c>
      <c r="M5658" t="s">
        <v>57</v>
      </c>
      <c r="N5658" t="str">
        <f>"019891"</f>
        <v>019891</v>
      </c>
      <c r="O5658" t="s">
        <v>14855</v>
      </c>
      <c r="P5658" t="s">
        <v>68</v>
      </c>
      <c r="Q5658" t="s">
        <v>68</v>
      </c>
      <c r="R5658" t="s">
        <v>68</v>
      </c>
      <c r="S5658" t="s">
        <v>60</v>
      </c>
    </row>
    <row r="5659" spans="1:19" x14ac:dyDescent="0.35">
      <c r="A5659">
        <v>19895</v>
      </c>
      <c r="B5659" t="str">
        <f>"019895"</f>
        <v>019895</v>
      </c>
      <c r="C5659" t="s">
        <v>14858</v>
      </c>
      <c r="D5659" t="s">
        <v>3394</v>
      </c>
      <c r="E5659" t="s">
        <v>9538</v>
      </c>
      <c r="F5659" t="s">
        <v>3396</v>
      </c>
      <c r="G5659" t="s">
        <v>212</v>
      </c>
      <c r="H5659" t="s">
        <v>14859</v>
      </c>
      <c r="I5659" t="s">
        <v>14860</v>
      </c>
      <c r="J5659" t="s">
        <v>215</v>
      </c>
      <c r="K5659" t="s">
        <v>55</v>
      </c>
      <c r="L5659" t="s">
        <v>443</v>
      </c>
      <c r="M5659" t="s">
        <v>57</v>
      </c>
      <c r="N5659" t="str">
        <f>"019895"</f>
        <v>019895</v>
      </c>
      <c r="O5659" t="s">
        <v>14858</v>
      </c>
      <c r="P5659" t="s">
        <v>68</v>
      </c>
      <c r="Q5659" t="s">
        <v>68</v>
      </c>
      <c r="R5659" t="s">
        <v>68</v>
      </c>
      <c r="S5659" t="s">
        <v>217</v>
      </c>
    </row>
    <row r="5660" spans="1:19" x14ac:dyDescent="0.35">
      <c r="A5660">
        <v>19898</v>
      </c>
      <c r="B5660" t="str">
        <f>"019898"</f>
        <v>019898</v>
      </c>
      <c r="C5660" t="s">
        <v>14861</v>
      </c>
      <c r="D5660" t="s">
        <v>3394</v>
      </c>
      <c r="E5660" t="s">
        <v>9538</v>
      </c>
      <c r="F5660" t="s">
        <v>3396</v>
      </c>
      <c r="G5660" t="s">
        <v>63</v>
      </c>
      <c r="H5660" t="s">
        <v>14862</v>
      </c>
      <c r="I5660" t="s">
        <v>14863</v>
      </c>
      <c r="J5660" t="s">
        <v>871</v>
      </c>
      <c r="K5660" t="s">
        <v>55</v>
      </c>
      <c r="L5660" t="s">
        <v>872</v>
      </c>
      <c r="M5660" t="s">
        <v>57</v>
      </c>
      <c r="N5660" t="str">
        <f>"019898"</f>
        <v>019898</v>
      </c>
      <c r="O5660" t="s">
        <v>14861</v>
      </c>
      <c r="P5660" t="s">
        <v>68</v>
      </c>
      <c r="Q5660" t="s">
        <v>68</v>
      </c>
      <c r="R5660" t="s">
        <v>68</v>
      </c>
      <c r="S5660" t="s">
        <v>69</v>
      </c>
    </row>
    <row r="5661" spans="1:19" x14ac:dyDescent="0.35">
      <c r="A5661">
        <v>19897</v>
      </c>
      <c r="B5661" t="str">
        <f>"019897"</f>
        <v>019897</v>
      </c>
      <c r="C5661" t="s">
        <v>14861</v>
      </c>
      <c r="D5661" t="s">
        <v>3394</v>
      </c>
      <c r="E5661" t="s">
        <v>9538</v>
      </c>
      <c r="F5661" t="s">
        <v>3396</v>
      </c>
      <c r="G5661" t="s">
        <v>264</v>
      </c>
      <c r="H5661" t="s">
        <v>14864</v>
      </c>
      <c r="I5661" t="s">
        <v>14865</v>
      </c>
      <c r="J5661" t="s">
        <v>800</v>
      </c>
      <c r="K5661" t="s">
        <v>55</v>
      </c>
      <c r="L5661" t="s">
        <v>801</v>
      </c>
      <c r="M5661" t="s">
        <v>57</v>
      </c>
      <c r="N5661" t="str">
        <f>"019897"</f>
        <v>019897</v>
      </c>
      <c r="O5661" t="s">
        <v>14861</v>
      </c>
      <c r="P5661" t="s">
        <v>68</v>
      </c>
      <c r="Q5661" t="s">
        <v>68</v>
      </c>
      <c r="R5661" t="s">
        <v>68</v>
      </c>
      <c r="S5661" t="s">
        <v>77</v>
      </c>
    </row>
    <row r="5662" spans="1:19" x14ac:dyDescent="0.35">
      <c r="A5662">
        <v>19896</v>
      </c>
      <c r="B5662" t="str">
        <f>"019896"</f>
        <v>019896</v>
      </c>
      <c r="C5662" t="s">
        <v>14861</v>
      </c>
      <c r="D5662" t="s">
        <v>3394</v>
      </c>
      <c r="E5662" t="s">
        <v>9538</v>
      </c>
      <c r="F5662" t="s">
        <v>3396</v>
      </c>
      <c r="G5662" t="s">
        <v>143</v>
      </c>
      <c r="H5662" t="s">
        <v>14866</v>
      </c>
      <c r="I5662" t="s">
        <v>14867</v>
      </c>
      <c r="J5662" t="s">
        <v>2986</v>
      </c>
      <c r="K5662" t="s">
        <v>55</v>
      </c>
      <c r="L5662" t="s">
        <v>2987</v>
      </c>
      <c r="M5662" t="s">
        <v>57</v>
      </c>
      <c r="N5662" t="str">
        <f>"019896"</f>
        <v>019896</v>
      </c>
      <c r="O5662" t="s">
        <v>14861</v>
      </c>
      <c r="P5662" t="s">
        <v>68</v>
      </c>
      <c r="Q5662" t="s">
        <v>68</v>
      </c>
      <c r="R5662" t="s">
        <v>68</v>
      </c>
      <c r="S5662" t="s">
        <v>69</v>
      </c>
    </row>
    <row r="5663" spans="1:19" x14ac:dyDescent="0.35">
      <c r="A5663">
        <v>19899</v>
      </c>
      <c r="B5663" t="str">
        <f>"019899"</f>
        <v>019899</v>
      </c>
      <c r="C5663" t="s">
        <v>14861</v>
      </c>
      <c r="D5663" t="s">
        <v>3394</v>
      </c>
      <c r="E5663" t="s">
        <v>9538</v>
      </c>
      <c r="F5663" t="s">
        <v>3396</v>
      </c>
      <c r="G5663" t="s">
        <v>63</v>
      </c>
      <c r="H5663" t="s">
        <v>14868</v>
      </c>
      <c r="I5663" t="s">
        <v>14869</v>
      </c>
      <c r="J5663" t="s">
        <v>795</v>
      </c>
      <c r="K5663" t="s">
        <v>55</v>
      </c>
      <c r="L5663" t="s">
        <v>796</v>
      </c>
      <c r="M5663" t="s">
        <v>57</v>
      </c>
      <c r="N5663" t="str">
        <f>"019899"</f>
        <v>019899</v>
      </c>
      <c r="O5663" t="s">
        <v>14861</v>
      </c>
      <c r="P5663" t="s">
        <v>68</v>
      </c>
      <c r="Q5663" t="s">
        <v>68</v>
      </c>
      <c r="R5663" t="s">
        <v>68</v>
      </c>
      <c r="S5663" t="s">
        <v>69</v>
      </c>
    </row>
    <row r="5664" spans="1:19" x14ac:dyDescent="0.35">
      <c r="A5664">
        <v>19900</v>
      </c>
      <c r="B5664" t="str">
        <f>"019900"</f>
        <v>019900</v>
      </c>
      <c r="C5664" t="s">
        <v>14861</v>
      </c>
      <c r="D5664" t="s">
        <v>3394</v>
      </c>
      <c r="E5664" t="s">
        <v>9538</v>
      </c>
      <c r="F5664" t="s">
        <v>3396</v>
      </c>
      <c r="G5664" t="s">
        <v>63</v>
      </c>
      <c r="H5664" t="s">
        <v>14870</v>
      </c>
      <c r="I5664" t="s">
        <v>14871</v>
      </c>
      <c r="J5664" t="s">
        <v>1863</v>
      </c>
      <c r="K5664" t="s">
        <v>55</v>
      </c>
      <c r="L5664" t="s">
        <v>1864</v>
      </c>
      <c r="M5664" t="s">
        <v>57</v>
      </c>
      <c r="N5664" t="str">
        <f>"019900"</f>
        <v>019900</v>
      </c>
      <c r="O5664" t="s">
        <v>14861</v>
      </c>
      <c r="P5664" t="s">
        <v>68</v>
      </c>
      <c r="Q5664" t="s">
        <v>68</v>
      </c>
      <c r="R5664" t="s">
        <v>68</v>
      </c>
      <c r="S5664" t="s">
        <v>69</v>
      </c>
    </row>
    <row r="5665" spans="1:19" x14ac:dyDescent="0.35">
      <c r="A5665">
        <v>19902</v>
      </c>
      <c r="B5665" t="str">
        <f>"019902"</f>
        <v>019902</v>
      </c>
      <c r="C5665" t="s">
        <v>14861</v>
      </c>
      <c r="D5665" t="s">
        <v>3394</v>
      </c>
      <c r="E5665" t="s">
        <v>9538</v>
      </c>
      <c r="F5665" t="s">
        <v>3396</v>
      </c>
      <c r="G5665" t="s">
        <v>63</v>
      </c>
      <c r="H5665" t="s">
        <v>14872</v>
      </c>
      <c r="I5665" t="s">
        <v>14873</v>
      </c>
      <c r="J5665" t="s">
        <v>1834</v>
      </c>
      <c r="K5665" t="s">
        <v>55</v>
      </c>
      <c r="L5665" t="s">
        <v>1835</v>
      </c>
      <c r="M5665" t="s">
        <v>57</v>
      </c>
      <c r="N5665" t="str">
        <f>"019902"</f>
        <v>019902</v>
      </c>
      <c r="O5665" t="s">
        <v>14861</v>
      </c>
      <c r="P5665" t="s">
        <v>68</v>
      </c>
      <c r="Q5665" t="s">
        <v>68</v>
      </c>
      <c r="R5665" t="s">
        <v>68</v>
      </c>
      <c r="S5665" t="s">
        <v>69</v>
      </c>
    </row>
    <row r="5666" spans="1:19" x14ac:dyDescent="0.35">
      <c r="A5666">
        <v>19903</v>
      </c>
      <c r="B5666" t="str">
        <f>"019903"</f>
        <v>019903</v>
      </c>
      <c r="C5666" t="s">
        <v>14861</v>
      </c>
      <c r="D5666" t="s">
        <v>3394</v>
      </c>
      <c r="E5666" t="s">
        <v>9538</v>
      </c>
      <c r="F5666" t="s">
        <v>3396</v>
      </c>
      <c r="G5666" t="s">
        <v>63</v>
      </c>
      <c r="H5666" t="s">
        <v>14874</v>
      </c>
      <c r="I5666" t="s">
        <v>14875</v>
      </c>
      <c r="J5666" t="s">
        <v>3051</v>
      </c>
      <c r="K5666" t="s">
        <v>55</v>
      </c>
      <c r="L5666" t="s">
        <v>3052</v>
      </c>
      <c r="M5666" t="s">
        <v>57</v>
      </c>
      <c r="N5666" t="str">
        <f>"019903"</f>
        <v>019903</v>
      </c>
      <c r="O5666" t="s">
        <v>14861</v>
      </c>
      <c r="P5666" t="s">
        <v>68</v>
      </c>
      <c r="Q5666" t="s">
        <v>68</v>
      </c>
      <c r="R5666" t="s">
        <v>68</v>
      </c>
      <c r="S5666" t="s">
        <v>69</v>
      </c>
    </row>
    <row r="5667" spans="1:19" x14ac:dyDescent="0.35">
      <c r="A5667">
        <v>19918</v>
      </c>
      <c r="B5667" t="str">
        <f>"019918"</f>
        <v>019918</v>
      </c>
      <c r="C5667" t="s">
        <v>14876</v>
      </c>
      <c r="D5667" t="s">
        <v>3398</v>
      </c>
      <c r="E5667" t="s">
        <v>3395</v>
      </c>
      <c r="F5667" t="s">
        <v>3396</v>
      </c>
      <c r="G5667" t="s">
        <v>200</v>
      </c>
      <c r="H5667" t="s">
        <v>14877</v>
      </c>
      <c r="I5667" t="s">
        <v>14878</v>
      </c>
      <c r="J5667" t="s">
        <v>304</v>
      </c>
      <c r="K5667" t="s">
        <v>55</v>
      </c>
      <c r="L5667" t="s">
        <v>4721</v>
      </c>
      <c r="M5667" t="s">
        <v>57</v>
      </c>
      <c r="N5667" t="str">
        <f>"044909"</f>
        <v>044909</v>
      </c>
      <c r="O5667" t="s">
        <v>3318</v>
      </c>
      <c r="P5667" t="s">
        <v>68</v>
      </c>
      <c r="Q5667">
        <v>54.9</v>
      </c>
      <c r="R5667">
        <v>69</v>
      </c>
      <c r="S5667" t="s">
        <v>156</v>
      </c>
    </row>
    <row r="5668" spans="1:19" x14ac:dyDescent="0.35">
      <c r="A5668">
        <v>19911</v>
      </c>
      <c r="B5668" t="str">
        <f>"019911"</f>
        <v>019911</v>
      </c>
      <c r="C5668" t="s">
        <v>14879</v>
      </c>
      <c r="D5668" t="s">
        <v>3398</v>
      </c>
      <c r="E5668" t="s">
        <v>9538</v>
      </c>
      <c r="F5668" t="s">
        <v>3396</v>
      </c>
      <c r="G5668" t="s">
        <v>63</v>
      </c>
      <c r="H5668" t="s">
        <v>14880</v>
      </c>
      <c r="I5668" t="s">
        <v>14881</v>
      </c>
      <c r="J5668" t="s">
        <v>285</v>
      </c>
      <c r="K5668" t="s">
        <v>55</v>
      </c>
      <c r="L5668" t="s">
        <v>3915</v>
      </c>
      <c r="M5668" t="s">
        <v>57</v>
      </c>
      <c r="N5668" t="str">
        <f>"000136"</f>
        <v>000136</v>
      </c>
      <c r="O5668" t="s">
        <v>2853</v>
      </c>
      <c r="P5668" t="s">
        <v>68</v>
      </c>
      <c r="Q5668" t="s">
        <v>68</v>
      </c>
      <c r="R5668" t="s">
        <v>68</v>
      </c>
      <c r="S5668" t="s">
        <v>69</v>
      </c>
    </row>
    <row r="5669" spans="1:19" x14ac:dyDescent="0.35">
      <c r="A5669">
        <v>19940</v>
      </c>
      <c r="B5669" t="str">
        <f>"019940"</f>
        <v>019940</v>
      </c>
      <c r="C5669" t="s">
        <v>14882</v>
      </c>
      <c r="D5669" t="s">
        <v>3394</v>
      </c>
      <c r="E5669" t="s">
        <v>3395</v>
      </c>
      <c r="F5669" t="s">
        <v>3396</v>
      </c>
      <c r="G5669" t="s">
        <v>212</v>
      </c>
      <c r="H5669" t="s">
        <v>14883</v>
      </c>
      <c r="I5669" t="s">
        <v>14884</v>
      </c>
      <c r="J5669" t="s">
        <v>215</v>
      </c>
      <c r="K5669" t="s">
        <v>55</v>
      </c>
      <c r="L5669" t="s">
        <v>914</v>
      </c>
      <c r="M5669" t="s">
        <v>57</v>
      </c>
      <c r="N5669" t="str">
        <f>"047332"</f>
        <v>047332</v>
      </c>
      <c r="O5669" t="s">
        <v>911</v>
      </c>
      <c r="P5669" t="s">
        <v>68</v>
      </c>
      <c r="Q5669">
        <v>62</v>
      </c>
      <c r="R5669">
        <v>71.7</v>
      </c>
      <c r="S5669" t="s">
        <v>217</v>
      </c>
    </row>
    <row r="5670" spans="1:19" x14ac:dyDescent="0.35">
      <c r="A5670">
        <v>19946</v>
      </c>
      <c r="B5670" t="str">
        <f>"019946"</f>
        <v>019946</v>
      </c>
      <c r="C5670" t="s">
        <v>14885</v>
      </c>
      <c r="D5670" t="s">
        <v>3394</v>
      </c>
      <c r="E5670" t="s">
        <v>3395</v>
      </c>
      <c r="F5670" t="s">
        <v>3396</v>
      </c>
      <c r="G5670" t="s">
        <v>110</v>
      </c>
      <c r="H5670" t="s">
        <v>14886</v>
      </c>
      <c r="I5670" t="s">
        <v>14887</v>
      </c>
      <c r="J5670" t="s">
        <v>113</v>
      </c>
      <c r="K5670" t="s">
        <v>55</v>
      </c>
      <c r="L5670" t="s">
        <v>114</v>
      </c>
      <c r="M5670" t="s">
        <v>57</v>
      </c>
      <c r="N5670" t="str">
        <f>"047985"</f>
        <v>047985</v>
      </c>
      <c r="O5670" t="s">
        <v>3022</v>
      </c>
      <c r="P5670" t="s">
        <v>68</v>
      </c>
      <c r="Q5670">
        <v>21.1</v>
      </c>
      <c r="R5670">
        <v>13.299999999999997</v>
      </c>
      <c r="S5670" t="s">
        <v>60</v>
      </c>
    </row>
    <row r="5671" spans="1:19" x14ac:dyDescent="0.35">
      <c r="A5671">
        <v>19945</v>
      </c>
      <c r="B5671" t="str">
        <f>"019945"</f>
        <v>019945</v>
      </c>
      <c r="C5671" t="s">
        <v>14888</v>
      </c>
      <c r="D5671" t="s">
        <v>3398</v>
      </c>
      <c r="E5671" t="s">
        <v>3395</v>
      </c>
      <c r="F5671" t="s">
        <v>3396</v>
      </c>
      <c r="G5671" t="s">
        <v>212</v>
      </c>
      <c r="H5671" t="s">
        <v>14889</v>
      </c>
      <c r="I5671" t="s">
        <v>1629</v>
      </c>
      <c r="J5671" t="s">
        <v>14890</v>
      </c>
      <c r="K5671" t="s">
        <v>55</v>
      </c>
      <c r="L5671" t="s">
        <v>914</v>
      </c>
      <c r="M5671" t="s">
        <v>57</v>
      </c>
      <c r="N5671" t="str">
        <f>"044412"</f>
        <v>044412</v>
      </c>
      <c r="O5671" t="s">
        <v>1627</v>
      </c>
      <c r="P5671" t="s">
        <v>68</v>
      </c>
      <c r="Q5671">
        <v>97</v>
      </c>
      <c r="R5671">
        <v>80</v>
      </c>
      <c r="S5671" t="s">
        <v>217</v>
      </c>
    </row>
    <row r="5672" spans="1:19" x14ac:dyDescent="0.35">
      <c r="A5672">
        <v>19945</v>
      </c>
      <c r="B5672" t="str">
        <f>"019945"</f>
        <v>019945</v>
      </c>
      <c r="C5672" t="s">
        <v>14888</v>
      </c>
      <c r="D5672" t="s">
        <v>12476</v>
      </c>
      <c r="E5672" t="s">
        <v>3395</v>
      </c>
      <c r="F5672" t="s">
        <v>3396</v>
      </c>
      <c r="G5672" t="s">
        <v>212</v>
      </c>
      <c r="H5672" t="s">
        <v>14889</v>
      </c>
      <c r="I5672" t="s">
        <v>1629</v>
      </c>
      <c r="J5672" t="s">
        <v>14890</v>
      </c>
      <c r="K5672" t="s">
        <v>55</v>
      </c>
      <c r="L5672" t="s">
        <v>914</v>
      </c>
      <c r="M5672" t="s">
        <v>57</v>
      </c>
      <c r="N5672" t="str">
        <f>"044412"</f>
        <v>044412</v>
      </c>
      <c r="O5672" t="s">
        <v>1627</v>
      </c>
      <c r="P5672" t="s">
        <v>68</v>
      </c>
      <c r="Q5672">
        <v>97</v>
      </c>
      <c r="R5672">
        <v>80</v>
      </c>
      <c r="S5672" t="s">
        <v>217</v>
      </c>
    </row>
    <row r="5673" spans="1:19" x14ac:dyDescent="0.35">
      <c r="A5673">
        <v>19994</v>
      </c>
      <c r="B5673" t="str">
        <f>"019994"</f>
        <v>019994</v>
      </c>
      <c r="C5673" t="s">
        <v>14891</v>
      </c>
      <c r="D5673" t="s">
        <v>3394</v>
      </c>
      <c r="E5673" t="s">
        <v>3395</v>
      </c>
      <c r="F5673" t="s">
        <v>3396</v>
      </c>
      <c r="G5673" t="s">
        <v>212</v>
      </c>
      <c r="H5673" t="s">
        <v>10903</v>
      </c>
      <c r="I5673" t="s">
        <v>10904</v>
      </c>
      <c r="J5673" t="s">
        <v>2325</v>
      </c>
      <c r="K5673" t="s">
        <v>55</v>
      </c>
      <c r="L5673" t="s">
        <v>2326</v>
      </c>
      <c r="M5673" t="s">
        <v>57</v>
      </c>
      <c r="N5673" t="str">
        <f>"044578"</f>
        <v>044578</v>
      </c>
      <c r="O5673" t="s">
        <v>2322</v>
      </c>
      <c r="P5673" t="s">
        <v>68</v>
      </c>
      <c r="Q5673">
        <v>98</v>
      </c>
      <c r="R5673">
        <v>21.599999999999994</v>
      </c>
      <c r="S5673" t="s">
        <v>217</v>
      </c>
    </row>
    <row r="5674" spans="1:19" x14ac:dyDescent="0.35">
      <c r="A5674">
        <v>19990</v>
      </c>
      <c r="B5674" t="str">
        <f>"019990"</f>
        <v>019990</v>
      </c>
      <c r="C5674" t="s">
        <v>14892</v>
      </c>
      <c r="D5674" t="s">
        <v>3394</v>
      </c>
      <c r="E5674" t="s">
        <v>9538</v>
      </c>
      <c r="F5674" t="s">
        <v>3396</v>
      </c>
      <c r="G5674" t="s">
        <v>600</v>
      </c>
      <c r="H5674" t="s">
        <v>14893</v>
      </c>
      <c r="I5674" t="s">
        <v>14894</v>
      </c>
      <c r="J5674" t="s">
        <v>1348</v>
      </c>
      <c r="K5674" t="s">
        <v>55</v>
      </c>
      <c r="L5674" t="s">
        <v>3568</v>
      </c>
      <c r="M5674" t="s">
        <v>57</v>
      </c>
      <c r="N5674" t="str">
        <f>"019990"</f>
        <v>019990</v>
      </c>
      <c r="O5674" t="s">
        <v>14892</v>
      </c>
      <c r="P5674" t="s">
        <v>68</v>
      </c>
      <c r="Q5674" t="s">
        <v>68</v>
      </c>
      <c r="R5674" t="s">
        <v>68</v>
      </c>
      <c r="S5674" t="s">
        <v>60</v>
      </c>
    </row>
    <row r="5675" spans="1:19" x14ac:dyDescent="0.35">
      <c r="A5675">
        <v>20046</v>
      </c>
      <c r="B5675" t="str">
        <f>"020046"</f>
        <v>020046</v>
      </c>
      <c r="C5675" t="s">
        <v>14895</v>
      </c>
      <c r="D5675" t="s">
        <v>3398</v>
      </c>
      <c r="E5675" t="s">
        <v>12048</v>
      </c>
      <c r="F5675" t="s">
        <v>3396</v>
      </c>
      <c r="G5675" t="s">
        <v>600</v>
      </c>
      <c r="H5675" t="s">
        <v>14896</v>
      </c>
      <c r="I5675" t="s">
        <v>14897</v>
      </c>
      <c r="J5675" t="s">
        <v>1348</v>
      </c>
      <c r="K5675" t="s">
        <v>55</v>
      </c>
      <c r="L5675" t="s">
        <v>3462</v>
      </c>
      <c r="M5675" t="s">
        <v>57</v>
      </c>
      <c r="N5675" t="str">
        <f>"N/A"</f>
        <v>N/A</v>
      </c>
      <c r="O5675" t="s">
        <v>49</v>
      </c>
      <c r="P5675" t="s">
        <v>68</v>
      </c>
      <c r="Q5675">
        <v>100</v>
      </c>
      <c r="R5675">
        <v>100</v>
      </c>
      <c r="S5675" t="s">
        <v>60</v>
      </c>
    </row>
    <row r="5676" spans="1:19" x14ac:dyDescent="0.35">
      <c r="A5676">
        <v>20046</v>
      </c>
      <c r="B5676" t="str">
        <f>"020046"</f>
        <v>020046</v>
      </c>
      <c r="C5676" t="s">
        <v>14895</v>
      </c>
      <c r="D5676" t="s">
        <v>12052</v>
      </c>
      <c r="E5676" t="s">
        <v>12048</v>
      </c>
      <c r="F5676" t="s">
        <v>3396</v>
      </c>
      <c r="G5676" t="s">
        <v>600</v>
      </c>
      <c r="H5676" t="s">
        <v>14896</v>
      </c>
      <c r="I5676" t="s">
        <v>14897</v>
      </c>
      <c r="J5676" t="s">
        <v>1348</v>
      </c>
      <c r="K5676" t="s">
        <v>55</v>
      </c>
      <c r="L5676" t="s">
        <v>3462</v>
      </c>
      <c r="M5676" t="s">
        <v>57</v>
      </c>
      <c r="N5676" t="str">
        <f>"N/A"</f>
        <v>N/A</v>
      </c>
      <c r="O5676" t="s">
        <v>49</v>
      </c>
      <c r="P5676" t="s">
        <v>68</v>
      </c>
      <c r="Q5676">
        <v>100</v>
      </c>
      <c r="R5676">
        <v>100</v>
      </c>
      <c r="S5676" t="s">
        <v>60</v>
      </c>
    </row>
    <row r="5677" spans="1:19" x14ac:dyDescent="0.35">
      <c r="A5677">
        <v>20091</v>
      </c>
      <c r="B5677" t="str">
        <f>"020091"</f>
        <v>020091</v>
      </c>
      <c r="C5677" t="s">
        <v>14898</v>
      </c>
      <c r="D5677" t="s">
        <v>3400</v>
      </c>
      <c r="E5677" t="s">
        <v>12048</v>
      </c>
      <c r="F5677" t="s">
        <v>3396</v>
      </c>
      <c r="G5677" t="s">
        <v>600</v>
      </c>
      <c r="H5677" t="s">
        <v>14899</v>
      </c>
      <c r="I5677" t="s">
        <v>14900</v>
      </c>
      <c r="J5677" t="s">
        <v>1348</v>
      </c>
      <c r="K5677" t="s">
        <v>55</v>
      </c>
      <c r="L5677" t="s">
        <v>4810</v>
      </c>
      <c r="M5677" t="s">
        <v>57</v>
      </c>
      <c r="N5677" t="str">
        <f>"020338"</f>
        <v>020338</v>
      </c>
      <c r="O5677" t="s">
        <v>14901</v>
      </c>
      <c r="P5677" t="s">
        <v>68</v>
      </c>
      <c r="Q5677">
        <v>97.2</v>
      </c>
      <c r="R5677">
        <v>100</v>
      </c>
      <c r="S5677" t="s">
        <v>60</v>
      </c>
    </row>
    <row r="5678" spans="1:19" x14ac:dyDescent="0.35">
      <c r="A5678">
        <v>20091</v>
      </c>
      <c r="B5678" t="str">
        <f>"020091"</f>
        <v>020091</v>
      </c>
      <c r="C5678" t="s">
        <v>14898</v>
      </c>
      <c r="D5678" t="s">
        <v>12052</v>
      </c>
      <c r="E5678" t="s">
        <v>12048</v>
      </c>
      <c r="F5678" t="s">
        <v>3396</v>
      </c>
      <c r="G5678" t="s">
        <v>600</v>
      </c>
      <c r="H5678" t="s">
        <v>14899</v>
      </c>
      <c r="I5678" t="s">
        <v>14900</v>
      </c>
      <c r="J5678" t="s">
        <v>1348</v>
      </c>
      <c r="K5678" t="s">
        <v>55</v>
      </c>
      <c r="L5678" t="s">
        <v>4810</v>
      </c>
      <c r="M5678" t="s">
        <v>57</v>
      </c>
      <c r="N5678" t="str">
        <f>"020338"</f>
        <v>020338</v>
      </c>
      <c r="O5678" t="s">
        <v>14901</v>
      </c>
      <c r="P5678" t="s">
        <v>68</v>
      </c>
      <c r="Q5678">
        <v>97.2</v>
      </c>
      <c r="R5678">
        <v>100</v>
      </c>
      <c r="S5678" t="s">
        <v>60</v>
      </c>
    </row>
    <row r="5679" spans="1:19" x14ac:dyDescent="0.35">
      <c r="A5679">
        <v>20059</v>
      </c>
      <c r="B5679" t="str">
        <f>"020059"</f>
        <v>020059</v>
      </c>
      <c r="C5679" t="s">
        <v>14902</v>
      </c>
      <c r="D5679" t="s">
        <v>3398</v>
      </c>
      <c r="E5679" t="s">
        <v>3395</v>
      </c>
      <c r="F5679" t="s">
        <v>3396</v>
      </c>
      <c r="G5679" t="s">
        <v>244</v>
      </c>
      <c r="H5679" t="s">
        <v>14903</v>
      </c>
      <c r="I5679" t="s">
        <v>14904</v>
      </c>
      <c r="J5679" t="s">
        <v>5918</v>
      </c>
      <c r="K5679" t="s">
        <v>55</v>
      </c>
      <c r="L5679" t="s">
        <v>5919</v>
      </c>
      <c r="M5679" t="s">
        <v>57</v>
      </c>
      <c r="N5679" t="str">
        <f>"046110"</f>
        <v>046110</v>
      </c>
      <c r="O5679" t="s">
        <v>2005</v>
      </c>
      <c r="P5679" t="s">
        <v>68</v>
      </c>
      <c r="Q5679">
        <v>39.1</v>
      </c>
      <c r="R5679">
        <v>40.4</v>
      </c>
      <c r="S5679" t="s">
        <v>217</v>
      </c>
    </row>
    <row r="5680" spans="1:19" x14ac:dyDescent="0.35">
      <c r="A5680">
        <v>20059</v>
      </c>
      <c r="B5680" t="str">
        <f>"020059"</f>
        <v>020059</v>
      </c>
      <c r="C5680" t="s">
        <v>14902</v>
      </c>
      <c r="D5680" t="s">
        <v>12476</v>
      </c>
      <c r="E5680" t="s">
        <v>3395</v>
      </c>
      <c r="F5680" t="s">
        <v>3396</v>
      </c>
      <c r="G5680" t="s">
        <v>244</v>
      </c>
      <c r="H5680" t="s">
        <v>14903</v>
      </c>
      <c r="I5680" t="s">
        <v>14904</v>
      </c>
      <c r="J5680" t="s">
        <v>5918</v>
      </c>
      <c r="K5680" t="s">
        <v>55</v>
      </c>
      <c r="L5680" t="s">
        <v>5919</v>
      </c>
      <c r="M5680" t="s">
        <v>57</v>
      </c>
      <c r="N5680" t="str">
        <f>"046110"</f>
        <v>046110</v>
      </c>
      <c r="O5680" t="s">
        <v>2005</v>
      </c>
      <c r="P5680" t="s">
        <v>68</v>
      </c>
      <c r="Q5680">
        <v>39.1</v>
      </c>
      <c r="R5680">
        <v>40.4</v>
      </c>
      <c r="S5680" t="s">
        <v>217</v>
      </c>
    </row>
    <row r="5681" spans="1:19" x14ac:dyDescent="0.35">
      <c r="A5681">
        <v>20066</v>
      </c>
      <c r="B5681" t="str">
        <f>"020066"</f>
        <v>020066</v>
      </c>
      <c r="C5681" t="s">
        <v>14905</v>
      </c>
      <c r="D5681" t="s">
        <v>3394</v>
      </c>
      <c r="E5681" t="s">
        <v>3395</v>
      </c>
      <c r="F5681" t="s">
        <v>3396</v>
      </c>
      <c r="G5681" t="s">
        <v>600</v>
      </c>
      <c r="H5681" t="s">
        <v>14906</v>
      </c>
      <c r="I5681" t="s">
        <v>14907</v>
      </c>
      <c r="J5681" t="s">
        <v>603</v>
      </c>
      <c r="K5681" t="s">
        <v>55</v>
      </c>
      <c r="L5681" t="s">
        <v>604</v>
      </c>
      <c r="M5681" t="s">
        <v>57</v>
      </c>
      <c r="N5681" t="str">
        <f>"047001"</f>
        <v>047001</v>
      </c>
      <c r="O5681" t="s">
        <v>599</v>
      </c>
      <c r="P5681" t="s">
        <v>68</v>
      </c>
      <c r="Q5681">
        <v>53.2</v>
      </c>
      <c r="R5681">
        <v>72.099999999999994</v>
      </c>
      <c r="S5681" t="s">
        <v>60</v>
      </c>
    </row>
    <row r="5682" spans="1:19" x14ac:dyDescent="0.35">
      <c r="A5682">
        <v>20063</v>
      </c>
      <c r="B5682" t="str">
        <f>"020063"</f>
        <v>020063</v>
      </c>
      <c r="C5682" t="s">
        <v>14908</v>
      </c>
      <c r="D5682" t="s">
        <v>3398</v>
      </c>
      <c r="E5682" t="s">
        <v>3395</v>
      </c>
      <c r="F5682" t="s">
        <v>3396</v>
      </c>
      <c r="G5682" t="s">
        <v>200</v>
      </c>
      <c r="H5682" t="s">
        <v>429</v>
      </c>
      <c r="I5682" t="s">
        <v>430</v>
      </c>
      <c r="J5682" t="s">
        <v>431</v>
      </c>
      <c r="K5682" t="s">
        <v>55</v>
      </c>
      <c r="L5682" t="s">
        <v>432</v>
      </c>
      <c r="M5682" t="s">
        <v>57</v>
      </c>
      <c r="N5682" t="str">
        <f>"048223"</f>
        <v>048223</v>
      </c>
      <c r="O5682" t="s">
        <v>263</v>
      </c>
      <c r="P5682" t="s">
        <v>68</v>
      </c>
      <c r="Q5682">
        <v>45</v>
      </c>
      <c r="R5682">
        <v>48</v>
      </c>
      <c r="S5682" t="s">
        <v>156</v>
      </c>
    </row>
    <row r="5683" spans="1:19" x14ac:dyDescent="0.35">
      <c r="A5683">
        <v>20063</v>
      </c>
      <c r="B5683" t="str">
        <f>"020063"</f>
        <v>020063</v>
      </c>
      <c r="C5683" t="s">
        <v>14908</v>
      </c>
      <c r="D5683" t="s">
        <v>12476</v>
      </c>
      <c r="E5683" t="s">
        <v>3395</v>
      </c>
      <c r="F5683" t="s">
        <v>3396</v>
      </c>
      <c r="G5683" t="s">
        <v>200</v>
      </c>
      <c r="H5683" t="s">
        <v>429</v>
      </c>
      <c r="I5683" t="s">
        <v>430</v>
      </c>
      <c r="J5683" t="s">
        <v>431</v>
      </c>
      <c r="K5683" t="s">
        <v>55</v>
      </c>
      <c r="L5683" t="s">
        <v>432</v>
      </c>
      <c r="M5683" t="s">
        <v>57</v>
      </c>
      <c r="N5683" t="str">
        <f>"048223"</f>
        <v>048223</v>
      </c>
      <c r="O5683" t="s">
        <v>263</v>
      </c>
      <c r="P5683" t="s">
        <v>68</v>
      </c>
      <c r="Q5683">
        <v>45</v>
      </c>
      <c r="R5683">
        <v>48</v>
      </c>
      <c r="S5683" t="s">
        <v>156</v>
      </c>
    </row>
    <row r="5684" spans="1:19" x14ac:dyDescent="0.35">
      <c r="A5684">
        <v>20092</v>
      </c>
      <c r="B5684" t="str">
        <f>"020092"</f>
        <v>020092</v>
      </c>
      <c r="C5684" t="s">
        <v>14909</v>
      </c>
      <c r="D5684" t="s">
        <v>3400</v>
      </c>
      <c r="E5684" t="s">
        <v>12048</v>
      </c>
      <c r="F5684" t="s">
        <v>3396</v>
      </c>
      <c r="G5684" t="s">
        <v>143</v>
      </c>
      <c r="H5684" t="s">
        <v>14910</v>
      </c>
      <c r="I5684" t="s">
        <v>14911</v>
      </c>
      <c r="J5684" t="s">
        <v>3076</v>
      </c>
      <c r="K5684" t="s">
        <v>55</v>
      </c>
      <c r="L5684" t="s">
        <v>3077</v>
      </c>
      <c r="M5684" t="s">
        <v>57</v>
      </c>
      <c r="N5684" t="str">
        <f t="shared" ref="N5684:N5691" si="34">"017093"</f>
        <v>017093</v>
      </c>
      <c r="O5684" t="s">
        <v>13664</v>
      </c>
      <c r="P5684" t="s">
        <v>68</v>
      </c>
      <c r="Q5684">
        <v>58.7</v>
      </c>
      <c r="R5684">
        <v>34.900000000000006</v>
      </c>
      <c r="S5684" t="s">
        <v>69</v>
      </c>
    </row>
    <row r="5685" spans="1:19" x14ac:dyDescent="0.35">
      <c r="A5685">
        <v>20092</v>
      </c>
      <c r="B5685" t="str">
        <f>"020092"</f>
        <v>020092</v>
      </c>
      <c r="C5685" t="s">
        <v>14909</v>
      </c>
      <c r="D5685" t="s">
        <v>12052</v>
      </c>
      <c r="E5685" t="s">
        <v>12048</v>
      </c>
      <c r="F5685" t="s">
        <v>3396</v>
      </c>
      <c r="G5685" t="s">
        <v>143</v>
      </c>
      <c r="H5685" t="s">
        <v>14910</v>
      </c>
      <c r="I5685" t="s">
        <v>14911</v>
      </c>
      <c r="J5685" t="s">
        <v>3076</v>
      </c>
      <c r="K5685" t="s">
        <v>55</v>
      </c>
      <c r="L5685" t="s">
        <v>3077</v>
      </c>
      <c r="M5685" t="s">
        <v>57</v>
      </c>
      <c r="N5685" t="str">
        <f t="shared" si="34"/>
        <v>017093</v>
      </c>
      <c r="O5685" t="s">
        <v>13664</v>
      </c>
      <c r="P5685" t="s">
        <v>68</v>
      </c>
      <c r="Q5685">
        <v>58.7</v>
      </c>
      <c r="R5685">
        <v>34.900000000000006</v>
      </c>
      <c r="S5685" t="s">
        <v>69</v>
      </c>
    </row>
    <row r="5686" spans="1:19" x14ac:dyDescent="0.35">
      <c r="A5686">
        <v>20092</v>
      </c>
      <c r="B5686" t="str">
        <f>"020092"</f>
        <v>020092</v>
      </c>
      <c r="C5686" t="s">
        <v>14909</v>
      </c>
      <c r="D5686" t="s">
        <v>4572</v>
      </c>
      <c r="E5686" t="s">
        <v>12048</v>
      </c>
      <c r="F5686" t="s">
        <v>3396</v>
      </c>
      <c r="G5686" t="s">
        <v>143</v>
      </c>
      <c r="H5686" t="s">
        <v>14910</v>
      </c>
      <c r="I5686" t="s">
        <v>14911</v>
      </c>
      <c r="J5686" t="s">
        <v>3076</v>
      </c>
      <c r="K5686" t="s">
        <v>55</v>
      </c>
      <c r="L5686" t="s">
        <v>3077</v>
      </c>
      <c r="M5686" t="s">
        <v>57</v>
      </c>
      <c r="N5686" t="str">
        <f t="shared" si="34"/>
        <v>017093</v>
      </c>
      <c r="O5686" t="s">
        <v>13664</v>
      </c>
      <c r="P5686" t="s">
        <v>68</v>
      </c>
      <c r="Q5686">
        <v>58.7</v>
      </c>
      <c r="R5686">
        <v>34.900000000000006</v>
      </c>
      <c r="S5686" t="s">
        <v>69</v>
      </c>
    </row>
    <row r="5687" spans="1:19" x14ac:dyDescent="0.35">
      <c r="A5687">
        <v>20076</v>
      </c>
      <c r="B5687" t="str">
        <f>"020076"</f>
        <v>020076</v>
      </c>
      <c r="C5687" t="s">
        <v>14912</v>
      </c>
      <c r="D5687" t="s">
        <v>3400</v>
      </c>
      <c r="E5687" t="s">
        <v>12048</v>
      </c>
      <c r="F5687" t="s">
        <v>3396</v>
      </c>
      <c r="G5687" t="s">
        <v>63</v>
      </c>
      <c r="H5687" t="s">
        <v>14913</v>
      </c>
      <c r="I5687" t="s">
        <v>14914</v>
      </c>
      <c r="J5687" t="s">
        <v>1863</v>
      </c>
      <c r="K5687" t="s">
        <v>55</v>
      </c>
      <c r="L5687" t="s">
        <v>1864</v>
      </c>
      <c r="M5687" t="s">
        <v>57</v>
      </c>
      <c r="N5687" t="str">
        <f t="shared" si="34"/>
        <v>017093</v>
      </c>
      <c r="O5687" t="s">
        <v>13664</v>
      </c>
      <c r="P5687" t="s">
        <v>68</v>
      </c>
      <c r="Q5687">
        <v>45.5</v>
      </c>
      <c r="R5687">
        <v>100</v>
      </c>
      <c r="S5687" t="s">
        <v>69</v>
      </c>
    </row>
    <row r="5688" spans="1:19" x14ac:dyDescent="0.35">
      <c r="A5688">
        <v>20076</v>
      </c>
      <c r="B5688" t="str">
        <f>"020076"</f>
        <v>020076</v>
      </c>
      <c r="C5688" t="s">
        <v>14912</v>
      </c>
      <c r="D5688" t="s">
        <v>12052</v>
      </c>
      <c r="E5688" t="s">
        <v>12048</v>
      </c>
      <c r="F5688" t="s">
        <v>3396</v>
      </c>
      <c r="G5688" t="s">
        <v>63</v>
      </c>
      <c r="H5688" t="s">
        <v>14913</v>
      </c>
      <c r="I5688" t="s">
        <v>14914</v>
      </c>
      <c r="J5688" t="s">
        <v>1863</v>
      </c>
      <c r="K5688" t="s">
        <v>55</v>
      </c>
      <c r="L5688" t="s">
        <v>1864</v>
      </c>
      <c r="M5688" t="s">
        <v>57</v>
      </c>
      <c r="N5688" t="str">
        <f t="shared" si="34"/>
        <v>017093</v>
      </c>
      <c r="O5688" t="s">
        <v>13664</v>
      </c>
      <c r="P5688" t="s">
        <v>68</v>
      </c>
      <c r="Q5688">
        <v>45.5</v>
      </c>
      <c r="R5688">
        <v>100</v>
      </c>
      <c r="S5688" t="s">
        <v>69</v>
      </c>
    </row>
    <row r="5689" spans="1:19" x14ac:dyDescent="0.35">
      <c r="A5689">
        <v>20076</v>
      </c>
      <c r="B5689" t="str">
        <f>"020076"</f>
        <v>020076</v>
      </c>
      <c r="C5689" t="s">
        <v>14912</v>
      </c>
      <c r="D5689" t="s">
        <v>4572</v>
      </c>
      <c r="E5689" t="s">
        <v>12048</v>
      </c>
      <c r="F5689" t="s">
        <v>3396</v>
      </c>
      <c r="G5689" t="s">
        <v>63</v>
      </c>
      <c r="H5689" t="s">
        <v>14913</v>
      </c>
      <c r="I5689" t="s">
        <v>14914</v>
      </c>
      <c r="J5689" t="s">
        <v>1863</v>
      </c>
      <c r="K5689" t="s">
        <v>55</v>
      </c>
      <c r="L5689" t="s">
        <v>1864</v>
      </c>
      <c r="M5689" t="s">
        <v>57</v>
      </c>
      <c r="N5689" t="str">
        <f t="shared" si="34"/>
        <v>017093</v>
      </c>
      <c r="O5689" t="s">
        <v>13664</v>
      </c>
      <c r="P5689" t="s">
        <v>68</v>
      </c>
      <c r="Q5689">
        <v>45.5</v>
      </c>
      <c r="R5689">
        <v>100</v>
      </c>
      <c r="S5689" t="s">
        <v>69</v>
      </c>
    </row>
    <row r="5690" spans="1:19" x14ac:dyDescent="0.35">
      <c r="A5690">
        <v>20077</v>
      </c>
      <c r="B5690" t="str">
        <f>"020077"</f>
        <v>020077</v>
      </c>
      <c r="C5690" t="s">
        <v>14915</v>
      </c>
      <c r="D5690" t="s">
        <v>12052</v>
      </c>
      <c r="E5690" t="s">
        <v>12048</v>
      </c>
      <c r="F5690" t="s">
        <v>3396</v>
      </c>
      <c r="G5690" t="s">
        <v>63</v>
      </c>
      <c r="H5690" t="s">
        <v>14916</v>
      </c>
      <c r="I5690" t="s">
        <v>14917</v>
      </c>
      <c r="J5690" t="s">
        <v>3051</v>
      </c>
      <c r="K5690" t="s">
        <v>55</v>
      </c>
      <c r="L5690" t="s">
        <v>3052</v>
      </c>
      <c r="M5690" t="s">
        <v>57</v>
      </c>
      <c r="N5690" t="str">
        <f t="shared" si="34"/>
        <v>017093</v>
      </c>
      <c r="O5690" t="s">
        <v>13664</v>
      </c>
      <c r="P5690" t="s">
        <v>68</v>
      </c>
      <c r="Q5690">
        <v>0</v>
      </c>
      <c r="R5690">
        <v>100</v>
      </c>
      <c r="S5690" t="s">
        <v>69</v>
      </c>
    </row>
    <row r="5691" spans="1:19" x14ac:dyDescent="0.35">
      <c r="A5691">
        <v>20077</v>
      </c>
      <c r="B5691" t="str">
        <f>"020077"</f>
        <v>020077</v>
      </c>
      <c r="C5691" t="s">
        <v>14915</v>
      </c>
      <c r="D5691" t="s">
        <v>4572</v>
      </c>
      <c r="E5691" t="s">
        <v>12048</v>
      </c>
      <c r="F5691" t="s">
        <v>3396</v>
      </c>
      <c r="G5691" t="s">
        <v>63</v>
      </c>
      <c r="H5691" t="s">
        <v>14916</v>
      </c>
      <c r="I5691" t="s">
        <v>14917</v>
      </c>
      <c r="J5691" t="s">
        <v>3051</v>
      </c>
      <c r="K5691" t="s">
        <v>55</v>
      </c>
      <c r="L5691" t="s">
        <v>3052</v>
      </c>
      <c r="M5691" t="s">
        <v>57</v>
      </c>
      <c r="N5691" t="str">
        <f t="shared" si="34"/>
        <v>017093</v>
      </c>
      <c r="O5691" t="s">
        <v>13664</v>
      </c>
      <c r="P5691" t="s">
        <v>68</v>
      </c>
      <c r="Q5691">
        <v>0</v>
      </c>
      <c r="R5691">
        <v>100</v>
      </c>
      <c r="S5691" t="s">
        <v>69</v>
      </c>
    </row>
    <row r="5692" spans="1:19" x14ac:dyDescent="0.35">
      <c r="A5692">
        <v>20078</v>
      </c>
      <c r="B5692" t="str">
        <f>"020078"</f>
        <v>020078</v>
      </c>
      <c r="C5692" t="s">
        <v>14918</v>
      </c>
      <c r="D5692" t="s">
        <v>3398</v>
      </c>
      <c r="E5692" t="s">
        <v>12048</v>
      </c>
      <c r="F5692" t="s">
        <v>3396</v>
      </c>
      <c r="G5692" t="s">
        <v>63</v>
      </c>
      <c r="H5692" t="s">
        <v>14919</v>
      </c>
      <c r="I5692" t="s">
        <v>14920</v>
      </c>
      <c r="J5692" t="s">
        <v>795</v>
      </c>
      <c r="K5692" t="s">
        <v>55</v>
      </c>
      <c r="L5692" t="s">
        <v>796</v>
      </c>
      <c r="M5692" t="s">
        <v>57</v>
      </c>
      <c r="N5692" t="str">
        <f>"019998"</f>
        <v>019998</v>
      </c>
      <c r="O5692" t="s">
        <v>12528</v>
      </c>
      <c r="P5692" t="s">
        <v>68</v>
      </c>
      <c r="Q5692">
        <v>45.8</v>
      </c>
      <c r="R5692">
        <v>38.6</v>
      </c>
      <c r="S5692" t="s">
        <v>69</v>
      </c>
    </row>
    <row r="5693" spans="1:19" x14ac:dyDescent="0.35">
      <c r="A5693">
        <v>20078</v>
      </c>
      <c r="B5693" t="str">
        <f>"020078"</f>
        <v>020078</v>
      </c>
      <c r="C5693" t="s">
        <v>14918</v>
      </c>
      <c r="D5693" t="s">
        <v>12052</v>
      </c>
      <c r="E5693" t="s">
        <v>12048</v>
      </c>
      <c r="F5693" t="s">
        <v>3396</v>
      </c>
      <c r="G5693" t="s">
        <v>63</v>
      </c>
      <c r="H5693" t="s">
        <v>14919</v>
      </c>
      <c r="I5693" t="s">
        <v>14920</v>
      </c>
      <c r="J5693" t="s">
        <v>795</v>
      </c>
      <c r="K5693" t="s">
        <v>55</v>
      </c>
      <c r="L5693" t="s">
        <v>796</v>
      </c>
      <c r="M5693" t="s">
        <v>57</v>
      </c>
      <c r="N5693" t="str">
        <f>"019998"</f>
        <v>019998</v>
      </c>
      <c r="O5693" t="s">
        <v>12528</v>
      </c>
      <c r="P5693" t="s">
        <v>68</v>
      </c>
      <c r="Q5693">
        <v>45.8</v>
      </c>
      <c r="R5693">
        <v>38.6</v>
      </c>
      <c r="S5693" t="s">
        <v>69</v>
      </c>
    </row>
    <row r="5694" spans="1:19" x14ac:dyDescent="0.35">
      <c r="A5694">
        <v>20078</v>
      </c>
      <c r="B5694" t="str">
        <f>"020078"</f>
        <v>020078</v>
      </c>
      <c r="C5694" t="s">
        <v>14918</v>
      </c>
      <c r="D5694" t="s">
        <v>12476</v>
      </c>
      <c r="E5694" t="s">
        <v>12048</v>
      </c>
      <c r="F5694" t="s">
        <v>3396</v>
      </c>
      <c r="G5694" t="s">
        <v>63</v>
      </c>
      <c r="H5694" t="s">
        <v>14919</v>
      </c>
      <c r="I5694" t="s">
        <v>14920</v>
      </c>
      <c r="J5694" t="s">
        <v>795</v>
      </c>
      <c r="K5694" t="s">
        <v>55</v>
      </c>
      <c r="L5694" t="s">
        <v>796</v>
      </c>
      <c r="M5694" t="s">
        <v>57</v>
      </c>
      <c r="N5694" t="str">
        <f>"019998"</f>
        <v>019998</v>
      </c>
      <c r="O5694" t="s">
        <v>12528</v>
      </c>
      <c r="P5694" t="s">
        <v>68</v>
      </c>
      <c r="Q5694">
        <v>45.8</v>
      </c>
      <c r="R5694">
        <v>38.6</v>
      </c>
      <c r="S5694" t="s">
        <v>69</v>
      </c>
    </row>
    <row r="5695" spans="1:19" x14ac:dyDescent="0.35">
      <c r="A5695">
        <v>20078</v>
      </c>
      <c r="B5695" t="str">
        <f>"020078"</f>
        <v>020078</v>
      </c>
      <c r="C5695" t="s">
        <v>14918</v>
      </c>
      <c r="D5695" t="s">
        <v>12063</v>
      </c>
      <c r="E5695" t="s">
        <v>12048</v>
      </c>
      <c r="F5695" t="s">
        <v>3396</v>
      </c>
      <c r="G5695" t="s">
        <v>63</v>
      </c>
      <c r="H5695" t="s">
        <v>14919</v>
      </c>
      <c r="I5695" t="s">
        <v>14920</v>
      </c>
      <c r="J5695" t="s">
        <v>795</v>
      </c>
      <c r="K5695" t="s">
        <v>55</v>
      </c>
      <c r="L5695" t="s">
        <v>796</v>
      </c>
      <c r="M5695" t="s">
        <v>57</v>
      </c>
      <c r="N5695" t="str">
        <f>"019998"</f>
        <v>019998</v>
      </c>
      <c r="O5695" t="s">
        <v>12528</v>
      </c>
      <c r="P5695" t="s">
        <v>68</v>
      </c>
      <c r="Q5695">
        <v>45.8</v>
      </c>
      <c r="R5695">
        <v>38.6</v>
      </c>
      <c r="S5695" t="s">
        <v>69</v>
      </c>
    </row>
    <row r="5696" spans="1:19" x14ac:dyDescent="0.35">
      <c r="A5696">
        <v>20064</v>
      </c>
      <c r="B5696" t="str">
        <f>"020064"</f>
        <v>020064</v>
      </c>
      <c r="C5696" t="s">
        <v>14921</v>
      </c>
      <c r="D5696" t="s">
        <v>3400</v>
      </c>
      <c r="E5696" t="s">
        <v>3395</v>
      </c>
      <c r="F5696" t="s">
        <v>3396</v>
      </c>
      <c r="G5696" t="s">
        <v>52</v>
      </c>
      <c r="H5696" t="s">
        <v>14922</v>
      </c>
      <c r="I5696" t="s">
        <v>14923</v>
      </c>
      <c r="J5696" t="s">
        <v>52</v>
      </c>
      <c r="K5696" t="s">
        <v>55</v>
      </c>
      <c r="L5696" t="s">
        <v>56</v>
      </c>
      <c r="M5696" t="s">
        <v>57</v>
      </c>
      <c r="N5696" t="str">
        <f>"046763"</f>
        <v>046763</v>
      </c>
      <c r="O5696" t="s">
        <v>2667</v>
      </c>
      <c r="P5696" t="s">
        <v>68</v>
      </c>
      <c r="Q5696" t="s">
        <v>68</v>
      </c>
      <c r="R5696" t="s">
        <v>68</v>
      </c>
      <c r="S5696" t="s">
        <v>60</v>
      </c>
    </row>
    <row r="5697" spans="1:19" x14ac:dyDescent="0.35">
      <c r="A5697">
        <v>20079</v>
      </c>
      <c r="B5697" t="str">
        <f>"020079"</f>
        <v>020079</v>
      </c>
      <c r="C5697" t="s">
        <v>14924</v>
      </c>
      <c r="D5697" t="s">
        <v>3398</v>
      </c>
      <c r="E5697" t="s">
        <v>3395</v>
      </c>
      <c r="F5697" t="s">
        <v>3396</v>
      </c>
      <c r="G5697" t="s">
        <v>600</v>
      </c>
      <c r="H5697" t="s">
        <v>14925</v>
      </c>
      <c r="I5697" t="s">
        <v>14926</v>
      </c>
      <c r="J5697" t="s">
        <v>1956</v>
      </c>
      <c r="K5697" t="s">
        <v>55</v>
      </c>
      <c r="L5697" t="s">
        <v>1957</v>
      </c>
      <c r="M5697" t="s">
        <v>57</v>
      </c>
      <c r="N5697" t="str">
        <f>"047027"</f>
        <v>047027</v>
      </c>
      <c r="O5697" t="s">
        <v>1953</v>
      </c>
      <c r="P5697" t="s">
        <v>68</v>
      </c>
      <c r="Q5697">
        <v>23.8</v>
      </c>
      <c r="R5697">
        <v>63.5</v>
      </c>
      <c r="S5697" t="s">
        <v>60</v>
      </c>
    </row>
    <row r="5698" spans="1:19" x14ac:dyDescent="0.35">
      <c r="A5698">
        <v>20079</v>
      </c>
      <c r="B5698" t="str">
        <f>"020079"</f>
        <v>020079</v>
      </c>
      <c r="C5698" t="s">
        <v>14924</v>
      </c>
      <c r="D5698" t="s">
        <v>12476</v>
      </c>
      <c r="E5698" t="s">
        <v>3395</v>
      </c>
      <c r="F5698" t="s">
        <v>3396</v>
      </c>
      <c r="G5698" t="s">
        <v>600</v>
      </c>
      <c r="H5698" t="s">
        <v>14925</v>
      </c>
      <c r="I5698" t="s">
        <v>14926</v>
      </c>
      <c r="J5698" t="s">
        <v>1956</v>
      </c>
      <c r="K5698" t="s">
        <v>55</v>
      </c>
      <c r="L5698" t="s">
        <v>1957</v>
      </c>
      <c r="M5698" t="s">
        <v>57</v>
      </c>
      <c r="N5698" t="str">
        <f>"047027"</f>
        <v>047027</v>
      </c>
      <c r="O5698" t="s">
        <v>1953</v>
      </c>
      <c r="P5698" t="s">
        <v>68</v>
      </c>
      <c r="Q5698">
        <v>23.8</v>
      </c>
      <c r="R5698">
        <v>63.5</v>
      </c>
      <c r="S5698" t="s">
        <v>60</v>
      </c>
    </row>
    <row r="5699" spans="1:19" x14ac:dyDescent="0.35">
      <c r="A5699">
        <v>20109</v>
      </c>
      <c r="B5699" t="str">
        <f>"020109"</f>
        <v>020109</v>
      </c>
      <c r="C5699" t="s">
        <v>14927</v>
      </c>
      <c r="D5699" t="s">
        <v>3400</v>
      </c>
      <c r="E5699" t="s">
        <v>3395</v>
      </c>
      <c r="F5699" t="s">
        <v>3396</v>
      </c>
      <c r="G5699" t="s">
        <v>63</v>
      </c>
      <c r="H5699" t="s">
        <v>14928</v>
      </c>
      <c r="I5699" t="s">
        <v>14929</v>
      </c>
      <c r="J5699" t="s">
        <v>1236</v>
      </c>
      <c r="K5699" t="s">
        <v>55</v>
      </c>
      <c r="L5699" t="s">
        <v>1237</v>
      </c>
      <c r="M5699" t="s">
        <v>57</v>
      </c>
      <c r="N5699" t="str">
        <f>"043901"</f>
        <v>043901</v>
      </c>
      <c r="O5699" t="s">
        <v>3351</v>
      </c>
      <c r="P5699" t="s">
        <v>68</v>
      </c>
      <c r="Q5699">
        <v>100</v>
      </c>
      <c r="R5699">
        <v>100</v>
      </c>
      <c r="S5699" t="s">
        <v>69</v>
      </c>
    </row>
    <row r="5700" spans="1:19" x14ac:dyDescent="0.35">
      <c r="A5700">
        <v>20218</v>
      </c>
      <c r="B5700" t="str">
        <f>"020218"</f>
        <v>020218</v>
      </c>
      <c r="C5700" t="s">
        <v>14930</v>
      </c>
      <c r="D5700" t="s">
        <v>3398</v>
      </c>
      <c r="E5700" t="s">
        <v>12048</v>
      </c>
      <c r="F5700" t="s">
        <v>3396</v>
      </c>
      <c r="G5700" t="s">
        <v>63</v>
      </c>
      <c r="H5700" t="s">
        <v>14931</v>
      </c>
      <c r="I5700" t="s">
        <v>14932</v>
      </c>
      <c r="J5700" t="s">
        <v>285</v>
      </c>
      <c r="K5700" t="s">
        <v>55</v>
      </c>
      <c r="L5700" t="s">
        <v>5493</v>
      </c>
      <c r="M5700" t="s">
        <v>57</v>
      </c>
      <c r="N5700" t="str">
        <f>"N/A"</f>
        <v>N/A</v>
      </c>
      <c r="O5700" t="s">
        <v>49</v>
      </c>
      <c r="P5700" t="s">
        <v>68</v>
      </c>
      <c r="Q5700" t="s">
        <v>68</v>
      </c>
      <c r="R5700" t="s">
        <v>68</v>
      </c>
      <c r="S5700" t="s">
        <v>69</v>
      </c>
    </row>
    <row r="5701" spans="1:19" x14ac:dyDescent="0.35">
      <c r="A5701">
        <v>20112</v>
      </c>
      <c r="B5701" t="str">
        <f>"020112"</f>
        <v>020112</v>
      </c>
      <c r="C5701" t="s">
        <v>14933</v>
      </c>
      <c r="D5701" t="s">
        <v>3398</v>
      </c>
      <c r="E5701" t="s">
        <v>3395</v>
      </c>
      <c r="F5701" t="s">
        <v>3396</v>
      </c>
      <c r="G5701" t="s">
        <v>110</v>
      </c>
      <c r="H5701" t="s">
        <v>14934</v>
      </c>
      <c r="I5701" t="s">
        <v>14935</v>
      </c>
      <c r="J5701" t="s">
        <v>1027</v>
      </c>
      <c r="K5701" t="s">
        <v>55</v>
      </c>
      <c r="L5701" t="s">
        <v>1028</v>
      </c>
      <c r="M5701" t="s">
        <v>57</v>
      </c>
      <c r="N5701" t="str">
        <f>"048041"</f>
        <v>048041</v>
      </c>
      <c r="O5701" t="s">
        <v>2424</v>
      </c>
      <c r="P5701" t="s">
        <v>68</v>
      </c>
      <c r="Q5701">
        <v>35.200000000000003</v>
      </c>
      <c r="R5701">
        <v>18.5</v>
      </c>
      <c r="S5701" t="s">
        <v>60</v>
      </c>
    </row>
    <row r="5702" spans="1:19" x14ac:dyDescent="0.35">
      <c r="A5702">
        <v>20112</v>
      </c>
      <c r="B5702" t="str">
        <f>"020112"</f>
        <v>020112</v>
      </c>
      <c r="C5702" t="s">
        <v>14933</v>
      </c>
      <c r="D5702" t="s">
        <v>12476</v>
      </c>
      <c r="E5702" t="s">
        <v>3395</v>
      </c>
      <c r="F5702" t="s">
        <v>3396</v>
      </c>
      <c r="G5702" t="s">
        <v>110</v>
      </c>
      <c r="H5702" t="s">
        <v>14934</v>
      </c>
      <c r="I5702" t="s">
        <v>14935</v>
      </c>
      <c r="J5702" t="s">
        <v>1027</v>
      </c>
      <c r="K5702" t="s">
        <v>55</v>
      </c>
      <c r="L5702" t="s">
        <v>1028</v>
      </c>
      <c r="M5702" t="s">
        <v>57</v>
      </c>
      <c r="N5702" t="str">
        <f>"048041"</f>
        <v>048041</v>
      </c>
      <c r="O5702" t="s">
        <v>2424</v>
      </c>
      <c r="P5702" t="s">
        <v>68</v>
      </c>
      <c r="Q5702">
        <v>35.200000000000003</v>
      </c>
      <c r="R5702">
        <v>18.5</v>
      </c>
      <c r="S5702" t="s">
        <v>60</v>
      </c>
    </row>
    <row r="5703" spans="1:19" x14ac:dyDescent="0.35">
      <c r="A5703">
        <v>20104</v>
      </c>
      <c r="B5703" t="str">
        <f>"020104"</f>
        <v>020104</v>
      </c>
      <c r="C5703" t="s">
        <v>14936</v>
      </c>
      <c r="D5703" t="s">
        <v>3394</v>
      </c>
      <c r="E5703" t="s">
        <v>9538</v>
      </c>
      <c r="F5703" t="s">
        <v>3396</v>
      </c>
      <c r="G5703" t="s">
        <v>63</v>
      </c>
      <c r="H5703" t="s">
        <v>14937</v>
      </c>
      <c r="I5703" t="s">
        <v>14938</v>
      </c>
      <c r="J5703" t="s">
        <v>3051</v>
      </c>
      <c r="K5703" t="s">
        <v>55</v>
      </c>
      <c r="L5703" t="s">
        <v>3052</v>
      </c>
      <c r="M5703" t="s">
        <v>57</v>
      </c>
      <c r="N5703" t="str">
        <f>"020104"</f>
        <v>020104</v>
      </c>
      <c r="O5703" t="s">
        <v>14936</v>
      </c>
      <c r="P5703" t="s">
        <v>68</v>
      </c>
      <c r="Q5703" t="s">
        <v>68</v>
      </c>
      <c r="R5703" t="s">
        <v>68</v>
      </c>
      <c r="S5703" t="s">
        <v>69</v>
      </c>
    </row>
    <row r="5704" spans="1:19" x14ac:dyDescent="0.35">
      <c r="A5704">
        <v>20186</v>
      </c>
      <c r="B5704" t="str">
        <f>"020186"</f>
        <v>020186</v>
      </c>
      <c r="C5704" t="s">
        <v>14939</v>
      </c>
      <c r="D5704" t="s">
        <v>3398</v>
      </c>
      <c r="E5704" t="s">
        <v>12048</v>
      </c>
      <c r="F5704" t="s">
        <v>3396</v>
      </c>
      <c r="G5704" t="s">
        <v>143</v>
      </c>
      <c r="H5704" t="s">
        <v>14940</v>
      </c>
      <c r="I5704" t="s">
        <v>14941</v>
      </c>
      <c r="J5704" t="s">
        <v>143</v>
      </c>
      <c r="K5704" t="s">
        <v>55</v>
      </c>
      <c r="L5704" t="s">
        <v>5382</v>
      </c>
      <c r="M5704" t="s">
        <v>57</v>
      </c>
      <c r="N5704" t="str">
        <f t="shared" ref="N5704:N5709" si="35">"017093"</f>
        <v>017093</v>
      </c>
      <c r="O5704" t="s">
        <v>13664</v>
      </c>
      <c r="P5704" t="s">
        <v>68</v>
      </c>
      <c r="Q5704">
        <v>69.5</v>
      </c>
      <c r="R5704">
        <v>74.599999999999994</v>
      </c>
      <c r="S5704" t="s">
        <v>69</v>
      </c>
    </row>
    <row r="5705" spans="1:19" x14ac:dyDescent="0.35">
      <c r="A5705">
        <v>20186</v>
      </c>
      <c r="B5705" t="str">
        <f>"020186"</f>
        <v>020186</v>
      </c>
      <c r="C5705" t="s">
        <v>14939</v>
      </c>
      <c r="D5705" t="s">
        <v>12052</v>
      </c>
      <c r="E5705" t="s">
        <v>12048</v>
      </c>
      <c r="F5705" t="s">
        <v>3396</v>
      </c>
      <c r="G5705" t="s">
        <v>143</v>
      </c>
      <c r="H5705" t="s">
        <v>14940</v>
      </c>
      <c r="I5705" t="s">
        <v>14941</v>
      </c>
      <c r="J5705" t="s">
        <v>143</v>
      </c>
      <c r="K5705" t="s">
        <v>55</v>
      </c>
      <c r="L5705" t="s">
        <v>5382</v>
      </c>
      <c r="M5705" t="s">
        <v>57</v>
      </c>
      <c r="N5705" t="str">
        <f t="shared" si="35"/>
        <v>017093</v>
      </c>
      <c r="O5705" t="s">
        <v>13664</v>
      </c>
      <c r="P5705" t="s">
        <v>68</v>
      </c>
      <c r="Q5705">
        <v>69.5</v>
      </c>
      <c r="R5705">
        <v>74.599999999999994</v>
      </c>
      <c r="S5705" t="s">
        <v>69</v>
      </c>
    </row>
    <row r="5706" spans="1:19" x14ac:dyDescent="0.35">
      <c r="A5706">
        <v>20186</v>
      </c>
      <c r="B5706" t="str">
        <f>"020186"</f>
        <v>020186</v>
      </c>
      <c r="C5706" t="s">
        <v>14939</v>
      </c>
      <c r="D5706" t="s">
        <v>4572</v>
      </c>
      <c r="E5706" t="s">
        <v>12048</v>
      </c>
      <c r="F5706" t="s">
        <v>3396</v>
      </c>
      <c r="G5706" t="s">
        <v>143</v>
      </c>
      <c r="H5706" t="s">
        <v>14940</v>
      </c>
      <c r="I5706" t="s">
        <v>14941</v>
      </c>
      <c r="J5706" t="s">
        <v>143</v>
      </c>
      <c r="K5706" t="s">
        <v>55</v>
      </c>
      <c r="L5706" t="s">
        <v>5382</v>
      </c>
      <c r="M5706" t="s">
        <v>57</v>
      </c>
      <c r="N5706" t="str">
        <f t="shared" si="35"/>
        <v>017093</v>
      </c>
      <c r="O5706" t="s">
        <v>13664</v>
      </c>
      <c r="P5706" t="s">
        <v>68</v>
      </c>
      <c r="Q5706">
        <v>69.5</v>
      </c>
      <c r="R5706">
        <v>74.599999999999994</v>
      </c>
      <c r="S5706" t="s">
        <v>69</v>
      </c>
    </row>
    <row r="5707" spans="1:19" x14ac:dyDescent="0.35">
      <c r="A5707">
        <v>20189</v>
      </c>
      <c r="B5707" t="str">
        <f>"020189"</f>
        <v>020189</v>
      </c>
      <c r="C5707" t="s">
        <v>14942</v>
      </c>
      <c r="D5707" t="s">
        <v>3394</v>
      </c>
      <c r="E5707" t="s">
        <v>12048</v>
      </c>
      <c r="F5707" t="s">
        <v>3396</v>
      </c>
      <c r="G5707" t="s">
        <v>63</v>
      </c>
      <c r="H5707" t="s">
        <v>14943</v>
      </c>
      <c r="I5707" t="s">
        <v>14944</v>
      </c>
      <c r="J5707" t="s">
        <v>1834</v>
      </c>
      <c r="K5707" t="s">
        <v>55</v>
      </c>
      <c r="L5707" t="s">
        <v>7164</v>
      </c>
      <c r="M5707" t="s">
        <v>57</v>
      </c>
      <c r="N5707" t="str">
        <f t="shared" si="35"/>
        <v>017093</v>
      </c>
      <c r="O5707" t="s">
        <v>13664</v>
      </c>
      <c r="P5707" t="s">
        <v>68</v>
      </c>
      <c r="Q5707">
        <v>46.2</v>
      </c>
      <c r="R5707">
        <v>30.799999999999997</v>
      </c>
      <c r="S5707" t="s">
        <v>69</v>
      </c>
    </row>
    <row r="5708" spans="1:19" x14ac:dyDescent="0.35">
      <c r="A5708">
        <v>20189</v>
      </c>
      <c r="B5708" t="str">
        <f>"020189"</f>
        <v>020189</v>
      </c>
      <c r="C5708" t="s">
        <v>14942</v>
      </c>
      <c r="D5708" t="s">
        <v>12052</v>
      </c>
      <c r="E5708" t="s">
        <v>12048</v>
      </c>
      <c r="F5708" t="s">
        <v>3396</v>
      </c>
      <c r="G5708" t="s">
        <v>63</v>
      </c>
      <c r="H5708" t="s">
        <v>14943</v>
      </c>
      <c r="I5708" t="s">
        <v>14944</v>
      </c>
      <c r="J5708" t="s">
        <v>1834</v>
      </c>
      <c r="K5708" t="s">
        <v>55</v>
      </c>
      <c r="L5708" t="s">
        <v>7164</v>
      </c>
      <c r="M5708" t="s">
        <v>57</v>
      </c>
      <c r="N5708" t="str">
        <f t="shared" si="35"/>
        <v>017093</v>
      </c>
      <c r="O5708" t="s">
        <v>13664</v>
      </c>
      <c r="P5708" t="s">
        <v>68</v>
      </c>
      <c r="Q5708">
        <v>46.2</v>
      </c>
      <c r="R5708">
        <v>30.799999999999997</v>
      </c>
      <c r="S5708" t="s">
        <v>69</v>
      </c>
    </row>
    <row r="5709" spans="1:19" x14ac:dyDescent="0.35">
      <c r="A5709">
        <v>20189</v>
      </c>
      <c r="B5709" t="str">
        <f>"020189"</f>
        <v>020189</v>
      </c>
      <c r="C5709" t="s">
        <v>14942</v>
      </c>
      <c r="D5709" t="s">
        <v>4572</v>
      </c>
      <c r="E5709" t="s">
        <v>12048</v>
      </c>
      <c r="F5709" t="s">
        <v>3396</v>
      </c>
      <c r="G5709" t="s">
        <v>63</v>
      </c>
      <c r="H5709" t="s">
        <v>14943</v>
      </c>
      <c r="I5709" t="s">
        <v>14944</v>
      </c>
      <c r="J5709" t="s">
        <v>1834</v>
      </c>
      <c r="K5709" t="s">
        <v>55</v>
      </c>
      <c r="L5709" t="s">
        <v>7164</v>
      </c>
      <c r="M5709" t="s">
        <v>57</v>
      </c>
      <c r="N5709" t="str">
        <f t="shared" si="35"/>
        <v>017093</v>
      </c>
      <c r="O5709" t="s">
        <v>13664</v>
      </c>
      <c r="P5709" t="s">
        <v>68</v>
      </c>
      <c r="Q5709">
        <v>46.2</v>
      </c>
      <c r="R5709">
        <v>30.799999999999997</v>
      </c>
      <c r="S5709" t="s">
        <v>69</v>
      </c>
    </row>
    <row r="5710" spans="1:19" x14ac:dyDescent="0.35">
      <c r="A5710">
        <v>20136</v>
      </c>
      <c r="B5710" t="str">
        <f>"020136"</f>
        <v>020136</v>
      </c>
      <c r="C5710" t="s">
        <v>14945</v>
      </c>
      <c r="D5710" t="s">
        <v>3394</v>
      </c>
      <c r="E5710" t="s">
        <v>9538</v>
      </c>
      <c r="F5710" t="s">
        <v>3396</v>
      </c>
      <c r="G5710" t="s">
        <v>19</v>
      </c>
      <c r="H5710" t="s">
        <v>14946</v>
      </c>
      <c r="I5710" t="s">
        <v>14947</v>
      </c>
      <c r="J5710" t="s">
        <v>8187</v>
      </c>
      <c r="K5710" t="s">
        <v>55</v>
      </c>
      <c r="L5710" t="s">
        <v>8188</v>
      </c>
      <c r="M5710" t="s">
        <v>57</v>
      </c>
      <c r="N5710" t="str">
        <f>"020136"</f>
        <v>020136</v>
      </c>
      <c r="O5710" t="s">
        <v>14945</v>
      </c>
      <c r="P5710" t="s">
        <v>68</v>
      </c>
      <c r="Q5710" t="s">
        <v>68</v>
      </c>
      <c r="R5710" t="s">
        <v>68</v>
      </c>
      <c r="S5710" t="s">
        <v>217</v>
      </c>
    </row>
    <row r="5711" spans="1:19" x14ac:dyDescent="0.35">
      <c r="A5711">
        <v>20188</v>
      </c>
      <c r="B5711" t="str">
        <f>"020188"</f>
        <v>020188</v>
      </c>
      <c r="C5711" t="s">
        <v>14948</v>
      </c>
      <c r="D5711" t="s">
        <v>3400</v>
      </c>
      <c r="E5711" t="s">
        <v>12048</v>
      </c>
      <c r="F5711" t="s">
        <v>3396</v>
      </c>
      <c r="G5711" t="s">
        <v>406</v>
      </c>
      <c r="H5711" t="s">
        <v>14949</v>
      </c>
      <c r="I5711" t="s">
        <v>14950</v>
      </c>
      <c r="J5711" t="s">
        <v>5871</v>
      </c>
      <c r="K5711" t="s">
        <v>55</v>
      </c>
      <c r="L5711" t="s">
        <v>5872</v>
      </c>
      <c r="M5711" t="s">
        <v>57</v>
      </c>
      <c r="N5711" t="str">
        <f>"017093"</f>
        <v>017093</v>
      </c>
      <c r="O5711" t="s">
        <v>13664</v>
      </c>
      <c r="P5711" t="s">
        <v>68</v>
      </c>
      <c r="Q5711" t="s">
        <v>68</v>
      </c>
      <c r="R5711" t="s">
        <v>68</v>
      </c>
      <c r="S5711" t="s">
        <v>77</v>
      </c>
    </row>
    <row r="5712" spans="1:19" x14ac:dyDescent="0.35">
      <c r="A5712">
        <v>20188</v>
      </c>
      <c r="B5712" t="str">
        <f>"020188"</f>
        <v>020188</v>
      </c>
      <c r="C5712" t="s">
        <v>14948</v>
      </c>
      <c r="D5712" t="s">
        <v>12052</v>
      </c>
      <c r="E5712" t="s">
        <v>12048</v>
      </c>
      <c r="F5712" t="s">
        <v>3396</v>
      </c>
      <c r="G5712" t="s">
        <v>406</v>
      </c>
      <c r="H5712" t="s">
        <v>14949</v>
      </c>
      <c r="I5712" t="s">
        <v>14950</v>
      </c>
      <c r="J5712" t="s">
        <v>5871</v>
      </c>
      <c r="K5712" t="s">
        <v>55</v>
      </c>
      <c r="L5712" t="s">
        <v>5872</v>
      </c>
      <c r="M5712" t="s">
        <v>57</v>
      </c>
      <c r="N5712" t="str">
        <f>"017093"</f>
        <v>017093</v>
      </c>
      <c r="O5712" t="s">
        <v>13664</v>
      </c>
      <c r="P5712" t="s">
        <v>68</v>
      </c>
      <c r="Q5712" t="s">
        <v>68</v>
      </c>
      <c r="R5712" t="s">
        <v>68</v>
      </c>
      <c r="S5712" t="s">
        <v>77</v>
      </c>
    </row>
    <row r="5713" spans="1:19" x14ac:dyDescent="0.35">
      <c r="A5713">
        <v>20188</v>
      </c>
      <c r="B5713" t="str">
        <f>"020188"</f>
        <v>020188</v>
      </c>
      <c r="C5713" t="s">
        <v>14948</v>
      </c>
      <c r="D5713" t="s">
        <v>4572</v>
      </c>
      <c r="E5713" t="s">
        <v>12048</v>
      </c>
      <c r="F5713" t="s">
        <v>3396</v>
      </c>
      <c r="G5713" t="s">
        <v>406</v>
      </c>
      <c r="H5713" t="s">
        <v>14949</v>
      </c>
      <c r="I5713" t="s">
        <v>14950</v>
      </c>
      <c r="J5713" t="s">
        <v>5871</v>
      </c>
      <c r="K5713" t="s">
        <v>55</v>
      </c>
      <c r="L5713" t="s">
        <v>5872</v>
      </c>
      <c r="M5713" t="s">
        <v>57</v>
      </c>
      <c r="N5713" t="str">
        <f>"017093"</f>
        <v>017093</v>
      </c>
      <c r="O5713" t="s">
        <v>13664</v>
      </c>
      <c r="P5713" t="s">
        <v>68</v>
      </c>
      <c r="Q5713" t="s">
        <v>68</v>
      </c>
      <c r="R5713" t="s">
        <v>68</v>
      </c>
      <c r="S5713" t="s">
        <v>77</v>
      </c>
    </row>
    <row r="5714" spans="1:19" x14ac:dyDescent="0.35">
      <c r="A5714">
        <v>20246</v>
      </c>
      <c r="B5714" t="str">
        <f>"020246"</f>
        <v>020246</v>
      </c>
      <c r="C5714" t="s">
        <v>14951</v>
      </c>
      <c r="D5714" t="s">
        <v>3398</v>
      </c>
      <c r="E5714" t="s">
        <v>3395</v>
      </c>
      <c r="F5714" t="s">
        <v>3396</v>
      </c>
      <c r="G5714" t="s">
        <v>543</v>
      </c>
      <c r="H5714" t="s">
        <v>14952</v>
      </c>
      <c r="I5714" t="s">
        <v>14953</v>
      </c>
      <c r="J5714" t="s">
        <v>687</v>
      </c>
      <c r="K5714" t="s">
        <v>55</v>
      </c>
      <c r="L5714" t="s">
        <v>1990</v>
      </c>
      <c r="M5714" t="s">
        <v>57</v>
      </c>
      <c r="N5714" t="str">
        <f>"043844"</f>
        <v>043844</v>
      </c>
      <c r="O5714" t="s">
        <v>985</v>
      </c>
      <c r="P5714" t="s">
        <v>68</v>
      </c>
      <c r="Q5714">
        <v>92.4</v>
      </c>
      <c r="R5714">
        <v>86.3</v>
      </c>
      <c r="S5714" t="s">
        <v>180</v>
      </c>
    </row>
    <row r="5715" spans="1:19" x14ac:dyDescent="0.35">
      <c r="A5715">
        <v>20245</v>
      </c>
      <c r="B5715" t="str">
        <f>"020245"</f>
        <v>020245</v>
      </c>
      <c r="C5715" t="s">
        <v>14954</v>
      </c>
      <c r="D5715" t="s">
        <v>3398</v>
      </c>
      <c r="E5715" t="s">
        <v>3395</v>
      </c>
      <c r="F5715" t="s">
        <v>3396</v>
      </c>
      <c r="G5715" t="s">
        <v>600</v>
      </c>
      <c r="H5715" t="s">
        <v>8966</v>
      </c>
      <c r="I5715" t="s">
        <v>8967</v>
      </c>
      <c r="J5715" t="s">
        <v>1348</v>
      </c>
      <c r="K5715" t="s">
        <v>55</v>
      </c>
      <c r="L5715" t="s">
        <v>6119</v>
      </c>
      <c r="M5715" t="s">
        <v>57</v>
      </c>
      <c r="N5715" t="str">
        <f>"043802"</f>
        <v>043802</v>
      </c>
      <c r="O5715" t="s">
        <v>3171</v>
      </c>
      <c r="P5715" t="s">
        <v>68</v>
      </c>
      <c r="Q5715">
        <v>100</v>
      </c>
      <c r="R5715">
        <v>74.400000000000006</v>
      </c>
      <c r="S5715" t="s">
        <v>60</v>
      </c>
    </row>
    <row r="5716" spans="1:19" x14ac:dyDescent="0.35">
      <c r="A5716">
        <v>20245</v>
      </c>
      <c r="B5716" t="str">
        <f>"020245"</f>
        <v>020245</v>
      </c>
      <c r="C5716" t="s">
        <v>14954</v>
      </c>
      <c r="D5716" t="s">
        <v>12476</v>
      </c>
      <c r="E5716" t="s">
        <v>3395</v>
      </c>
      <c r="F5716" t="s">
        <v>3396</v>
      </c>
      <c r="G5716" t="s">
        <v>600</v>
      </c>
      <c r="H5716" t="s">
        <v>8966</v>
      </c>
      <c r="I5716" t="s">
        <v>8967</v>
      </c>
      <c r="J5716" t="s">
        <v>1348</v>
      </c>
      <c r="K5716" t="s">
        <v>55</v>
      </c>
      <c r="L5716" t="s">
        <v>6119</v>
      </c>
      <c r="M5716" t="s">
        <v>57</v>
      </c>
      <c r="N5716" t="str">
        <f>"043802"</f>
        <v>043802</v>
      </c>
      <c r="O5716" t="s">
        <v>3171</v>
      </c>
      <c r="P5716" t="s">
        <v>68</v>
      </c>
      <c r="Q5716">
        <v>100</v>
      </c>
      <c r="R5716">
        <v>74.400000000000006</v>
      </c>
      <c r="S5716" t="s">
        <v>60</v>
      </c>
    </row>
    <row r="5717" spans="1:19" x14ac:dyDescent="0.35">
      <c r="A5717">
        <v>20265</v>
      </c>
      <c r="B5717" t="str">
        <f>"020265"</f>
        <v>020265</v>
      </c>
      <c r="C5717" t="s">
        <v>14955</v>
      </c>
      <c r="D5717" t="s">
        <v>3394</v>
      </c>
      <c r="E5717" t="s">
        <v>12048</v>
      </c>
      <c r="F5717" t="s">
        <v>3396</v>
      </c>
      <c r="G5717" t="s">
        <v>200</v>
      </c>
      <c r="H5717" t="s">
        <v>14956</v>
      </c>
      <c r="I5717" t="s">
        <v>14957</v>
      </c>
      <c r="J5717" t="s">
        <v>304</v>
      </c>
      <c r="K5717" t="s">
        <v>55</v>
      </c>
      <c r="L5717" t="s">
        <v>6203</v>
      </c>
      <c r="M5717" t="s">
        <v>57</v>
      </c>
      <c r="N5717" t="str">
        <f>"014977"</f>
        <v>014977</v>
      </c>
      <c r="O5717" t="s">
        <v>12803</v>
      </c>
      <c r="P5717" t="s">
        <v>68</v>
      </c>
      <c r="Q5717">
        <v>71.400000000000006</v>
      </c>
      <c r="R5717">
        <v>81.400000000000006</v>
      </c>
      <c r="S5717" t="s">
        <v>156</v>
      </c>
    </row>
    <row r="5718" spans="1:19" x14ac:dyDescent="0.35">
      <c r="A5718">
        <v>20265</v>
      </c>
      <c r="B5718" t="str">
        <f>"020265"</f>
        <v>020265</v>
      </c>
      <c r="C5718" t="s">
        <v>14955</v>
      </c>
      <c r="D5718" t="s">
        <v>12052</v>
      </c>
      <c r="E5718" t="s">
        <v>12048</v>
      </c>
      <c r="F5718" t="s">
        <v>3396</v>
      </c>
      <c r="G5718" t="s">
        <v>200</v>
      </c>
      <c r="H5718" t="s">
        <v>14956</v>
      </c>
      <c r="I5718" t="s">
        <v>14957</v>
      </c>
      <c r="J5718" t="s">
        <v>304</v>
      </c>
      <c r="K5718" t="s">
        <v>55</v>
      </c>
      <c r="L5718" t="s">
        <v>6203</v>
      </c>
      <c r="M5718" t="s">
        <v>57</v>
      </c>
      <c r="N5718" t="str">
        <f>"014977"</f>
        <v>014977</v>
      </c>
      <c r="O5718" t="s">
        <v>12803</v>
      </c>
      <c r="P5718" t="s">
        <v>68</v>
      </c>
      <c r="Q5718">
        <v>71.400000000000006</v>
      </c>
      <c r="R5718">
        <v>81.400000000000006</v>
      </c>
      <c r="S5718" t="s">
        <v>156</v>
      </c>
    </row>
    <row r="5719" spans="1:19" x14ac:dyDescent="0.35">
      <c r="A5719">
        <v>20253</v>
      </c>
      <c r="B5719" t="str">
        <f>"020253"</f>
        <v>020253</v>
      </c>
      <c r="C5719" t="s">
        <v>14958</v>
      </c>
      <c r="D5719" t="s">
        <v>3398</v>
      </c>
      <c r="E5719" t="s">
        <v>3395</v>
      </c>
      <c r="F5719" t="s">
        <v>3396</v>
      </c>
      <c r="G5719" t="s">
        <v>821</v>
      </c>
      <c r="H5719" t="s">
        <v>14959</v>
      </c>
      <c r="I5719" t="s">
        <v>823</v>
      </c>
      <c r="J5719" t="s">
        <v>14960</v>
      </c>
      <c r="K5719" t="s">
        <v>55</v>
      </c>
      <c r="L5719" t="s">
        <v>825</v>
      </c>
      <c r="M5719" t="s">
        <v>57</v>
      </c>
      <c r="N5719" t="str">
        <f>"047456"</f>
        <v>047456</v>
      </c>
      <c r="O5719" t="s">
        <v>820</v>
      </c>
      <c r="P5719" t="s">
        <v>68</v>
      </c>
      <c r="Q5719" t="s">
        <v>68</v>
      </c>
      <c r="R5719" t="s">
        <v>68</v>
      </c>
      <c r="S5719" t="s">
        <v>156</v>
      </c>
    </row>
    <row r="5720" spans="1:19" x14ac:dyDescent="0.35">
      <c r="A5720">
        <v>20290</v>
      </c>
      <c r="B5720" t="str">
        <f>"020290"</f>
        <v>020290</v>
      </c>
      <c r="C5720" t="s">
        <v>14961</v>
      </c>
      <c r="D5720" t="s">
        <v>3394</v>
      </c>
      <c r="E5720" t="s">
        <v>3395</v>
      </c>
      <c r="F5720" t="s">
        <v>3396</v>
      </c>
      <c r="G5720" t="s">
        <v>143</v>
      </c>
      <c r="H5720" t="s">
        <v>14962</v>
      </c>
      <c r="I5720" t="s">
        <v>14963</v>
      </c>
      <c r="J5720" t="s">
        <v>143</v>
      </c>
      <c r="K5720" t="s">
        <v>55</v>
      </c>
      <c r="L5720" t="s">
        <v>1033</v>
      </c>
      <c r="M5720" t="s">
        <v>57</v>
      </c>
      <c r="N5720" t="str">
        <f>"044263"</f>
        <v>044263</v>
      </c>
      <c r="O5720" t="s">
        <v>1364</v>
      </c>
      <c r="P5720" t="s">
        <v>68</v>
      </c>
      <c r="Q5720" t="s">
        <v>68</v>
      </c>
      <c r="R5720" t="s">
        <v>68</v>
      </c>
      <c r="S5720" t="s">
        <v>69</v>
      </c>
    </row>
    <row r="5721" spans="1:19" x14ac:dyDescent="0.35">
      <c r="A5721">
        <v>20293</v>
      </c>
      <c r="B5721" t="str">
        <f>"020293"</f>
        <v>020293</v>
      </c>
      <c r="C5721" t="s">
        <v>14964</v>
      </c>
      <c r="D5721" t="s">
        <v>12052</v>
      </c>
      <c r="E5721" t="s">
        <v>12048</v>
      </c>
      <c r="F5721" t="s">
        <v>3396</v>
      </c>
      <c r="G5721" t="s">
        <v>543</v>
      </c>
      <c r="H5721" t="s">
        <v>14965</v>
      </c>
      <c r="I5721" t="s">
        <v>14966</v>
      </c>
      <c r="J5721" t="s">
        <v>687</v>
      </c>
      <c r="K5721" t="s">
        <v>55</v>
      </c>
      <c r="L5721" t="s">
        <v>5155</v>
      </c>
      <c r="M5721" t="s">
        <v>57</v>
      </c>
      <c r="N5721" t="str">
        <f>"020332"</f>
        <v>020332</v>
      </c>
      <c r="O5721" t="s">
        <v>14967</v>
      </c>
      <c r="P5721" t="s">
        <v>68</v>
      </c>
      <c r="Q5721">
        <v>67.599999999999994</v>
      </c>
      <c r="R5721">
        <v>100</v>
      </c>
      <c r="S5721" t="s">
        <v>180</v>
      </c>
    </row>
    <row r="5722" spans="1:19" x14ac:dyDescent="0.35">
      <c r="A5722">
        <v>20293</v>
      </c>
      <c r="B5722" t="str">
        <f>"020293"</f>
        <v>020293</v>
      </c>
      <c r="C5722" t="s">
        <v>14964</v>
      </c>
      <c r="D5722" t="s">
        <v>12063</v>
      </c>
      <c r="E5722" t="s">
        <v>12048</v>
      </c>
      <c r="F5722" t="s">
        <v>3396</v>
      </c>
      <c r="G5722" t="s">
        <v>543</v>
      </c>
      <c r="H5722" t="s">
        <v>14965</v>
      </c>
      <c r="I5722" t="s">
        <v>14966</v>
      </c>
      <c r="J5722" t="s">
        <v>687</v>
      </c>
      <c r="K5722" t="s">
        <v>55</v>
      </c>
      <c r="L5722" t="s">
        <v>5155</v>
      </c>
      <c r="M5722" t="s">
        <v>57</v>
      </c>
      <c r="N5722" t="str">
        <f>"020332"</f>
        <v>020332</v>
      </c>
      <c r="O5722" t="s">
        <v>14967</v>
      </c>
      <c r="P5722" t="s">
        <v>68</v>
      </c>
      <c r="Q5722">
        <v>67.599999999999994</v>
      </c>
      <c r="R5722">
        <v>100</v>
      </c>
      <c r="S5722" t="s">
        <v>180</v>
      </c>
    </row>
    <row r="5723" spans="1:19" x14ac:dyDescent="0.35">
      <c r="A5723">
        <v>20317</v>
      </c>
      <c r="B5723" t="str">
        <f>"020317"</f>
        <v>020317</v>
      </c>
      <c r="C5723" t="s">
        <v>14968</v>
      </c>
      <c r="D5723" t="s">
        <v>3400</v>
      </c>
      <c r="E5723" t="s">
        <v>3395</v>
      </c>
      <c r="F5723" t="s">
        <v>3396</v>
      </c>
      <c r="G5723" t="s">
        <v>63</v>
      </c>
      <c r="H5723" t="s">
        <v>14969</v>
      </c>
      <c r="I5723" t="s">
        <v>14970</v>
      </c>
      <c r="J5723" t="s">
        <v>66</v>
      </c>
      <c r="K5723" t="s">
        <v>55</v>
      </c>
      <c r="L5723" t="s">
        <v>7937</v>
      </c>
      <c r="M5723" t="s">
        <v>57</v>
      </c>
      <c r="N5723" t="str">
        <f>"044636"</f>
        <v>044636</v>
      </c>
      <c r="O5723" t="s">
        <v>1331</v>
      </c>
      <c r="P5723" t="s">
        <v>68</v>
      </c>
      <c r="Q5723">
        <v>53.8</v>
      </c>
      <c r="R5723">
        <v>31.700000000000003</v>
      </c>
      <c r="S5723" t="s">
        <v>69</v>
      </c>
    </row>
    <row r="5724" spans="1:19" x14ac:dyDescent="0.35">
      <c r="A5724">
        <v>20317</v>
      </c>
      <c r="B5724" t="str">
        <f>"020317"</f>
        <v>020317</v>
      </c>
      <c r="C5724" t="s">
        <v>14968</v>
      </c>
      <c r="D5724" t="s">
        <v>12476</v>
      </c>
      <c r="E5724" t="s">
        <v>3395</v>
      </c>
      <c r="F5724" t="s">
        <v>3396</v>
      </c>
      <c r="G5724" t="s">
        <v>63</v>
      </c>
      <c r="H5724" t="s">
        <v>14969</v>
      </c>
      <c r="I5724" t="s">
        <v>14970</v>
      </c>
      <c r="J5724" t="s">
        <v>66</v>
      </c>
      <c r="K5724" t="s">
        <v>55</v>
      </c>
      <c r="L5724" t="s">
        <v>7937</v>
      </c>
      <c r="M5724" t="s">
        <v>57</v>
      </c>
      <c r="N5724" t="str">
        <f>"044636"</f>
        <v>044636</v>
      </c>
      <c r="O5724" t="s">
        <v>1331</v>
      </c>
      <c r="P5724" t="s">
        <v>68</v>
      </c>
      <c r="Q5724">
        <v>53.8</v>
      </c>
      <c r="R5724">
        <v>31.700000000000003</v>
      </c>
      <c r="S5724" t="s">
        <v>69</v>
      </c>
    </row>
    <row r="5725" spans="1:19" x14ac:dyDescent="0.35">
      <c r="A5725">
        <v>20348</v>
      </c>
      <c r="B5725" t="str">
        <f>"020348"</f>
        <v>020348</v>
      </c>
      <c r="C5725" t="s">
        <v>14971</v>
      </c>
      <c r="D5725" t="s">
        <v>3394</v>
      </c>
      <c r="E5725" t="s">
        <v>3395</v>
      </c>
      <c r="F5725" t="s">
        <v>3396</v>
      </c>
      <c r="G5725" t="s">
        <v>264</v>
      </c>
      <c r="H5725" t="s">
        <v>265</v>
      </c>
      <c r="I5725" t="s">
        <v>266</v>
      </c>
      <c r="J5725" t="s">
        <v>267</v>
      </c>
      <c r="K5725" t="s">
        <v>55</v>
      </c>
      <c r="L5725" t="s">
        <v>268</v>
      </c>
      <c r="M5725" t="s">
        <v>57</v>
      </c>
      <c r="N5725" t="str">
        <f>"050062"</f>
        <v>050062</v>
      </c>
      <c r="O5725" t="s">
        <v>263</v>
      </c>
      <c r="P5725" t="s">
        <v>68</v>
      </c>
      <c r="Q5725" t="s">
        <v>68</v>
      </c>
      <c r="R5725" t="s">
        <v>68</v>
      </c>
      <c r="S5725" t="s">
        <v>77</v>
      </c>
    </row>
    <row r="5726" spans="1:19" x14ac:dyDescent="0.35">
      <c r="A5726">
        <v>20363</v>
      </c>
      <c r="B5726" t="str">
        <f>"020363"</f>
        <v>020363</v>
      </c>
      <c r="C5726" t="s">
        <v>14972</v>
      </c>
      <c r="D5726" t="s">
        <v>3398</v>
      </c>
      <c r="E5726" t="s">
        <v>3395</v>
      </c>
      <c r="F5726" t="s">
        <v>3396</v>
      </c>
      <c r="G5726" t="s">
        <v>187</v>
      </c>
      <c r="H5726" t="s">
        <v>3212</v>
      </c>
      <c r="I5726" t="s">
        <v>3213</v>
      </c>
      <c r="J5726" t="s">
        <v>3214</v>
      </c>
      <c r="K5726" t="s">
        <v>55</v>
      </c>
      <c r="L5726" t="s">
        <v>3215</v>
      </c>
      <c r="M5726" t="s">
        <v>57</v>
      </c>
      <c r="N5726" t="str">
        <f>"050567"</f>
        <v>050567</v>
      </c>
      <c r="O5726" t="s">
        <v>3211</v>
      </c>
      <c r="P5726" t="s">
        <v>68</v>
      </c>
      <c r="Q5726" t="s">
        <v>68</v>
      </c>
      <c r="R5726" t="s">
        <v>68</v>
      </c>
      <c r="S5726" t="s">
        <v>77</v>
      </c>
    </row>
    <row r="5727" spans="1:19" x14ac:dyDescent="0.35">
      <c r="A5727">
        <v>20363</v>
      </c>
      <c r="B5727" t="str">
        <f>"020363"</f>
        <v>020363</v>
      </c>
      <c r="C5727" t="s">
        <v>14972</v>
      </c>
      <c r="D5727" t="s">
        <v>12476</v>
      </c>
      <c r="E5727" t="s">
        <v>3395</v>
      </c>
      <c r="F5727" t="s">
        <v>3396</v>
      </c>
      <c r="G5727" t="s">
        <v>187</v>
      </c>
      <c r="H5727" t="s">
        <v>3212</v>
      </c>
      <c r="I5727" t="s">
        <v>3213</v>
      </c>
      <c r="J5727" t="s">
        <v>3214</v>
      </c>
      <c r="K5727" t="s">
        <v>55</v>
      </c>
      <c r="L5727" t="s">
        <v>3215</v>
      </c>
      <c r="M5727" t="s">
        <v>57</v>
      </c>
      <c r="N5727" t="str">
        <f>"050567"</f>
        <v>050567</v>
      </c>
      <c r="O5727" t="s">
        <v>3211</v>
      </c>
      <c r="P5727" t="s">
        <v>68</v>
      </c>
      <c r="Q5727" t="s">
        <v>68</v>
      </c>
      <c r="R5727" t="s">
        <v>68</v>
      </c>
      <c r="S5727" t="s">
        <v>77</v>
      </c>
    </row>
    <row r="5728" spans="1:19" x14ac:dyDescent="0.35">
      <c r="A5728">
        <v>20358</v>
      </c>
      <c r="B5728" t="str">
        <f>"020358"</f>
        <v>020358</v>
      </c>
      <c r="C5728" t="s">
        <v>14973</v>
      </c>
      <c r="D5728" t="s">
        <v>3394</v>
      </c>
      <c r="E5728" t="s">
        <v>9538</v>
      </c>
      <c r="F5728" t="s">
        <v>3396</v>
      </c>
      <c r="G5728" t="s">
        <v>543</v>
      </c>
      <c r="H5728" t="s">
        <v>14974</v>
      </c>
      <c r="I5728" t="s">
        <v>14975</v>
      </c>
      <c r="J5728" t="s">
        <v>687</v>
      </c>
      <c r="K5728" t="s">
        <v>55</v>
      </c>
      <c r="L5728" t="s">
        <v>786</v>
      </c>
      <c r="M5728" t="s">
        <v>57</v>
      </c>
      <c r="N5728" t="str">
        <f>"020358"</f>
        <v>020358</v>
      </c>
      <c r="O5728" t="s">
        <v>14973</v>
      </c>
      <c r="P5728" t="s">
        <v>68</v>
      </c>
      <c r="Q5728" t="s">
        <v>68</v>
      </c>
      <c r="R5728" t="s">
        <v>68</v>
      </c>
      <c r="S5728" t="s">
        <v>180</v>
      </c>
    </row>
    <row r="5729" spans="1:19" x14ac:dyDescent="0.35">
      <c r="A5729">
        <v>20357</v>
      </c>
      <c r="B5729" t="str">
        <f>"020357"</f>
        <v>020357</v>
      </c>
      <c r="C5729" t="s">
        <v>14976</v>
      </c>
      <c r="D5729" t="s">
        <v>3398</v>
      </c>
      <c r="E5729" t="s">
        <v>9538</v>
      </c>
      <c r="F5729" t="s">
        <v>3396</v>
      </c>
      <c r="G5729" t="s">
        <v>63</v>
      </c>
      <c r="H5729" t="s">
        <v>14977</v>
      </c>
      <c r="I5729" t="s">
        <v>14978</v>
      </c>
      <c r="J5729" t="s">
        <v>14979</v>
      </c>
      <c r="K5729" t="s">
        <v>55</v>
      </c>
      <c r="L5729" t="s">
        <v>796</v>
      </c>
      <c r="M5729" t="s">
        <v>57</v>
      </c>
      <c r="N5729" t="str">
        <f>"020357"</f>
        <v>020357</v>
      </c>
      <c r="O5729" t="s">
        <v>14976</v>
      </c>
      <c r="P5729" t="s">
        <v>68</v>
      </c>
      <c r="Q5729" t="s">
        <v>68</v>
      </c>
      <c r="R5729" t="s">
        <v>68</v>
      </c>
      <c r="S5729" t="s">
        <v>69</v>
      </c>
    </row>
    <row r="5730" spans="1:19" x14ac:dyDescent="0.35">
      <c r="A5730">
        <v>20375</v>
      </c>
      <c r="B5730" t="str">
        <f>"020375"</f>
        <v>020375</v>
      </c>
      <c r="C5730" t="s">
        <v>14980</v>
      </c>
      <c r="D5730" t="s">
        <v>3398</v>
      </c>
      <c r="E5730" t="s">
        <v>3395</v>
      </c>
      <c r="F5730" t="s">
        <v>3396</v>
      </c>
      <c r="G5730" t="s">
        <v>481</v>
      </c>
      <c r="H5730" t="s">
        <v>14981</v>
      </c>
      <c r="I5730" t="s">
        <v>14982</v>
      </c>
      <c r="J5730" t="s">
        <v>484</v>
      </c>
      <c r="K5730" t="s">
        <v>55</v>
      </c>
      <c r="L5730" t="s">
        <v>485</v>
      </c>
      <c r="M5730" t="s">
        <v>57</v>
      </c>
      <c r="N5730" t="str">
        <f>"045492"</f>
        <v>045492</v>
      </c>
      <c r="O5730" t="s">
        <v>3003</v>
      </c>
      <c r="P5730" t="s">
        <v>68</v>
      </c>
      <c r="Q5730">
        <v>40.5</v>
      </c>
      <c r="R5730">
        <v>35.099999999999994</v>
      </c>
      <c r="S5730" t="s">
        <v>69</v>
      </c>
    </row>
    <row r="5731" spans="1:19" x14ac:dyDescent="0.35">
      <c r="A5731">
        <v>20398</v>
      </c>
      <c r="B5731" t="str">
        <f>"020398"</f>
        <v>020398</v>
      </c>
      <c r="C5731" t="s">
        <v>14983</v>
      </c>
      <c r="D5731" t="s">
        <v>3398</v>
      </c>
      <c r="E5731" t="s">
        <v>9538</v>
      </c>
      <c r="F5731" t="s">
        <v>3396</v>
      </c>
      <c r="G5731" t="s">
        <v>264</v>
      </c>
      <c r="H5731" t="s">
        <v>14984</v>
      </c>
      <c r="I5731" t="s">
        <v>14985</v>
      </c>
      <c r="J5731" t="s">
        <v>2497</v>
      </c>
      <c r="K5731" t="s">
        <v>55</v>
      </c>
      <c r="L5731" t="s">
        <v>2498</v>
      </c>
      <c r="M5731" t="s">
        <v>57</v>
      </c>
      <c r="N5731" t="str">
        <f>"020398"</f>
        <v>020398</v>
      </c>
      <c r="O5731" t="s">
        <v>14983</v>
      </c>
      <c r="P5731" t="s">
        <v>68</v>
      </c>
      <c r="Q5731" t="s">
        <v>68</v>
      </c>
      <c r="R5731" t="s">
        <v>68</v>
      </c>
      <c r="S5731" t="s">
        <v>77</v>
      </c>
    </row>
    <row r="5732" spans="1:19" x14ac:dyDescent="0.35">
      <c r="A5732">
        <v>20399</v>
      </c>
      <c r="B5732" t="str">
        <f>"020399"</f>
        <v>020399</v>
      </c>
      <c r="C5732" t="s">
        <v>14986</v>
      </c>
      <c r="D5732" t="s">
        <v>3398</v>
      </c>
      <c r="E5732" t="s">
        <v>9538</v>
      </c>
      <c r="F5732" t="s">
        <v>3396</v>
      </c>
      <c r="G5732" t="s">
        <v>143</v>
      </c>
      <c r="H5732" t="s">
        <v>14987</v>
      </c>
      <c r="I5732" t="s">
        <v>14988</v>
      </c>
      <c r="J5732" t="s">
        <v>2256</v>
      </c>
      <c r="K5732" t="s">
        <v>55</v>
      </c>
      <c r="L5732" t="s">
        <v>2257</v>
      </c>
      <c r="M5732" t="s">
        <v>57</v>
      </c>
      <c r="N5732" t="str">
        <f>"020399"</f>
        <v>020399</v>
      </c>
      <c r="O5732" t="s">
        <v>14986</v>
      </c>
      <c r="P5732" t="s">
        <v>68</v>
      </c>
      <c r="Q5732" t="s">
        <v>68</v>
      </c>
      <c r="R5732" t="s">
        <v>68</v>
      </c>
      <c r="S5732" t="s">
        <v>69</v>
      </c>
    </row>
    <row r="5733" spans="1:19" x14ac:dyDescent="0.35">
      <c r="A5733">
        <v>20400</v>
      </c>
      <c r="B5733" t="str">
        <f>"020400"</f>
        <v>020400</v>
      </c>
      <c r="C5733" t="s">
        <v>14989</v>
      </c>
      <c r="D5733" t="s">
        <v>3398</v>
      </c>
      <c r="E5733" t="s">
        <v>9538</v>
      </c>
      <c r="F5733" t="s">
        <v>3396</v>
      </c>
      <c r="G5733" t="s">
        <v>63</v>
      </c>
      <c r="H5733" t="s">
        <v>14990</v>
      </c>
      <c r="I5733" t="s">
        <v>14991</v>
      </c>
      <c r="J5733" t="s">
        <v>3423</v>
      </c>
      <c r="K5733" t="s">
        <v>55</v>
      </c>
      <c r="L5733" t="s">
        <v>3424</v>
      </c>
      <c r="M5733" t="s">
        <v>57</v>
      </c>
      <c r="N5733" t="str">
        <f>"020400"</f>
        <v>020400</v>
      </c>
      <c r="O5733" t="s">
        <v>14989</v>
      </c>
      <c r="P5733" t="s">
        <v>68</v>
      </c>
      <c r="Q5733" t="s">
        <v>68</v>
      </c>
      <c r="R5733" t="s">
        <v>68</v>
      </c>
      <c r="S5733" t="s">
        <v>69</v>
      </c>
    </row>
    <row r="5734" spans="1:19" x14ac:dyDescent="0.35">
      <c r="A5734">
        <v>20401</v>
      </c>
      <c r="B5734" t="str">
        <f>"020401"</f>
        <v>020401</v>
      </c>
      <c r="C5734" t="s">
        <v>14992</v>
      </c>
      <c r="D5734" t="s">
        <v>3398</v>
      </c>
      <c r="E5734" t="s">
        <v>9538</v>
      </c>
      <c r="F5734" t="s">
        <v>3396</v>
      </c>
      <c r="G5734" t="s">
        <v>383</v>
      </c>
      <c r="H5734" t="s">
        <v>14993</v>
      </c>
      <c r="I5734" t="s">
        <v>14994</v>
      </c>
      <c r="J5734" t="s">
        <v>1215</v>
      </c>
      <c r="K5734" t="s">
        <v>55</v>
      </c>
      <c r="L5734" t="s">
        <v>4319</v>
      </c>
      <c r="M5734" t="s">
        <v>57</v>
      </c>
      <c r="N5734" t="str">
        <f>"020401"</f>
        <v>020401</v>
      </c>
      <c r="O5734" t="s">
        <v>14992</v>
      </c>
      <c r="P5734" t="s">
        <v>68</v>
      </c>
      <c r="Q5734" t="s">
        <v>68</v>
      </c>
      <c r="R5734" t="s">
        <v>68</v>
      </c>
      <c r="S5734" t="s">
        <v>77</v>
      </c>
    </row>
    <row r="5735" spans="1:19" x14ac:dyDescent="0.35">
      <c r="A5735">
        <v>20406</v>
      </c>
      <c r="B5735" t="str">
        <f>"020406"</f>
        <v>020406</v>
      </c>
      <c r="C5735" t="s">
        <v>14995</v>
      </c>
      <c r="D5735" t="s">
        <v>3398</v>
      </c>
      <c r="E5735" t="s">
        <v>9538</v>
      </c>
      <c r="F5735" t="s">
        <v>3396</v>
      </c>
      <c r="G5735" t="s">
        <v>295</v>
      </c>
      <c r="H5735" t="s">
        <v>14996</v>
      </c>
      <c r="I5735" t="s">
        <v>14997</v>
      </c>
      <c r="J5735" t="s">
        <v>1764</v>
      </c>
      <c r="K5735" t="s">
        <v>55</v>
      </c>
      <c r="L5735" t="s">
        <v>1765</v>
      </c>
      <c r="M5735" t="s">
        <v>57</v>
      </c>
      <c r="N5735" t="str">
        <f>"020406"</f>
        <v>020406</v>
      </c>
      <c r="O5735" t="s">
        <v>14995</v>
      </c>
      <c r="P5735" t="s">
        <v>68</v>
      </c>
      <c r="Q5735" t="s">
        <v>68</v>
      </c>
      <c r="R5735" t="s">
        <v>68</v>
      </c>
      <c r="S5735" t="s">
        <v>77</v>
      </c>
    </row>
    <row r="5736" spans="1:19" x14ac:dyDescent="0.35">
      <c r="A5736">
        <v>20407</v>
      </c>
      <c r="B5736" t="str">
        <f>"020407"</f>
        <v>020407</v>
      </c>
      <c r="C5736" t="s">
        <v>14998</v>
      </c>
      <c r="D5736" t="s">
        <v>3398</v>
      </c>
      <c r="E5736" t="s">
        <v>9538</v>
      </c>
      <c r="F5736" t="s">
        <v>3396</v>
      </c>
      <c r="G5736" t="s">
        <v>143</v>
      </c>
      <c r="H5736" t="s">
        <v>14999</v>
      </c>
      <c r="I5736" t="s">
        <v>15000</v>
      </c>
      <c r="J5736" t="s">
        <v>528</v>
      </c>
      <c r="K5736" t="s">
        <v>55</v>
      </c>
      <c r="L5736" t="s">
        <v>529</v>
      </c>
      <c r="M5736" t="s">
        <v>57</v>
      </c>
      <c r="N5736" t="str">
        <f>"020407"</f>
        <v>020407</v>
      </c>
      <c r="O5736" t="s">
        <v>14998</v>
      </c>
      <c r="P5736" t="s">
        <v>68</v>
      </c>
      <c r="Q5736" t="s">
        <v>68</v>
      </c>
      <c r="R5736" t="s">
        <v>68</v>
      </c>
      <c r="S5736" t="s">
        <v>69</v>
      </c>
    </row>
    <row r="5737" spans="1:19" x14ac:dyDescent="0.35">
      <c r="A5737">
        <v>20408</v>
      </c>
      <c r="B5737" t="str">
        <f>"020408"</f>
        <v>020408</v>
      </c>
      <c r="C5737" t="s">
        <v>15001</v>
      </c>
      <c r="D5737" t="s">
        <v>3398</v>
      </c>
      <c r="E5737" t="s">
        <v>9538</v>
      </c>
      <c r="F5737" t="s">
        <v>3396</v>
      </c>
      <c r="G5737" t="s">
        <v>264</v>
      </c>
      <c r="H5737" t="s">
        <v>15002</v>
      </c>
      <c r="I5737" t="s">
        <v>15003</v>
      </c>
      <c r="J5737" t="s">
        <v>267</v>
      </c>
      <c r="K5737" t="s">
        <v>55</v>
      </c>
      <c r="L5737" t="s">
        <v>268</v>
      </c>
      <c r="M5737" t="s">
        <v>57</v>
      </c>
      <c r="N5737" t="str">
        <f>"020408"</f>
        <v>020408</v>
      </c>
      <c r="O5737" t="s">
        <v>15001</v>
      </c>
      <c r="P5737" t="s">
        <v>68</v>
      </c>
      <c r="Q5737" t="s">
        <v>68</v>
      </c>
      <c r="R5737" t="s">
        <v>68</v>
      </c>
      <c r="S5737" t="s">
        <v>77</v>
      </c>
    </row>
    <row r="5738" spans="1:19" x14ac:dyDescent="0.35">
      <c r="A5738">
        <v>20435</v>
      </c>
      <c r="B5738" t="str">
        <f>"020435"</f>
        <v>020435</v>
      </c>
      <c r="C5738" t="s">
        <v>15004</v>
      </c>
      <c r="D5738" t="s">
        <v>3394</v>
      </c>
      <c r="E5738" t="s">
        <v>9538</v>
      </c>
      <c r="F5738" t="s">
        <v>3396</v>
      </c>
      <c r="G5738" t="s">
        <v>600</v>
      </c>
      <c r="H5738" t="s">
        <v>15005</v>
      </c>
      <c r="I5738" t="s">
        <v>15006</v>
      </c>
      <c r="J5738" t="s">
        <v>1348</v>
      </c>
      <c r="K5738" t="s">
        <v>55</v>
      </c>
      <c r="L5738" t="s">
        <v>3854</v>
      </c>
      <c r="M5738" t="s">
        <v>57</v>
      </c>
      <c r="N5738" t="str">
        <f>"020435"</f>
        <v>020435</v>
      </c>
      <c r="O5738" t="s">
        <v>15004</v>
      </c>
      <c r="P5738" t="s">
        <v>68</v>
      </c>
      <c r="Q5738" t="s">
        <v>68</v>
      </c>
      <c r="R5738" t="s">
        <v>68</v>
      </c>
      <c r="S5738" t="s">
        <v>60</v>
      </c>
    </row>
    <row r="5739" spans="1:19" x14ac:dyDescent="0.35">
      <c r="A5739">
        <v>20456</v>
      </c>
      <c r="B5739" t="str">
        <f>"020456"</f>
        <v>020456</v>
      </c>
      <c r="C5739" t="s">
        <v>15007</v>
      </c>
      <c r="D5739" t="s">
        <v>3400</v>
      </c>
      <c r="E5739" t="s">
        <v>3395</v>
      </c>
      <c r="F5739" t="s">
        <v>3396</v>
      </c>
      <c r="G5739" t="s">
        <v>600</v>
      </c>
      <c r="H5739" t="s">
        <v>15008</v>
      </c>
      <c r="I5739" t="s">
        <v>15009</v>
      </c>
      <c r="J5739" t="s">
        <v>1348</v>
      </c>
      <c r="K5739" t="s">
        <v>55</v>
      </c>
      <c r="L5739" t="s">
        <v>5767</v>
      </c>
      <c r="M5739" t="s">
        <v>57</v>
      </c>
      <c r="N5739" t="str">
        <f>"045047"</f>
        <v>045047</v>
      </c>
      <c r="O5739" t="s">
        <v>2687</v>
      </c>
      <c r="P5739" t="s">
        <v>68</v>
      </c>
      <c r="Q5739" t="s">
        <v>68</v>
      </c>
      <c r="R5739" t="s">
        <v>68</v>
      </c>
      <c r="S5739" t="s">
        <v>60</v>
      </c>
    </row>
    <row r="5740" spans="1:19" x14ac:dyDescent="0.35">
      <c r="A5740">
        <v>20484</v>
      </c>
      <c r="B5740" t="str">
        <f>"020484"</f>
        <v>020484</v>
      </c>
      <c r="C5740" t="s">
        <v>15010</v>
      </c>
      <c r="D5740" t="s">
        <v>49</v>
      </c>
      <c r="E5740" t="s">
        <v>3395</v>
      </c>
      <c r="F5740" t="s">
        <v>3396</v>
      </c>
      <c r="G5740" t="s">
        <v>244</v>
      </c>
      <c r="H5740" t="s">
        <v>15011</v>
      </c>
      <c r="I5740" t="s">
        <v>15012</v>
      </c>
      <c r="J5740" t="s">
        <v>6385</v>
      </c>
      <c r="K5740" t="s">
        <v>55</v>
      </c>
      <c r="L5740" t="s">
        <v>374</v>
      </c>
      <c r="M5740" t="s">
        <v>57</v>
      </c>
      <c r="N5740" t="str">
        <f>"046110"</f>
        <v>046110</v>
      </c>
      <c r="O5740" t="s">
        <v>2005</v>
      </c>
      <c r="P5740" t="s">
        <v>68</v>
      </c>
      <c r="Q5740" t="s">
        <v>68</v>
      </c>
      <c r="R5740" t="s">
        <v>68</v>
      </c>
      <c r="S5740" t="s">
        <v>217</v>
      </c>
    </row>
    <row r="5741" spans="1:19" x14ac:dyDescent="0.35">
      <c r="A5741">
        <v>20497</v>
      </c>
      <c r="B5741" t="str">
        <f>"020497"</f>
        <v>020497</v>
      </c>
      <c r="C5741" t="s">
        <v>14669</v>
      </c>
      <c r="D5741" t="s">
        <v>3394</v>
      </c>
      <c r="E5741" t="s">
        <v>9538</v>
      </c>
      <c r="F5741" t="s">
        <v>3396</v>
      </c>
      <c r="G5741" t="s">
        <v>642</v>
      </c>
      <c r="H5741" t="s">
        <v>15013</v>
      </c>
      <c r="I5741" t="s">
        <v>15014</v>
      </c>
      <c r="J5741" t="s">
        <v>1461</v>
      </c>
      <c r="K5741" t="s">
        <v>55</v>
      </c>
      <c r="L5741" t="s">
        <v>1462</v>
      </c>
      <c r="M5741" t="s">
        <v>57</v>
      </c>
      <c r="N5741" t="str">
        <f>"020497"</f>
        <v>020497</v>
      </c>
      <c r="O5741" t="s">
        <v>14669</v>
      </c>
      <c r="P5741" t="s">
        <v>68</v>
      </c>
      <c r="Q5741" t="s">
        <v>68</v>
      </c>
      <c r="R5741" t="s">
        <v>68</v>
      </c>
      <c r="S5741" t="s">
        <v>180</v>
      </c>
    </row>
    <row r="5742" spans="1:19" x14ac:dyDescent="0.35">
      <c r="A5742">
        <v>20513</v>
      </c>
      <c r="B5742" t="str">
        <f>"020513"</f>
        <v>020513</v>
      </c>
      <c r="C5742" t="s">
        <v>15015</v>
      </c>
      <c r="D5742" t="s">
        <v>3398</v>
      </c>
      <c r="E5742" t="s">
        <v>9538</v>
      </c>
      <c r="F5742" t="s">
        <v>3396</v>
      </c>
      <c r="G5742" t="s">
        <v>212</v>
      </c>
      <c r="H5742" t="s">
        <v>15016</v>
      </c>
      <c r="I5742" t="s">
        <v>15017</v>
      </c>
      <c r="J5742" t="s">
        <v>215</v>
      </c>
      <c r="K5742" t="s">
        <v>55</v>
      </c>
      <c r="L5742" t="s">
        <v>7168</v>
      </c>
      <c r="M5742" t="s">
        <v>57</v>
      </c>
      <c r="N5742" t="str">
        <f>"020513"</f>
        <v>020513</v>
      </c>
      <c r="O5742" t="s">
        <v>15015</v>
      </c>
      <c r="P5742" t="s">
        <v>68</v>
      </c>
      <c r="Q5742" t="s">
        <v>68</v>
      </c>
      <c r="R5742" t="s">
        <v>68</v>
      </c>
      <c r="S5742" t="s">
        <v>217</v>
      </c>
    </row>
    <row r="5743" spans="1:19" x14ac:dyDescent="0.35">
      <c r="A5743">
        <v>20549</v>
      </c>
      <c r="B5743" t="str">
        <f>"020549"</f>
        <v>020549</v>
      </c>
      <c r="C5743" t="s">
        <v>15018</v>
      </c>
      <c r="D5743" t="s">
        <v>3398</v>
      </c>
      <c r="E5743" t="s">
        <v>9538</v>
      </c>
      <c r="F5743" t="s">
        <v>3396</v>
      </c>
      <c r="G5743" t="s">
        <v>481</v>
      </c>
      <c r="H5743" t="s">
        <v>15019</v>
      </c>
      <c r="I5743" t="s">
        <v>15020</v>
      </c>
      <c r="J5743" t="s">
        <v>15021</v>
      </c>
      <c r="K5743" t="s">
        <v>55</v>
      </c>
      <c r="L5743" t="s">
        <v>3092</v>
      </c>
      <c r="M5743" t="s">
        <v>57</v>
      </c>
      <c r="N5743" t="str">
        <f>"020549"</f>
        <v>020549</v>
      </c>
      <c r="O5743" t="s">
        <v>15018</v>
      </c>
      <c r="P5743" t="s">
        <v>68</v>
      </c>
      <c r="Q5743" t="s">
        <v>68</v>
      </c>
      <c r="R5743" t="s">
        <v>68</v>
      </c>
      <c r="S5743" t="s">
        <v>69</v>
      </c>
    </row>
    <row r="5744" spans="1:19" x14ac:dyDescent="0.35">
      <c r="A5744">
        <v>20548</v>
      </c>
      <c r="B5744" t="str">
        <f>"020548"</f>
        <v>020548</v>
      </c>
      <c r="C5744" t="s">
        <v>15022</v>
      </c>
      <c r="D5744" t="s">
        <v>3398</v>
      </c>
      <c r="E5744" t="s">
        <v>9538</v>
      </c>
      <c r="F5744" t="s">
        <v>3396</v>
      </c>
      <c r="G5744" t="s">
        <v>481</v>
      </c>
      <c r="H5744" t="s">
        <v>15023</v>
      </c>
      <c r="I5744" t="s">
        <v>15024</v>
      </c>
      <c r="J5744" t="s">
        <v>876</v>
      </c>
      <c r="K5744" t="s">
        <v>55</v>
      </c>
      <c r="L5744" t="s">
        <v>819</v>
      </c>
      <c r="M5744" t="s">
        <v>57</v>
      </c>
      <c r="N5744" t="str">
        <f>"020548"</f>
        <v>020548</v>
      </c>
      <c r="O5744" t="s">
        <v>15022</v>
      </c>
      <c r="P5744" t="s">
        <v>68</v>
      </c>
      <c r="Q5744" t="s">
        <v>68</v>
      </c>
      <c r="R5744" t="s">
        <v>68</v>
      </c>
      <c r="S5744" t="s">
        <v>69</v>
      </c>
    </row>
    <row r="5745" spans="1:19" x14ac:dyDescent="0.35">
      <c r="A5745">
        <v>20729</v>
      </c>
      <c r="B5745" t="str">
        <f>"020729"</f>
        <v>020729</v>
      </c>
      <c r="C5745" t="s">
        <v>15025</v>
      </c>
      <c r="D5745" t="s">
        <v>12052</v>
      </c>
      <c r="E5745" t="s">
        <v>12048</v>
      </c>
      <c r="F5745" t="s">
        <v>3396</v>
      </c>
      <c r="G5745" t="s">
        <v>264</v>
      </c>
      <c r="H5745" t="s">
        <v>15026</v>
      </c>
      <c r="I5745" t="s">
        <v>15027</v>
      </c>
      <c r="J5745" t="s">
        <v>267</v>
      </c>
      <c r="K5745" t="s">
        <v>55</v>
      </c>
      <c r="L5745" t="s">
        <v>12173</v>
      </c>
      <c r="M5745" t="s">
        <v>57</v>
      </c>
      <c r="N5745" t="str">
        <f>"N/A"</f>
        <v>N/A</v>
      </c>
      <c r="O5745" t="s">
        <v>49</v>
      </c>
      <c r="P5745" t="s">
        <v>68</v>
      </c>
      <c r="Q5745" t="s">
        <v>68</v>
      </c>
      <c r="R5745" t="s">
        <v>68</v>
      </c>
      <c r="S5745" t="s">
        <v>77</v>
      </c>
    </row>
    <row r="5746" spans="1:19" x14ac:dyDescent="0.35">
      <c r="A5746">
        <v>20729</v>
      </c>
      <c r="B5746" t="str">
        <f>"020729"</f>
        <v>020729</v>
      </c>
      <c r="C5746" t="s">
        <v>15025</v>
      </c>
      <c r="D5746" t="s">
        <v>4572</v>
      </c>
      <c r="E5746" t="s">
        <v>12048</v>
      </c>
      <c r="F5746" t="s">
        <v>3396</v>
      </c>
      <c r="G5746" t="s">
        <v>264</v>
      </c>
      <c r="H5746" t="s">
        <v>15026</v>
      </c>
      <c r="I5746" t="s">
        <v>15027</v>
      </c>
      <c r="J5746" t="s">
        <v>267</v>
      </c>
      <c r="K5746" t="s">
        <v>55</v>
      </c>
      <c r="L5746" t="s">
        <v>12173</v>
      </c>
      <c r="M5746" t="s">
        <v>57</v>
      </c>
      <c r="N5746" t="str">
        <f>"N/A"</f>
        <v>N/A</v>
      </c>
      <c r="O5746" t="s">
        <v>49</v>
      </c>
      <c r="P5746" t="s">
        <v>68</v>
      </c>
      <c r="Q5746" t="s">
        <v>68</v>
      </c>
      <c r="R5746" t="s">
        <v>68</v>
      </c>
      <c r="S5746" t="s">
        <v>77</v>
      </c>
    </row>
    <row r="5747" spans="1:19" x14ac:dyDescent="0.35">
      <c r="A5747">
        <v>20871</v>
      </c>
      <c r="B5747" t="str">
        <f>"020871"</f>
        <v>020871</v>
      </c>
      <c r="C5747" t="s">
        <v>15028</v>
      </c>
      <c r="D5747" t="s">
        <v>3543</v>
      </c>
      <c r="E5747" t="s">
        <v>3395</v>
      </c>
      <c r="F5747" t="s">
        <v>3396</v>
      </c>
      <c r="G5747" t="s">
        <v>511</v>
      </c>
      <c r="H5747" t="s">
        <v>15029</v>
      </c>
      <c r="I5747" t="s">
        <v>15030</v>
      </c>
      <c r="J5747" t="s">
        <v>639</v>
      </c>
      <c r="K5747" t="s">
        <v>55</v>
      </c>
      <c r="L5747" t="s">
        <v>640</v>
      </c>
      <c r="M5747" t="s">
        <v>57</v>
      </c>
      <c r="N5747" t="str">
        <f>"047167"</f>
        <v>047167</v>
      </c>
      <c r="O5747" t="s">
        <v>636</v>
      </c>
      <c r="P5747" t="s">
        <v>68</v>
      </c>
      <c r="Q5747" t="s">
        <v>68</v>
      </c>
      <c r="R5747" t="s">
        <v>68</v>
      </c>
      <c r="S5747" t="s">
        <v>69</v>
      </c>
    </row>
    <row r="5748" spans="1:19" x14ac:dyDescent="0.35">
      <c r="A5748">
        <v>20728</v>
      </c>
      <c r="B5748" t="str">
        <f>"020728"</f>
        <v>020728</v>
      </c>
      <c r="C5748" t="s">
        <v>15031</v>
      </c>
      <c r="D5748" t="s">
        <v>12052</v>
      </c>
      <c r="E5748" t="s">
        <v>12048</v>
      </c>
      <c r="F5748" t="s">
        <v>3396</v>
      </c>
      <c r="G5748" t="s">
        <v>200</v>
      </c>
      <c r="H5748" t="s">
        <v>15032</v>
      </c>
      <c r="I5748" t="s">
        <v>15033</v>
      </c>
      <c r="J5748" t="s">
        <v>304</v>
      </c>
      <c r="K5748" t="s">
        <v>55</v>
      </c>
      <c r="L5748" t="s">
        <v>3552</v>
      </c>
      <c r="M5748" t="s">
        <v>57</v>
      </c>
      <c r="N5748" t="str">
        <f>"N/A"</f>
        <v>N/A</v>
      </c>
      <c r="O5748" t="s">
        <v>49</v>
      </c>
      <c r="P5748" t="s">
        <v>68</v>
      </c>
      <c r="Q5748" t="s">
        <v>68</v>
      </c>
      <c r="R5748" t="s">
        <v>68</v>
      </c>
      <c r="S5748" t="s">
        <v>156</v>
      </c>
    </row>
    <row r="5749" spans="1:19" x14ac:dyDescent="0.35">
      <c r="A5749">
        <v>20728</v>
      </c>
      <c r="B5749" t="str">
        <f>"020728"</f>
        <v>020728</v>
      </c>
      <c r="C5749" t="s">
        <v>15031</v>
      </c>
      <c r="D5749" t="s">
        <v>4572</v>
      </c>
      <c r="E5749" t="s">
        <v>12048</v>
      </c>
      <c r="F5749" t="s">
        <v>3396</v>
      </c>
      <c r="G5749" t="s">
        <v>200</v>
      </c>
      <c r="H5749" t="s">
        <v>15032</v>
      </c>
      <c r="I5749" t="s">
        <v>15033</v>
      </c>
      <c r="J5749" t="s">
        <v>304</v>
      </c>
      <c r="K5749" t="s">
        <v>55</v>
      </c>
      <c r="L5749" t="s">
        <v>3552</v>
      </c>
      <c r="M5749" t="s">
        <v>57</v>
      </c>
      <c r="N5749" t="str">
        <f>"N/A"</f>
        <v>N/A</v>
      </c>
      <c r="O5749" t="s">
        <v>49</v>
      </c>
      <c r="P5749" t="s">
        <v>68</v>
      </c>
      <c r="Q5749" t="s">
        <v>68</v>
      </c>
      <c r="R5749" t="s">
        <v>68</v>
      </c>
      <c r="S5749" t="s">
        <v>156</v>
      </c>
    </row>
    <row r="5750" spans="1:19" x14ac:dyDescent="0.35">
      <c r="A5750">
        <v>20817</v>
      </c>
      <c r="B5750" t="str">
        <f>"020817"</f>
        <v>020817</v>
      </c>
      <c r="C5750" t="s">
        <v>15034</v>
      </c>
      <c r="D5750" t="s">
        <v>12052</v>
      </c>
      <c r="E5750" t="s">
        <v>12048</v>
      </c>
      <c r="F5750" t="s">
        <v>3396</v>
      </c>
      <c r="G5750" t="s">
        <v>212</v>
      </c>
      <c r="H5750" t="s">
        <v>12165</v>
      </c>
      <c r="I5750" t="s">
        <v>12166</v>
      </c>
      <c r="J5750" t="s">
        <v>215</v>
      </c>
      <c r="K5750" t="s">
        <v>55</v>
      </c>
      <c r="L5750" t="s">
        <v>7168</v>
      </c>
      <c r="M5750" t="s">
        <v>57</v>
      </c>
      <c r="N5750" t="str">
        <f>"018019"</f>
        <v>018019</v>
      </c>
      <c r="O5750" t="s">
        <v>14388</v>
      </c>
      <c r="P5750" t="s">
        <v>68</v>
      </c>
      <c r="Q5750" t="s">
        <v>68</v>
      </c>
      <c r="R5750" t="s">
        <v>68</v>
      </c>
      <c r="S5750" t="s">
        <v>217</v>
      </c>
    </row>
    <row r="5751" spans="1:19" x14ac:dyDescent="0.35">
      <c r="A5751">
        <v>20726</v>
      </c>
      <c r="B5751" t="str">
        <f>"020726"</f>
        <v>020726</v>
      </c>
      <c r="C5751" t="s">
        <v>15035</v>
      </c>
      <c r="D5751" t="s">
        <v>12052</v>
      </c>
      <c r="E5751" t="s">
        <v>12048</v>
      </c>
      <c r="F5751" t="s">
        <v>3396</v>
      </c>
      <c r="G5751" t="s">
        <v>212</v>
      </c>
      <c r="H5751" t="s">
        <v>15036</v>
      </c>
      <c r="I5751" t="s">
        <v>15037</v>
      </c>
      <c r="J5751" t="s">
        <v>215</v>
      </c>
      <c r="K5751" t="s">
        <v>55</v>
      </c>
      <c r="L5751" t="s">
        <v>9925</v>
      </c>
      <c r="M5751" t="s">
        <v>57</v>
      </c>
      <c r="N5751" t="str">
        <f>"020823"</f>
        <v>020823</v>
      </c>
      <c r="O5751" t="s">
        <v>15038</v>
      </c>
      <c r="P5751" t="s">
        <v>68</v>
      </c>
      <c r="Q5751" t="s">
        <v>68</v>
      </c>
      <c r="R5751" t="s">
        <v>68</v>
      </c>
      <c r="S5751" t="s">
        <v>217</v>
      </c>
    </row>
    <row r="5752" spans="1:19" x14ac:dyDescent="0.35">
      <c r="A5752">
        <v>20726</v>
      </c>
      <c r="B5752" t="str">
        <f>"020726"</f>
        <v>020726</v>
      </c>
      <c r="C5752" t="s">
        <v>15035</v>
      </c>
      <c r="D5752" t="s">
        <v>12476</v>
      </c>
      <c r="E5752" t="s">
        <v>12048</v>
      </c>
      <c r="F5752" t="s">
        <v>3396</v>
      </c>
      <c r="G5752" t="s">
        <v>212</v>
      </c>
      <c r="H5752" t="s">
        <v>15036</v>
      </c>
      <c r="I5752" t="s">
        <v>15037</v>
      </c>
      <c r="J5752" t="s">
        <v>215</v>
      </c>
      <c r="K5752" t="s">
        <v>55</v>
      </c>
      <c r="L5752" t="s">
        <v>9925</v>
      </c>
      <c r="M5752" t="s">
        <v>57</v>
      </c>
      <c r="N5752" t="str">
        <f>"020823"</f>
        <v>020823</v>
      </c>
      <c r="O5752" t="s">
        <v>15038</v>
      </c>
      <c r="P5752" t="s">
        <v>68</v>
      </c>
      <c r="Q5752" t="s">
        <v>68</v>
      </c>
      <c r="R5752" t="s">
        <v>68</v>
      </c>
      <c r="S5752" t="s">
        <v>217</v>
      </c>
    </row>
    <row r="5753" spans="1:19" x14ac:dyDescent="0.35">
      <c r="A5753">
        <v>20726</v>
      </c>
      <c r="B5753" t="str">
        <f>"020726"</f>
        <v>020726</v>
      </c>
      <c r="C5753" t="s">
        <v>15035</v>
      </c>
      <c r="D5753" t="s">
        <v>12063</v>
      </c>
      <c r="E5753" t="s">
        <v>12048</v>
      </c>
      <c r="F5753" t="s">
        <v>3396</v>
      </c>
      <c r="G5753" t="s">
        <v>212</v>
      </c>
      <c r="H5753" t="s">
        <v>15036</v>
      </c>
      <c r="I5753" t="s">
        <v>15037</v>
      </c>
      <c r="J5753" t="s">
        <v>215</v>
      </c>
      <c r="K5753" t="s">
        <v>55</v>
      </c>
      <c r="L5753" t="s">
        <v>9925</v>
      </c>
      <c r="M5753" t="s">
        <v>57</v>
      </c>
      <c r="N5753" t="str">
        <f>"020823"</f>
        <v>020823</v>
      </c>
      <c r="O5753" t="s">
        <v>15038</v>
      </c>
      <c r="P5753" t="s">
        <v>68</v>
      </c>
      <c r="Q5753" t="s">
        <v>68</v>
      </c>
      <c r="R5753" t="s">
        <v>68</v>
      </c>
      <c r="S5753" t="s">
        <v>217</v>
      </c>
    </row>
    <row r="5754" spans="1:19" x14ac:dyDescent="0.35">
      <c r="A5754">
        <v>20733</v>
      </c>
      <c r="B5754" t="str">
        <f>"020733"</f>
        <v>020733</v>
      </c>
      <c r="C5754" t="s">
        <v>15039</v>
      </c>
      <c r="D5754" t="s">
        <v>3398</v>
      </c>
      <c r="E5754" t="s">
        <v>9538</v>
      </c>
      <c r="F5754" t="s">
        <v>3396</v>
      </c>
      <c r="G5754" t="s">
        <v>511</v>
      </c>
      <c r="H5754" t="s">
        <v>15040</v>
      </c>
      <c r="I5754" t="s">
        <v>15041</v>
      </c>
      <c r="J5754" t="s">
        <v>15042</v>
      </c>
      <c r="K5754" t="s">
        <v>55</v>
      </c>
      <c r="L5754" t="s">
        <v>15043</v>
      </c>
      <c r="M5754" t="s">
        <v>57</v>
      </c>
      <c r="N5754" t="str">
        <f>"020733"</f>
        <v>020733</v>
      </c>
      <c r="O5754" t="s">
        <v>15039</v>
      </c>
      <c r="P5754" t="s">
        <v>68</v>
      </c>
      <c r="Q5754" t="s">
        <v>68</v>
      </c>
      <c r="R5754" t="s">
        <v>68</v>
      </c>
      <c r="S5754" t="s">
        <v>69</v>
      </c>
    </row>
    <row r="5755" spans="1:19" x14ac:dyDescent="0.35">
      <c r="A5755">
        <v>20755</v>
      </c>
      <c r="B5755" t="str">
        <f>"020755"</f>
        <v>020755</v>
      </c>
      <c r="C5755" t="s">
        <v>15044</v>
      </c>
      <c r="D5755" t="s">
        <v>12052</v>
      </c>
      <c r="E5755" t="s">
        <v>12048</v>
      </c>
      <c r="F5755" t="s">
        <v>3396</v>
      </c>
      <c r="G5755" t="s">
        <v>63</v>
      </c>
      <c r="H5755" t="s">
        <v>14919</v>
      </c>
      <c r="I5755" t="s">
        <v>14920</v>
      </c>
      <c r="J5755" t="s">
        <v>795</v>
      </c>
      <c r="K5755" t="s">
        <v>55</v>
      </c>
      <c r="L5755" t="s">
        <v>796</v>
      </c>
      <c r="M5755" t="s">
        <v>57</v>
      </c>
      <c r="N5755" t="str">
        <f>"019998"</f>
        <v>019998</v>
      </c>
      <c r="O5755" t="s">
        <v>12528</v>
      </c>
      <c r="P5755" t="s">
        <v>68</v>
      </c>
      <c r="Q5755" t="s">
        <v>68</v>
      </c>
      <c r="R5755" t="s">
        <v>68</v>
      </c>
      <c r="S5755" t="s">
        <v>69</v>
      </c>
    </row>
    <row r="5756" spans="1:19" x14ac:dyDescent="0.35">
      <c r="A5756">
        <v>20755</v>
      </c>
      <c r="B5756" t="str">
        <f>"020755"</f>
        <v>020755</v>
      </c>
      <c r="C5756" t="s">
        <v>15044</v>
      </c>
      <c r="D5756" t="s">
        <v>12476</v>
      </c>
      <c r="E5756" t="s">
        <v>12048</v>
      </c>
      <c r="F5756" t="s">
        <v>3396</v>
      </c>
      <c r="G5756" t="s">
        <v>63</v>
      </c>
      <c r="H5756" t="s">
        <v>14919</v>
      </c>
      <c r="I5756" t="s">
        <v>14920</v>
      </c>
      <c r="J5756" t="s">
        <v>795</v>
      </c>
      <c r="K5756" t="s">
        <v>55</v>
      </c>
      <c r="L5756" t="s">
        <v>796</v>
      </c>
      <c r="M5756" t="s">
        <v>57</v>
      </c>
      <c r="N5756" t="str">
        <f>"019998"</f>
        <v>019998</v>
      </c>
      <c r="O5756" t="s">
        <v>12528</v>
      </c>
      <c r="P5756" t="s">
        <v>68</v>
      </c>
      <c r="Q5756" t="s">
        <v>68</v>
      </c>
      <c r="R5756" t="s">
        <v>68</v>
      </c>
      <c r="S5756" t="s">
        <v>69</v>
      </c>
    </row>
    <row r="5757" spans="1:19" x14ac:dyDescent="0.35">
      <c r="A5757">
        <v>20754</v>
      </c>
      <c r="B5757" t="str">
        <f>"020754"</f>
        <v>020754</v>
      </c>
      <c r="C5757" t="s">
        <v>15045</v>
      </c>
      <c r="D5757" t="s">
        <v>12052</v>
      </c>
      <c r="E5757" t="s">
        <v>12048</v>
      </c>
      <c r="F5757" t="s">
        <v>3396</v>
      </c>
      <c r="G5757" t="s">
        <v>400</v>
      </c>
      <c r="H5757" t="s">
        <v>15046</v>
      </c>
      <c r="I5757" t="s">
        <v>15047</v>
      </c>
      <c r="J5757" t="s">
        <v>2749</v>
      </c>
      <c r="K5757" t="s">
        <v>55</v>
      </c>
      <c r="L5757" t="s">
        <v>2750</v>
      </c>
      <c r="M5757" t="s">
        <v>57</v>
      </c>
      <c r="N5757" t="str">
        <f>"019239"</f>
        <v>019239</v>
      </c>
      <c r="O5757" t="s">
        <v>14508</v>
      </c>
      <c r="P5757" t="s">
        <v>68</v>
      </c>
      <c r="Q5757" t="s">
        <v>68</v>
      </c>
      <c r="R5757" t="s">
        <v>68</v>
      </c>
      <c r="S5757" t="s">
        <v>156</v>
      </c>
    </row>
    <row r="5758" spans="1:19" x14ac:dyDescent="0.35">
      <c r="A5758">
        <v>20754</v>
      </c>
      <c r="B5758" t="str">
        <f>"020754"</f>
        <v>020754</v>
      </c>
      <c r="C5758" t="s">
        <v>15045</v>
      </c>
      <c r="D5758" t="s">
        <v>12063</v>
      </c>
      <c r="E5758" t="s">
        <v>12048</v>
      </c>
      <c r="F5758" t="s">
        <v>3396</v>
      </c>
      <c r="G5758" t="s">
        <v>400</v>
      </c>
      <c r="H5758" t="s">
        <v>15046</v>
      </c>
      <c r="I5758" t="s">
        <v>15047</v>
      </c>
      <c r="J5758" t="s">
        <v>2749</v>
      </c>
      <c r="K5758" t="s">
        <v>55</v>
      </c>
      <c r="L5758" t="s">
        <v>2750</v>
      </c>
      <c r="M5758" t="s">
        <v>57</v>
      </c>
      <c r="N5758" t="str">
        <f>"019239"</f>
        <v>019239</v>
      </c>
      <c r="O5758" t="s">
        <v>14508</v>
      </c>
      <c r="P5758" t="s">
        <v>68</v>
      </c>
      <c r="Q5758" t="s">
        <v>68</v>
      </c>
      <c r="R5758" t="s">
        <v>68</v>
      </c>
      <c r="S5758" t="s">
        <v>156</v>
      </c>
    </row>
    <row r="5759" spans="1:19" x14ac:dyDescent="0.35">
      <c r="A5759">
        <v>20754</v>
      </c>
      <c r="B5759" t="str">
        <f>"020754"</f>
        <v>020754</v>
      </c>
      <c r="C5759" t="s">
        <v>15045</v>
      </c>
      <c r="D5759" t="s">
        <v>4572</v>
      </c>
      <c r="E5759" t="s">
        <v>12048</v>
      </c>
      <c r="F5759" t="s">
        <v>3396</v>
      </c>
      <c r="G5759" t="s">
        <v>400</v>
      </c>
      <c r="H5759" t="s">
        <v>15046</v>
      </c>
      <c r="I5759" t="s">
        <v>15047</v>
      </c>
      <c r="J5759" t="s">
        <v>2749</v>
      </c>
      <c r="K5759" t="s">
        <v>55</v>
      </c>
      <c r="L5759" t="s">
        <v>2750</v>
      </c>
      <c r="M5759" t="s">
        <v>57</v>
      </c>
      <c r="N5759" t="str">
        <f>"019239"</f>
        <v>019239</v>
      </c>
      <c r="O5759" t="s">
        <v>14508</v>
      </c>
      <c r="P5759" t="s">
        <v>68</v>
      </c>
      <c r="Q5759" t="s">
        <v>68</v>
      </c>
      <c r="R5759" t="s">
        <v>68</v>
      </c>
      <c r="S5759" t="s">
        <v>156</v>
      </c>
    </row>
    <row r="5760" spans="1:19" x14ac:dyDescent="0.35">
      <c r="A5760">
        <v>20760</v>
      </c>
      <c r="B5760" t="str">
        <f>"020760"</f>
        <v>020760</v>
      </c>
      <c r="C5760" t="s">
        <v>15048</v>
      </c>
      <c r="D5760" t="s">
        <v>12052</v>
      </c>
      <c r="E5760" t="s">
        <v>12048</v>
      </c>
      <c r="F5760" t="s">
        <v>3396</v>
      </c>
      <c r="G5760" t="s">
        <v>600</v>
      </c>
      <c r="H5760" t="s">
        <v>15049</v>
      </c>
      <c r="I5760" t="s">
        <v>15050</v>
      </c>
      <c r="J5760" t="s">
        <v>1348</v>
      </c>
      <c r="K5760" t="s">
        <v>55</v>
      </c>
      <c r="L5760" t="s">
        <v>1516</v>
      </c>
      <c r="M5760" t="s">
        <v>57</v>
      </c>
      <c r="N5760" t="str">
        <f t="shared" ref="N5760:N5766" si="36">"017100"</f>
        <v>017100</v>
      </c>
      <c r="O5760" t="s">
        <v>13912</v>
      </c>
      <c r="P5760" t="s">
        <v>68</v>
      </c>
      <c r="Q5760" t="s">
        <v>68</v>
      </c>
      <c r="R5760" t="s">
        <v>68</v>
      </c>
      <c r="S5760" t="s">
        <v>60</v>
      </c>
    </row>
    <row r="5761" spans="1:19" x14ac:dyDescent="0.35">
      <c r="A5761">
        <v>20760</v>
      </c>
      <c r="B5761" t="str">
        <f>"020760"</f>
        <v>020760</v>
      </c>
      <c r="C5761" t="s">
        <v>15048</v>
      </c>
      <c r="D5761" t="s">
        <v>4572</v>
      </c>
      <c r="E5761" t="s">
        <v>12048</v>
      </c>
      <c r="F5761" t="s">
        <v>3396</v>
      </c>
      <c r="G5761" t="s">
        <v>600</v>
      </c>
      <c r="H5761" t="s">
        <v>15049</v>
      </c>
      <c r="I5761" t="s">
        <v>15050</v>
      </c>
      <c r="J5761" t="s">
        <v>1348</v>
      </c>
      <c r="K5761" t="s">
        <v>55</v>
      </c>
      <c r="L5761" t="s">
        <v>1516</v>
      </c>
      <c r="M5761" t="s">
        <v>57</v>
      </c>
      <c r="N5761" t="str">
        <f t="shared" si="36"/>
        <v>017100</v>
      </c>
      <c r="O5761" t="s">
        <v>13912</v>
      </c>
      <c r="P5761" t="s">
        <v>68</v>
      </c>
      <c r="Q5761" t="s">
        <v>68</v>
      </c>
      <c r="R5761" t="s">
        <v>68</v>
      </c>
      <c r="S5761" t="s">
        <v>60</v>
      </c>
    </row>
    <row r="5762" spans="1:19" x14ac:dyDescent="0.35">
      <c r="A5762">
        <v>20759</v>
      </c>
      <c r="B5762" t="str">
        <f>"020759"</f>
        <v>020759</v>
      </c>
      <c r="C5762" t="s">
        <v>15051</v>
      </c>
      <c r="D5762" t="s">
        <v>3398</v>
      </c>
      <c r="E5762" t="s">
        <v>12048</v>
      </c>
      <c r="F5762" t="s">
        <v>3396</v>
      </c>
      <c r="G5762" t="s">
        <v>244</v>
      </c>
      <c r="H5762" t="s">
        <v>15052</v>
      </c>
      <c r="I5762" t="s">
        <v>15053</v>
      </c>
      <c r="J5762" t="s">
        <v>11196</v>
      </c>
      <c r="K5762" t="s">
        <v>55</v>
      </c>
      <c r="L5762" t="s">
        <v>374</v>
      </c>
      <c r="M5762" t="s">
        <v>57</v>
      </c>
      <c r="N5762" t="str">
        <f t="shared" si="36"/>
        <v>017100</v>
      </c>
      <c r="O5762" t="s">
        <v>13912</v>
      </c>
      <c r="P5762" t="s">
        <v>68</v>
      </c>
      <c r="Q5762" t="s">
        <v>68</v>
      </c>
      <c r="R5762" t="s">
        <v>68</v>
      </c>
      <c r="S5762" t="s">
        <v>217</v>
      </c>
    </row>
    <row r="5763" spans="1:19" x14ac:dyDescent="0.35">
      <c r="A5763">
        <v>20759</v>
      </c>
      <c r="B5763" t="str">
        <f>"020759"</f>
        <v>020759</v>
      </c>
      <c r="C5763" t="s">
        <v>15051</v>
      </c>
      <c r="D5763" t="s">
        <v>12052</v>
      </c>
      <c r="E5763" t="s">
        <v>12048</v>
      </c>
      <c r="F5763" t="s">
        <v>3396</v>
      </c>
      <c r="G5763" t="s">
        <v>244</v>
      </c>
      <c r="H5763" t="s">
        <v>15052</v>
      </c>
      <c r="I5763" t="s">
        <v>15053</v>
      </c>
      <c r="J5763" t="s">
        <v>11196</v>
      </c>
      <c r="K5763" t="s">
        <v>55</v>
      </c>
      <c r="L5763" t="s">
        <v>374</v>
      </c>
      <c r="M5763" t="s">
        <v>57</v>
      </c>
      <c r="N5763" t="str">
        <f t="shared" si="36"/>
        <v>017100</v>
      </c>
      <c r="O5763" t="s">
        <v>13912</v>
      </c>
      <c r="P5763" t="s">
        <v>68</v>
      </c>
      <c r="Q5763" t="s">
        <v>68</v>
      </c>
      <c r="R5763" t="s">
        <v>68</v>
      </c>
      <c r="S5763" t="s">
        <v>217</v>
      </c>
    </row>
    <row r="5764" spans="1:19" x14ac:dyDescent="0.35">
      <c r="A5764">
        <v>20759</v>
      </c>
      <c r="B5764" t="str">
        <f>"020759"</f>
        <v>020759</v>
      </c>
      <c r="C5764" t="s">
        <v>15051</v>
      </c>
      <c r="D5764" t="s">
        <v>4572</v>
      </c>
      <c r="E5764" t="s">
        <v>12048</v>
      </c>
      <c r="F5764" t="s">
        <v>3396</v>
      </c>
      <c r="G5764" t="s">
        <v>244</v>
      </c>
      <c r="H5764" t="s">
        <v>15052</v>
      </c>
      <c r="I5764" t="s">
        <v>15053</v>
      </c>
      <c r="J5764" t="s">
        <v>11196</v>
      </c>
      <c r="K5764" t="s">
        <v>55</v>
      </c>
      <c r="L5764" t="s">
        <v>374</v>
      </c>
      <c r="M5764" t="s">
        <v>57</v>
      </c>
      <c r="N5764" t="str">
        <f t="shared" si="36"/>
        <v>017100</v>
      </c>
      <c r="O5764" t="s">
        <v>13912</v>
      </c>
      <c r="P5764" t="s">
        <v>68</v>
      </c>
      <c r="Q5764" t="s">
        <v>68</v>
      </c>
      <c r="R5764" t="s">
        <v>68</v>
      </c>
      <c r="S5764" t="s">
        <v>217</v>
      </c>
    </row>
    <row r="5765" spans="1:19" x14ac:dyDescent="0.35">
      <c r="A5765">
        <v>20825</v>
      </c>
      <c r="B5765" t="str">
        <f>"020825"</f>
        <v>020825</v>
      </c>
      <c r="C5765" t="s">
        <v>15054</v>
      </c>
      <c r="D5765" t="s">
        <v>12052</v>
      </c>
      <c r="E5765" t="s">
        <v>12048</v>
      </c>
      <c r="F5765" t="s">
        <v>3396</v>
      </c>
      <c r="G5765" t="s">
        <v>777</v>
      </c>
      <c r="H5765" t="s">
        <v>11204</v>
      </c>
      <c r="I5765" t="s">
        <v>11205</v>
      </c>
      <c r="J5765" t="s">
        <v>780</v>
      </c>
      <c r="K5765" t="s">
        <v>55</v>
      </c>
      <c r="L5765" t="s">
        <v>2815</v>
      </c>
      <c r="M5765" t="s">
        <v>57</v>
      </c>
      <c r="N5765" t="str">
        <f t="shared" si="36"/>
        <v>017100</v>
      </c>
      <c r="O5765" t="s">
        <v>13912</v>
      </c>
      <c r="P5765" t="s">
        <v>68</v>
      </c>
      <c r="Q5765" t="s">
        <v>68</v>
      </c>
      <c r="R5765" t="s">
        <v>68</v>
      </c>
      <c r="S5765" t="s">
        <v>180</v>
      </c>
    </row>
    <row r="5766" spans="1:19" x14ac:dyDescent="0.35">
      <c r="A5766">
        <v>20825</v>
      </c>
      <c r="B5766" t="str">
        <f>"020825"</f>
        <v>020825</v>
      </c>
      <c r="C5766" t="s">
        <v>15054</v>
      </c>
      <c r="D5766" t="s">
        <v>4572</v>
      </c>
      <c r="E5766" t="s">
        <v>12048</v>
      </c>
      <c r="F5766" t="s">
        <v>3396</v>
      </c>
      <c r="G5766" t="s">
        <v>777</v>
      </c>
      <c r="H5766" t="s">
        <v>11204</v>
      </c>
      <c r="I5766" t="s">
        <v>11205</v>
      </c>
      <c r="J5766" t="s">
        <v>780</v>
      </c>
      <c r="K5766" t="s">
        <v>55</v>
      </c>
      <c r="L5766" t="s">
        <v>2815</v>
      </c>
      <c r="M5766" t="s">
        <v>57</v>
      </c>
      <c r="N5766" t="str">
        <f t="shared" si="36"/>
        <v>017100</v>
      </c>
      <c r="O5766" t="s">
        <v>13912</v>
      </c>
      <c r="P5766" t="s">
        <v>68</v>
      </c>
      <c r="Q5766" t="s">
        <v>68</v>
      </c>
      <c r="R5766" t="s">
        <v>68</v>
      </c>
      <c r="S5766" t="s">
        <v>180</v>
      </c>
    </row>
    <row r="5767" spans="1:19" x14ac:dyDescent="0.35">
      <c r="A5767">
        <v>20873</v>
      </c>
      <c r="B5767" t="str">
        <f>"020873"</f>
        <v>020873</v>
      </c>
      <c r="C5767" t="s">
        <v>15055</v>
      </c>
      <c r="D5767" t="s">
        <v>3394</v>
      </c>
      <c r="E5767" t="s">
        <v>3395</v>
      </c>
      <c r="F5767" t="s">
        <v>3396</v>
      </c>
      <c r="G5767" t="s">
        <v>63</v>
      </c>
      <c r="H5767" t="s">
        <v>15056</v>
      </c>
      <c r="I5767" t="s">
        <v>15057</v>
      </c>
      <c r="J5767" t="s">
        <v>1710</v>
      </c>
      <c r="K5767" t="s">
        <v>55</v>
      </c>
      <c r="L5767" t="s">
        <v>1711</v>
      </c>
      <c r="M5767" t="s">
        <v>57</v>
      </c>
      <c r="N5767" t="str">
        <f>"045005"</f>
        <v>045005</v>
      </c>
      <c r="O5767" t="s">
        <v>1707</v>
      </c>
      <c r="P5767" t="s">
        <v>68</v>
      </c>
      <c r="Q5767" t="s">
        <v>68</v>
      </c>
      <c r="R5767" t="s">
        <v>68</v>
      </c>
      <c r="S5767" t="s">
        <v>69</v>
      </c>
    </row>
    <row r="5768" spans="1:19" x14ac:dyDescent="0.35">
      <c r="A5768">
        <v>20856</v>
      </c>
      <c r="B5768" t="str">
        <f>"020856"</f>
        <v>020856</v>
      </c>
      <c r="C5768" t="s">
        <v>15058</v>
      </c>
      <c r="D5768" t="s">
        <v>3543</v>
      </c>
      <c r="E5768" t="s">
        <v>3395</v>
      </c>
      <c r="F5768" t="s">
        <v>3396</v>
      </c>
      <c r="G5768" t="s">
        <v>117</v>
      </c>
      <c r="H5768" t="s">
        <v>15059</v>
      </c>
      <c r="I5768" t="s">
        <v>15060</v>
      </c>
      <c r="J5768" t="s">
        <v>120</v>
      </c>
      <c r="K5768" t="s">
        <v>55</v>
      </c>
      <c r="L5768" t="s">
        <v>121</v>
      </c>
      <c r="M5768" t="s">
        <v>57</v>
      </c>
      <c r="N5768" t="str">
        <f>"043497"</f>
        <v>043497</v>
      </c>
      <c r="O5768" t="s">
        <v>2889</v>
      </c>
      <c r="P5768" t="s">
        <v>68</v>
      </c>
      <c r="Q5768" t="s">
        <v>68</v>
      </c>
      <c r="R5768" t="s">
        <v>68</v>
      </c>
      <c r="S5768" t="s">
        <v>77</v>
      </c>
    </row>
    <row r="5769" spans="1:19" x14ac:dyDescent="0.35">
      <c r="A5769">
        <v>20795</v>
      </c>
      <c r="B5769" t="str">
        <f>"020795"</f>
        <v>020795</v>
      </c>
      <c r="C5769" t="s">
        <v>15061</v>
      </c>
      <c r="D5769" t="s">
        <v>3394</v>
      </c>
      <c r="E5769" t="s">
        <v>9538</v>
      </c>
      <c r="F5769" t="s">
        <v>3396</v>
      </c>
      <c r="G5769" t="s">
        <v>63</v>
      </c>
      <c r="H5769" t="s">
        <v>15062</v>
      </c>
      <c r="I5769" t="s">
        <v>15063</v>
      </c>
      <c r="J5769" t="s">
        <v>66</v>
      </c>
      <c r="K5769" t="s">
        <v>55</v>
      </c>
      <c r="L5769" t="s">
        <v>2232</v>
      </c>
      <c r="M5769" t="s">
        <v>57</v>
      </c>
      <c r="N5769" t="str">
        <f>"020795"</f>
        <v>020795</v>
      </c>
      <c r="O5769" t="s">
        <v>15061</v>
      </c>
      <c r="P5769" t="s">
        <v>68</v>
      </c>
      <c r="Q5769" t="s">
        <v>68</v>
      </c>
      <c r="R5769" t="s">
        <v>68</v>
      </c>
      <c r="S5769" t="s">
        <v>69</v>
      </c>
    </row>
    <row r="5770" spans="1:19" x14ac:dyDescent="0.35">
      <c r="A5770">
        <v>20855</v>
      </c>
      <c r="B5770" t="str">
        <f>"020855"</f>
        <v>020855</v>
      </c>
      <c r="C5770" t="s">
        <v>15064</v>
      </c>
      <c r="D5770" t="s">
        <v>3543</v>
      </c>
      <c r="E5770" t="s">
        <v>3395</v>
      </c>
      <c r="F5770" t="s">
        <v>3396</v>
      </c>
      <c r="G5770" t="s">
        <v>663</v>
      </c>
      <c r="H5770" t="s">
        <v>15065</v>
      </c>
      <c r="I5770" t="s">
        <v>15066</v>
      </c>
      <c r="J5770" t="s">
        <v>1604</v>
      </c>
      <c r="K5770" t="s">
        <v>55</v>
      </c>
      <c r="L5770" t="s">
        <v>1605</v>
      </c>
      <c r="M5770" t="s">
        <v>57</v>
      </c>
      <c r="N5770" t="str">
        <f>"049437"</f>
        <v>049437</v>
      </c>
      <c r="O5770" t="s">
        <v>2027</v>
      </c>
      <c r="P5770" t="s">
        <v>68</v>
      </c>
      <c r="Q5770" t="s">
        <v>68</v>
      </c>
      <c r="R5770" t="s">
        <v>68</v>
      </c>
      <c r="S5770" t="s">
        <v>77</v>
      </c>
    </row>
    <row r="5771" spans="1:19" x14ac:dyDescent="0.35">
      <c r="A5771">
        <v>20811</v>
      </c>
      <c r="B5771" t="str">
        <f>"020811"</f>
        <v>020811</v>
      </c>
      <c r="C5771" t="s">
        <v>15067</v>
      </c>
      <c r="D5771" t="s">
        <v>3398</v>
      </c>
      <c r="E5771" t="s">
        <v>12048</v>
      </c>
      <c r="F5771" t="s">
        <v>3396</v>
      </c>
      <c r="G5771" t="s">
        <v>318</v>
      </c>
      <c r="H5771" t="s">
        <v>15068</v>
      </c>
      <c r="I5771" t="s">
        <v>15069</v>
      </c>
      <c r="J5771" t="s">
        <v>321</v>
      </c>
      <c r="K5771" t="s">
        <v>55</v>
      </c>
      <c r="L5771" t="s">
        <v>322</v>
      </c>
      <c r="M5771" t="s">
        <v>57</v>
      </c>
      <c r="N5771" t="str">
        <f>"N/A"</f>
        <v>N/A</v>
      </c>
      <c r="O5771" t="s">
        <v>49</v>
      </c>
      <c r="P5771" t="s">
        <v>68</v>
      </c>
      <c r="Q5771" t="s">
        <v>68</v>
      </c>
      <c r="R5771" t="s">
        <v>68</v>
      </c>
      <c r="S5771" t="s">
        <v>130</v>
      </c>
    </row>
    <row r="5772" spans="1:19" x14ac:dyDescent="0.35">
      <c r="A5772">
        <v>20811</v>
      </c>
      <c r="B5772" t="str">
        <f>"020811"</f>
        <v>020811</v>
      </c>
      <c r="C5772" t="s">
        <v>15067</v>
      </c>
      <c r="D5772" t="s">
        <v>12052</v>
      </c>
      <c r="E5772" t="s">
        <v>12048</v>
      </c>
      <c r="F5772" t="s">
        <v>3396</v>
      </c>
      <c r="G5772" t="s">
        <v>318</v>
      </c>
      <c r="H5772" t="s">
        <v>15068</v>
      </c>
      <c r="I5772" t="s">
        <v>15069</v>
      </c>
      <c r="J5772" t="s">
        <v>321</v>
      </c>
      <c r="K5772" t="s">
        <v>55</v>
      </c>
      <c r="L5772" t="s">
        <v>322</v>
      </c>
      <c r="M5772" t="s">
        <v>57</v>
      </c>
      <c r="N5772" t="str">
        <f>"N/A"</f>
        <v>N/A</v>
      </c>
      <c r="O5772" t="s">
        <v>49</v>
      </c>
      <c r="P5772" t="s">
        <v>68</v>
      </c>
      <c r="Q5772" t="s">
        <v>68</v>
      </c>
      <c r="R5772" t="s">
        <v>68</v>
      </c>
      <c r="S5772" t="s">
        <v>130</v>
      </c>
    </row>
    <row r="5773" spans="1:19" x14ac:dyDescent="0.35">
      <c r="A5773">
        <v>20811</v>
      </c>
      <c r="B5773" t="str">
        <f>"020811"</f>
        <v>020811</v>
      </c>
      <c r="C5773" t="s">
        <v>15067</v>
      </c>
      <c r="D5773" t="s">
        <v>4572</v>
      </c>
      <c r="E5773" t="s">
        <v>12048</v>
      </c>
      <c r="F5773" t="s">
        <v>3396</v>
      </c>
      <c r="G5773" t="s">
        <v>318</v>
      </c>
      <c r="H5773" t="s">
        <v>15068</v>
      </c>
      <c r="I5773" t="s">
        <v>15069</v>
      </c>
      <c r="J5773" t="s">
        <v>321</v>
      </c>
      <c r="K5773" t="s">
        <v>55</v>
      </c>
      <c r="L5773" t="s">
        <v>322</v>
      </c>
      <c r="M5773" t="s">
        <v>57</v>
      </c>
      <c r="N5773" t="str">
        <f>"N/A"</f>
        <v>N/A</v>
      </c>
      <c r="O5773" t="s">
        <v>49</v>
      </c>
      <c r="P5773" t="s">
        <v>68</v>
      </c>
      <c r="Q5773" t="s">
        <v>68</v>
      </c>
      <c r="R5773" t="s">
        <v>68</v>
      </c>
      <c r="S5773" t="s">
        <v>130</v>
      </c>
    </row>
    <row r="5774" spans="1:19" x14ac:dyDescent="0.35">
      <c r="A5774">
        <v>20866</v>
      </c>
      <c r="B5774" t="str">
        <f>"020866"</f>
        <v>020866</v>
      </c>
      <c r="C5774" t="s">
        <v>15070</v>
      </c>
      <c r="D5774" t="s">
        <v>49</v>
      </c>
      <c r="E5774" t="s">
        <v>3395</v>
      </c>
      <c r="F5774" t="s">
        <v>3396</v>
      </c>
      <c r="G5774" t="s">
        <v>200</v>
      </c>
      <c r="H5774" t="s">
        <v>15071</v>
      </c>
      <c r="I5774" t="s">
        <v>15072</v>
      </c>
      <c r="J5774" t="s">
        <v>304</v>
      </c>
      <c r="K5774" t="s">
        <v>55</v>
      </c>
      <c r="L5774" t="s">
        <v>5763</v>
      </c>
      <c r="M5774" t="s">
        <v>57</v>
      </c>
      <c r="N5774" t="str">
        <f>"044909"</f>
        <v>044909</v>
      </c>
      <c r="O5774" t="s">
        <v>3318</v>
      </c>
      <c r="P5774" t="s">
        <v>68</v>
      </c>
      <c r="Q5774" t="s">
        <v>68</v>
      </c>
      <c r="R5774" t="s">
        <v>68</v>
      </c>
      <c r="S5774" t="s">
        <v>156</v>
      </c>
    </row>
    <row r="5775" spans="1:19" x14ac:dyDescent="0.35">
      <c r="A5775">
        <v>20884</v>
      </c>
      <c r="B5775" t="str">
        <f>"020884"</f>
        <v>020884</v>
      </c>
      <c r="C5775" t="s">
        <v>15073</v>
      </c>
      <c r="D5775" t="s">
        <v>3394</v>
      </c>
      <c r="E5775" t="s">
        <v>3395</v>
      </c>
      <c r="F5775" t="s">
        <v>3396</v>
      </c>
      <c r="G5775" t="s">
        <v>600</v>
      </c>
      <c r="H5775" t="s">
        <v>13122</v>
      </c>
      <c r="I5775" t="s">
        <v>13123</v>
      </c>
      <c r="J5775" t="s">
        <v>603</v>
      </c>
      <c r="K5775" t="s">
        <v>55</v>
      </c>
      <c r="L5775" t="s">
        <v>604</v>
      </c>
      <c r="M5775" t="s">
        <v>57</v>
      </c>
      <c r="N5775" t="str">
        <f>"047001"</f>
        <v>047001</v>
      </c>
      <c r="O5775" t="s">
        <v>599</v>
      </c>
      <c r="P5775" t="s">
        <v>68</v>
      </c>
      <c r="Q5775" t="s">
        <v>68</v>
      </c>
      <c r="R5775" t="s">
        <v>68</v>
      </c>
      <c r="S5775" t="s">
        <v>60</v>
      </c>
    </row>
    <row r="5776" spans="1:19" x14ac:dyDescent="0.35">
      <c r="A5776">
        <v>20854</v>
      </c>
      <c r="B5776" t="str">
        <f>"020854"</f>
        <v>020854</v>
      </c>
      <c r="C5776" t="s">
        <v>15074</v>
      </c>
      <c r="D5776" t="s">
        <v>49</v>
      </c>
      <c r="E5776" t="s">
        <v>3395</v>
      </c>
      <c r="F5776" t="s">
        <v>3396</v>
      </c>
      <c r="G5776" t="s">
        <v>406</v>
      </c>
      <c r="H5776" t="s">
        <v>463</v>
      </c>
      <c r="I5776" t="s">
        <v>464</v>
      </c>
      <c r="J5776" t="s">
        <v>465</v>
      </c>
      <c r="K5776" t="s">
        <v>55</v>
      </c>
      <c r="L5776" t="s">
        <v>466</v>
      </c>
      <c r="M5776" t="s">
        <v>57</v>
      </c>
      <c r="N5776" t="str">
        <f>"044974"</f>
        <v>044974</v>
      </c>
      <c r="O5776" t="s">
        <v>462</v>
      </c>
      <c r="P5776" t="s">
        <v>68</v>
      </c>
      <c r="Q5776" t="s">
        <v>68</v>
      </c>
      <c r="R5776" t="s">
        <v>68</v>
      </c>
      <c r="S5776" t="s">
        <v>77</v>
      </c>
    </row>
    <row r="5777" spans="1:19" x14ac:dyDescent="0.35">
      <c r="A5777">
        <v>20870</v>
      </c>
      <c r="B5777" t="str">
        <f>"020870"</f>
        <v>020870</v>
      </c>
      <c r="C5777" t="s">
        <v>15075</v>
      </c>
      <c r="D5777" t="s">
        <v>49</v>
      </c>
      <c r="E5777" t="s">
        <v>3395</v>
      </c>
      <c r="F5777" t="s">
        <v>3396</v>
      </c>
      <c r="G5777" t="s">
        <v>212</v>
      </c>
      <c r="H5777" t="s">
        <v>15076</v>
      </c>
      <c r="I5777" t="s">
        <v>15077</v>
      </c>
      <c r="J5777" t="s">
        <v>215</v>
      </c>
      <c r="K5777" t="s">
        <v>55</v>
      </c>
      <c r="L5777" t="s">
        <v>1693</v>
      </c>
      <c r="M5777" t="s">
        <v>57</v>
      </c>
      <c r="N5777" t="str">
        <f>"043752"</f>
        <v>043752</v>
      </c>
      <c r="O5777" t="s">
        <v>440</v>
      </c>
      <c r="P5777" t="s">
        <v>68</v>
      </c>
      <c r="Q5777" t="s">
        <v>68</v>
      </c>
      <c r="R5777" t="s">
        <v>68</v>
      </c>
      <c r="S5777" t="s">
        <v>217</v>
      </c>
    </row>
    <row r="5778" spans="1:19" x14ac:dyDescent="0.35">
      <c r="A5778">
        <v>337</v>
      </c>
      <c r="B5778" t="str">
        <f>"000337"</f>
        <v>000337</v>
      </c>
      <c r="C5778" t="s">
        <v>15078</v>
      </c>
      <c r="D5778" t="s">
        <v>49</v>
      </c>
      <c r="E5778" t="s">
        <v>15079</v>
      </c>
      <c r="F5778" t="s">
        <v>3396</v>
      </c>
      <c r="G5778" t="s">
        <v>244</v>
      </c>
      <c r="H5778" t="s">
        <v>15080</v>
      </c>
      <c r="I5778" t="s">
        <v>15081</v>
      </c>
      <c r="J5778" t="s">
        <v>2008</v>
      </c>
      <c r="K5778" t="s">
        <v>55</v>
      </c>
      <c r="L5778" t="s">
        <v>374</v>
      </c>
      <c r="M5778" t="s">
        <v>57</v>
      </c>
      <c r="N5778" t="str">
        <f>"050880"</f>
        <v>050880</v>
      </c>
      <c r="O5778" t="s">
        <v>2248</v>
      </c>
      <c r="P5778" t="s">
        <v>68</v>
      </c>
      <c r="Q5778" t="s">
        <v>68</v>
      </c>
      <c r="R5778" t="s">
        <v>68</v>
      </c>
      <c r="S5778" t="s">
        <v>217</v>
      </c>
    </row>
    <row r="5779" spans="1:19" x14ac:dyDescent="0.35">
      <c r="A5779">
        <v>51466</v>
      </c>
      <c r="B5779" t="str">
        <f>"051466"</f>
        <v>051466</v>
      </c>
      <c r="C5779" t="s">
        <v>15082</v>
      </c>
      <c r="D5779" t="s">
        <v>49</v>
      </c>
      <c r="E5779" t="s">
        <v>15079</v>
      </c>
      <c r="F5779" t="s">
        <v>3396</v>
      </c>
      <c r="G5779" t="s">
        <v>400</v>
      </c>
      <c r="H5779" t="s">
        <v>2747</v>
      </c>
      <c r="I5779" t="s">
        <v>2748</v>
      </c>
      <c r="J5779" t="s">
        <v>2749</v>
      </c>
      <c r="K5779" t="s">
        <v>55</v>
      </c>
      <c r="L5779" t="s">
        <v>2750</v>
      </c>
      <c r="M5779" t="s">
        <v>57</v>
      </c>
      <c r="N5779" t="str">
        <f>"051458"</f>
        <v>051458</v>
      </c>
      <c r="O5779" t="s">
        <v>3305</v>
      </c>
      <c r="P5779" t="s">
        <v>68</v>
      </c>
      <c r="Q5779" t="s">
        <v>68</v>
      </c>
      <c r="R5779" t="s">
        <v>68</v>
      </c>
      <c r="S5779" t="s">
        <v>156</v>
      </c>
    </row>
    <row r="5780" spans="1:19" x14ac:dyDescent="0.35">
      <c r="A5780">
        <v>51722</v>
      </c>
      <c r="B5780" t="str">
        <f>"051722"</f>
        <v>051722</v>
      </c>
      <c r="C5780" t="s">
        <v>15083</v>
      </c>
      <c r="D5780" t="s">
        <v>49</v>
      </c>
      <c r="E5780" t="s">
        <v>15079</v>
      </c>
      <c r="F5780" t="s">
        <v>3396</v>
      </c>
      <c r="G5780" t="s">
        <v>187</v>
      </c>
      <c r="H5780" t="s">
        <v>395</v>
      </c>
      <c r="I5780" t="s">
        <v>396</v>
      </c>
      <c r="J5780" t="s">
        <v>397</v>
      </c>
      <c r="K5780" t="s">
        <v>55</v>
      </c>
      <c r="L5780" t="s">
        <v>398</v>
      </c>
      <c r="M5780" t="s">
        <v>57</v>
      </c>
      <c r="N5780" t="str">
        <f>"051714"</f>
        <v>051714</v>
      </c>
      <c r="O5780" t="s">
        <v>2888</v>
      </c>
      <c r="P5780" t="s">
        <v>68</v>
      </c>
      <c r="Q5780" t="s">
        <v>68</v>
      </c>
      <c r="R5780" t="s">
        <v>68</v>
      </c>
      <c r="S5780" t="s">
        <v>77</v>
      </c>
    </row>
    <row r="5781" spans="1:19" x14ac:dyDescent="0.35">
      <c r="A5781">
        <v>15326</v>
      </c>
      <c r="B5781" t="str">
        <f>"015326"</f>
        <v>015326</v>
      </c>
      <c r="C5781" t="s">
        <v>15084</v>
      </c>
      <c r="D5781" t="s">
        <v>49</v>
      </c>
      <c r="E5781" t="s">
        <v>15079</v>
      </c>
      <c r="F5781" t="s">
        <v>3396</v>
      </c>
      <c r="G5781" t="s">
        <v>212</v>
      </c>
      <c r="H5781" t="s">
        <v>15085</v>
      </c>
      <c r="I5781" t="s">
        <v>15086</v>
      </c>
      <c r="J5781" t="s">
        <v>215</v>
      </c>
      <c r="K5781" t="s">
        <v>55</v>
      </c>
      <c r="L5781" t="s">
        <v>520</v>
      </c>
      <c r="M5781" t="s">
        <v>57</v>
      </c>
      <c r="N5781" t="str">
        <f>"051060"</f>
        <v>051060</v>
      </c>
      <c r="O5781" t="s">
        <v>517</v>
      </c>
      <c r="P5781" t="s">
        <v>68</v>
      </c>
      <c r="Q5781" t="s">
        <v>68</v>
      </c>
      <c r="R5781" t="s">
        <v>68</v>
      </c>
      <c r="S5781" t="s">
        <v>217</v>
      </c>
    </row>
    <row r="5782" spans="1:19" x14ac:dyDescent="0.35">
      <c r="A5782">
        <v>68429</v>
      </c>
      <c r="B5782" t="str">
        <f>"068429"</f>
        <v>068429</v>
      </c>
      <c r="C5782" t="s">
        <v>15087</v>
      </c>
      <c r="D5782" t="s">
        <v>49</v>
      </c>
      <c r="E5782" t="s">
        <v>15079</v>
      </c>
      <c r="F5782" t="s">
        <v>3396</v>
      </c>
      <c r="G5782" t="s">
        <v>1239</v>
      </c>
      <c r="H5782" t="s">
        <v>15088</v>
      </c>
      <c r="I5782" t="s">
        <v>15089</v>
      </c>
      <c r="J5782" t="s">
        <v>1242</v>
      </c>
      <c r="K5782" t="s">
        <v>55</v>
      </c>
      <c r="L5782" t="s">
        <v>1243</v>
      </c>
      <c r="M5782" t="s">
        <v>57</v>
      </c>
      <c r="N5782" t="str">
        <f>"048652"</f>
        <v>048652</v>
      </c>
      <c r="O5782" t="s">
        <v>2757</v>
      </c>
      <c r="P5782" t="s">
        <v>68</v>
      </c>
      <c r="Q5782" t="s">
        <v>68</v>
      </c>
      <c r="R5782" t="s">
        <v>68</v>
      </c>
      <c r="S5782" t="s">
        <v>130</v>
      </c>
    </row>
    <row r="5783" spans="1:19" x14ac:dyDescent="0.35">
      <c r="A5783">
        <v>64634</v>
      </c>
      <c r="B5783" t="str">
        <f>"064634"</f>
        <v>064634</v>
      </c>
      <c r="C5783" t="s">
        <v>15090</v>
      </c>
      <c r="D5783" t="s">
        <v>49</v>
      </c>
      <c r="E5783" t="s">
        <v>15079</v>
      </c>
      <c r="F5783" t="s">
        <v>3396</v>
      </c>
      <c r="G5783" t="s">
        <v>481</v>
      </c>
      <c r="H5783" t="s">
        <v>15091</v>
      </c>
      <c r="I5783" t="s">
        <v>15092</v>
      </c>
      <c r="J5783" t="s">
        <v>4970</v>
      </c>
      <c r="K5783" t="s">
        <v>55</v>
      </c>
      <c r="L5783" t="s">
        <v>1822</v>
      </c>
      <c r="M5783" t="s">
        <v>57</v>
      </c>
      <c r="N5783" t="str">
        <f>"045104"</f>
        <v>045104</v>
      </c>
      <c r="O5783" t="s">
        <v>771</v>
      </c>
      <c r="P5783" t="s">
        <v>68</v>
      </c>
      <c r="Q5783" t="s">
        <v>68</v>
      </c>
      <c r="R5783" t="s">
        <v>68</v>
      </c>
      <c r="S5783" t="s">
        <v>69</v>
      </c>
    </row>
    <row r="5784" spans="1:19" x14ac:dyDescent="0.35">
      <c r="A5784">
        <v>70102</v>
      </c>
      <c r="B5784" t="str">
        <f>"070102"</f>
        <v>070102</v>
      </c>
      <c r="C5784" t="s">
        <v>15093</v>
      </c>
      <c r="D5784" t="s">
        <v>49</v>
      </c>
      <c r="E5784" t="s">
        <v>15079</v>
      </c>
      <c r="F5784" t="s">
        <v>3396</v>
      </c>
      <c r="G5784" t="s">
        <v>600</v>
      </c>
      <c r="H5784" t="s">
        <v>15094</v>
      </c>
      <c r="I5784" t="s">
        <v>15095</v>
      </c>
      <c r="J5784" t="s">
        <v>1348</v>
      </c>
      <c r="K5784" t="s">
        <v>55</v>
      </c>
      <c r="L5784" t="s">
        <v>1516</v>
      </c>
      <c r="M5784" t="s">
        <v>57</v>
      </c>
      <c r="N5784" t="str">
        <f>"043802"</f>
        <v>043802</v>
      </c>
      <c r="O5784" t="s">
        <v>3171</v>
      </c>
      <c r="P5784" t="s">
        <v>68</v>
      </c>
      <c r="Q5784" t="s">
        <v>68</v>
      </c>
      <c r="R5784" t="s">
        <v>68</v>
      </c>
      <c r="S5784" t="s">
        <v>60</v>
      </c>
    </row>
    <row r="5785" spans="1:19" x14ac:dyDescent="0.35">
      <c r="A5785">
        <v>50823</v>
      </c>
      <c r="B5785" t="str">
        <f>"050823"</f>
        <v>050823</v>
      </c>
      <c r="C5785" t="s">
        <v>15096</v>
      </c>
      <c r="D5785" t="s">
        <v>49</v>
      </c>
      <c r="E5785" t="s">
        <v>15079</v>
      </c>
      <c r="F5785" t="s">
        <v>3396</v>
      </c>
      <c r="G5785" t="s">
        <v>132</v>
      </c>
      <c r="H5785" t="s">
        <v>133</v>
      </c>
      <c r="I5785" t="s">
        <v>134</v>
      </c>
      <c r="J5785" t="s">
        <v>135</v>
      </c>
      <c r="K5785" t="s">
        <v>55</v>
      </c>
      <c r="L5785" t="s">
        <v>136</v>
      </c>
      <c r="M5785" t="s">
        <v>57</v>
      </c>
      <c r="N5785" t="str">
        <f>"050815"</f>
        <v>050815</v>
      </c>
      <c r="O5785" t="s">
        <v>1971</v>
      </c>
      <c r="P5785" t="s">
        <v>68</v>
      </c>
      <c r="Q5785" t="s">
        <v>68</v>
      </c>
      <c r="R5785" t="s">
        <v>68</v>
      </c>
      <c r="S5785" t="s">
        <v>69</v>
      </c>
    </row>
    <row r="5786" spans="1:19" x14ac:dyDescent="0.35">
      <c r="A5786">
        <v>64980</v>
      </c>
      <c r="B5786" t="str">
        <f>"064980"</f>
        <v>064980</v>
      </c>
      <c r="C5786" t="s">
        <v>15097</v>
      </c>
      <c r="D5786" t="s">
        <v>49</v>
      </c>
      <c r="E5786" t="s">
        <v>15079</v>
      </c>
      <c r="F5786" t="s">
        <v>3396</v>
      </c>
      <c r="G5786" t="s">
        <v>212</v>
      </c>
      <c r="H5786" t="s">
        <v>15098</v>
      </c>
      <c r="I5786" t="s">
        <v>15099</v>
      </c>
      <c r="J5786" t="s">
        <v>215</v>
      </c>
      <c r="K5786" t="s">
        <v>55</v>
      </c>
      <c r="L5786" t="s">
        <v>7059</v>
      </c>
      <c r="M5786" t="s">
        <v>57</v>
      </c>
      <c r="N5786" t="str">
        <f>"051060"</f>
        <v>051060</v>
      </c>
      <c r="O5786" t="s">
        <v>517</v>
      </c>
      <c r="P5786" t="s">
        <v>68</v>
      </c>
      <c r="Q5786" t="s">
        <v>68</v>
      </c>
      <c r="R5786" t="s">
        <v>68</v>
      </c>
      <c r="S5786" t="s">
        <v>217</v>
      </c>
    </row>
    <row r="5787" spans="1:19" x14ac:dyDescent="0.35">
      <c r="A5787">
        <v>14464</v>
      </c>
      <c r="B5787" t="str">
        <f>"014464"</f>
        <v>014464</v>
      </c>
      <c r="C5787" t="s">
        <v>15100</v>
      </c>
      <c r="D5787" t="s">
        <v>49</v>
      </c>
      <c r="E5787" t="s">
        <v>15079</v>
      </c>
      <c r="F5787" t="s">
        <v>3396</v>
      </c>
      <c r="G5787" t="s">
        <v>642</v>
      </c>
      <c r="H5787" t="s">
        <v>1467</v>
      </c>
      <c r="I5787" t="s">
        <v>1468</v>
      </c>
      <c r="J5787" t="s">
        <v>1469</v>
      </c>
      <c r="K5787" t="s">
        <v>55</v>
      </c>
      <c r="L5787" t="s">
        <v>1470</v>
      </c>
      <c r="M5787" t="s">
        <v>57</v>
      </c>
      <c r="N5787" t="str">
        <f>"051045"</f>
        <v>051045</v>
      </c>
      <c r="O5787" t="s">
        <v>1466</v>
      </c>
      <c r="P5787" t="s">
        <v>68</v>
      </c>
      <c r="Q5787" t="s">
        <v>68</v>
      </c>
      <c r="R5787" t="s">
        <v>68</v>
      </c>
      <c r="S5787" t="s">
        <v>180</v>
      </c>
    </row>
    <row r="5788" spans="1:19" x14ac:dyDescent="0.35">
      <c r="A5788">
        <v>122812</v>
      </c>
      <c r="B5788" t="str">
        <f>"122812"</f>
        <v>122812</v>
      </c>
      <c r="C5788" t="s">
        <v>15101</v>
      </c>
      <c r="D5788" t="s">
        <v>49</v>
      </c>
      <c r="E5788" t="s">
        <v>15079</v>
      </c>
      <c r="F5788" t="s">
        <v>3396</v>
      </c>
      <c r="G5788" t="s">
        <v>400</v>
      </c>
      <c r="H5788" t="s">
        <v>15102</v>
      </c>
      <c r="I5788" t="s">
        <v>15103</v>
      </c>
      <c r="J5788" t="s">
        <v>2749</v>
      </c>
      <c r="K5788" t="s">
        <v>55</v>
      </c>
      <c r="L5788" t="s">
        <v>2750</v>
      </c>
      <c r="M5788" t="s">
        <v>57</v>
      </c>
      <c r="N5788" t="str">
        <f>"051458"</f>
        <v>051458</v>
      </c>
      <c r="O5788" t="s">
        <v>3305</v>
      </c>
      <c r="P5788" t="s">
        <v>68</v>
      </c>
      <c r="Q5788" t="s">
        <v>68</v>
      </c>
      <c r="R5788" t="s">
        <v>68</v>
      </c>
      <c r="S5788" t="s">
        <v>156</v>
      </c>
    </row>
    <row r="5789" spans="1:19" x14ac:dyDescent="0.35">
      <c r="A5789">
        <v>63503</v>
      </c>
      <c r="B5789" t="str">
        <f>"063503"</f>
        <v>063503</v>
      </c>
      <c r="C5789" t="s">
        <v>15104</v>
      </c>
      <c r="D5789" t="s">
        <v>49</v>
      </c>
      <c r="E5789" t="s">
        <v>15079</v>
      </c>
      <c r="F5789" t="s">
        <v>3396</v>
      </c>
      <c r="G5789" t="s">
        <v>264</v>
      </c>
      <c r="H5789" t="s">
        <v>341</v>
      </c>
      <c r="I5789" t="s">
        <v>342</v>
      </c>
      <c r="J5789" t="s">
        <v>160</v>
      </c>
      <c r="K5789" t="s">
        <v>55</v>
      </c>
      <c r="L5789" t="s">
        <v>161</v>
      </c>
      <c r="M5789" t="s">
        <v>57</v>
      </c>
      <c r="N5789" t="str">
        <f>"063495"</f>
        <v>063495</v>
      </c>
      <c r="O5789" t="s">
        <v>1039</v>
      </c>
      <c r="P5789" t="s">
        <v>68</v>
      </c>
      <c r="Q5789" t="s">
        <v>68</v>
      </c>
      <c r="R5789" t="s">
        <v>68</v>
      </c>
      <c r="S5789" t="s">
        <v>77</v>
      </c>
    </row>
    <row r="5790" spans="1:19" x14ac:dyDescent="0.35">
      <c r="A5790">
        <v>94953</v>
      </c>
      <c r="B5790" t="str">
        <f>"094953"</f>
        <v>094953</v>
      </c>
      <c r="C5790" t="s">
        <v>15105</v>
      </c>
      <c r="D5790" t="s">
        <v>49</v>
      </c>
      <c r="E5790" t="s">
        <v>15079</v>
      </c>
      <c r="F5790" t="s">
        <v>3396</v>
      </c>
      <c r="G5790" t="s">
        <v>92</v>
      </c>
      <c r="H5790" t="s">
        <v>15106</v>
      </c>
      <c r="I5790" t="s">
        <v>15107</v>
      </c>
      <c r="J5790" t="s">
        <v>104</v>
      </c>
      <c r="K5790" t="s">
        <v>55</v>
      </c>
      <c r="L5790" t="s">
        <v>1564</v>
      </c>
      <c r="M5790" t="s">
        <v>57</v>
      </c>
      <c r="N5790" t="str">
        <f>"051003"</f>
        <v>051003</v>
      </c>
      <c r="O5790" t="s">
        <v>1078</v>
      </c>
      <c r="P5790" t="s">
        <v>68</v>
      </c>
      <c r="Q5790" t="s">
        <v>68</v>
      </c>
      <c r="R5790" t="s">
        <v>68</v>
      </c>
      <c r="S5790" t="s">
        <v>60</v>
      </c>
    </row>
    <row r="5791" spans="1:19" x14ac:dyDescent="0.35">
      <c r="A5791">
        <v>124966</v>
      </c>
      <c r="B5791" t="str">
        <f>"124966"</f>
        <v>124966</v>
      </c>
      <c r="C5791" t="s">
        <v>15108</v>
      </c>
      <c r="D5791" t="s">
        <v>49</v>
      </c>
      <c r="E5791" t="s">
        <v>15079</v>
      </c>
      <c r="F5791" t="s">
        <v>3396</v>
      </c>
      <c r="G5791" t="s">
        <v>52</v>
      </c>
      <c r="H5791" t="s">
        <v>837</v>
      </c>
      <c r="I5791" t="s">
        <v>838</v>
      </c>
      <c r="J5791" t="s">
        <v>52</v>
      </c>
      <c r="K5791" t="s">
        <v>55</v>
      </c>
      <c r="L5791" t="s">
        <v>56</v>
      </c>
      <c r="M5791" t="s">
        <v>57</v>
      </c>
      <c r="N5791" t="str">
        <f>"050989"</f>
        <v>050989</v>
      </c>
      <c r="O5791" t="s">
        <v>1227</v>
      </c>
      <c r="P5791" t="s">
        <v>68</v>
      </c>
      <c r="Q5791" t="s">
        <v>68</v>
      </c>
      <c r="R5791" t="s">
        <v>68</v>
      </c>
      <c r="S5791" t="s">
        <v>60</v>
      </c>
    </row>
    <row r="5792" spans="1:19" x14ac:dyDescent="0.35">
      <c r="A5792">
        <v>51664</v>
      </c>
      <c r="B5792" t="str">
        <f>"051664"</f>
        <v>051664</v>
      </c>
      <c r="C5792" t="s">
        <v>15109</v>
      </c>
      <c r="D5792" t="s">
        <v>49</v>
      </c>
      <c r="E5792" t="s">
        <v>15079</v>
      </c>
      <c r="F5792" t="s">
        <v>3396</v>
      </c>
      <c r="G5792" t="s">
        <v>71</v>
      </c>
      <c r="H5792" t="s">
        <v>2989</v>
      </c>
      <c r="I5792" t="s">
        <v>2990</v>
      </c>
      <c r="J5792" t="s">
        <v>447</v>
      </c>
      <c r="K5792" t="s">
        <v>55</v>
      </c>
      <c r="L5792" t="s">
        <v>448</v>
      </c>
      <c r="M5792" t="s">
        <v>57</v>
      </c>
      <c r="N5792" t="str">
        <f>"051656"</f>
        <v>051656</v>
      </c>
      <c r="O5792" t="s">
        <v>2988</v>
      </c>
      <c r="P5792" t="s">
        <v>68</v>
      </c>
      <c r="Q5792" t="s">
        <v>68</v>
      </c>
      <c r="R5792" t="s">
        <v>68</v>
      </c>
      <c r="S5792" t="s">
        <v>77</v>
      </c>
    </row>
    <row r="5793" spans="1:19" x14ac:dyDescent="0.35">
      <c r="A5793">
        <v>42648</v>
      </c>
      <c r="B5793" t="str">
        <f>"042648"</f>
        <v>042648</v>
      </c>
      <c r="C5793" t="s">
        <v>15110</v>
      </c>
      <c r="D5793" t="s">
        <v>49</v>
      </c>
      <c r="E5793" t="s">
        <v>15111</v>
      </c>
      <c r="F5793" t="s">
        <v>3396</v>
      </c>
      <c r="G5793" t="s">
        <v>117</v>
      </c>
      <c r="H5793" t="s">
        <v>15112</v>
      </c>
      <c r="I5793" t="s">
        <v>15113</v>
      </c>
      <c r="J5793" t="s">
        <v>1409</v>
      </c>
      <c r="K5793" t="s">
        <v>55</v>
      </c>
      <c r="L5793" t="s">
        <v>2662</v>
      </c>
      <c r="M5793" t="s">
        <v>57</v>
      </c>
      <c r="N5793" t="str">
        <f>"043711"</f>
        <v>043711</v>
      </c>
      <c r="O5793" t="s">
        <v>3000</v>
      </c>
      <c r="P5793" t="s">
        <v>68</v>
      </c>
      <c r="Q5793" t="s">
        <v>68</v>
      </c>
      <c r="R5793" t="s">
        <v>68</v>
      </c>
      <c r="S5793" t="s">
        <v>77</v>
      </c>
    </row>
    <row r="5794" spans="1:19" x14ac:dyDescent="0.35">
      <c r="A5794">
        <v>30080</v>
      </c>
      <c r="B5794" t="str">
        <f>"030080"</f>
        <v>030080</v>
      </c>
      <c r="C5794" t="s">
        <v>832</v>
      </c>
      <c r="D5794" t="s">
        <v>49</v>
      </c>
      <c r="E5794" t="s">
        <v>15079</v>
      </c>
      <c r="F5794" t="s">
        <v>3396</v>
      </c>
      <c r="G5794" t="s">
        <v>663</v>
      </c>
      <c r="H5794" t="s">
        <v>833</v>
      </c>
      <c r="I5794" t="s">
        <v>834</v>
      </c>
      <c r="J5794" t="s">
        <v>572</v>
      </c>
      <c r="K5794" t="s">
        <v>55</v>
      </c>
      <c r="L5794" t="s">
        <v>835</v>
      </c>
      <c r="M5794" t="s">
        <v>57</v>
      </c>
      <c r="N5794" t="str">
        <f>"051417"</f>
        <v>051417</v>
      </c>
      <c r="O5794" t="s">
        <v>832</v>
      </c>
      <c r="P5794" t="s">
        <v>68</v>
      </c>
      <c r="Q5794" t="s">
        <v>68</v>
      </c>
      <c r="R5794" t="s">
        <v>68</v>
      </c>
      <c r="S5794" t="s">
        <v>77</v>
      </c>
    </row>
    <row r="5795" spans="1:19" x14ac:dyDescent="0.35">
      <c r="A5795">
        <v>64998</v>
      </c>
      <c r="B5795" t="str">
        <f>"064998"</f>
        <v>064998</v>
      </c>
      <c r="C5795" t="s">
        <v>15114</v>
      </c>
      <c r="D5795" t="s">
        <v>49</v>
      </c>
      <c r="E5795" t="s">
        <v>15079</v>
      </c>
      <c r="F5795" t="s">
        <v>3396</v>
      </c>
      <c r="G5795" t="s">
        <v>1041</v>
      </c>
      <c r="H5795" t="s">
        <v>15115</v>
      </c>
      <c r="I5795" t="s">
        <v>15116</v>
      </c>
      <c r="J5795" t="s">
        <v>1115</v>
      </c>
      <c r="K5795" t="s">
        <v>55</v>
      </c>
      <c r="L5795" t="s">
        <v>1116</v>
      </c>
      <c r="M5795" t="s">
        <v>57</v>
      </c>
      <c r="N5795" t="str">
        <f>"051060"</f>
        <v>051060</v>
      </c>
      <c r="O5795" t="s">
        <v>517</v>
      </c>
      <c r="P5795" t="s">
        <v>68</v>
      </c>
      <c r="Q5795" t="s">
        <v>68</v>
      </c>
      <c r="R5795" t="s">
        <v>68</v>
      </c>
      <c r="S5795" t="s">
        <v>217</v>
      </c>
    </row>
    <row r="5796" spans="1:19" x14ac:dyDescent="0.35">
      <c r="A5796">
        <v>62810</v>
      </c>
      <c r="B5796" t="str">
        <f>"062810"</f>
        <v>062810</v>
      </c>
      <c r="C5796" t="s">
        <v>3283</v>
      </c>
      <c r="D5796" t="s">
        <v>49</v>
      </c>
      <c r="E5796" t="s">
        <v>15079</v>
      </c>
      <c r="F5796" t="s">
        <v>3396</v>
      </c>
      <c r="G5796" t="s">
        <v>1041</v>
      </c>
      <c r="H5796" t="s">
        <v>2155</v>
      </c>
      <c r="I5796" t="s">
        <v>2156</v>
      </c>
      <c r="J5796" t="s">
        <v>2157</v>
      </c>
      <c r="K5796" t="s">
        <v>55</v>
      </c>
      <c r="L5796" t="s">
        <v>2158</v>
      </c>
      <c r="M5796" t="s">
        <v>57</v>
      </c>
      <c r="N5796" t="str">
        <f>"062802"</f>
        <v>062802</v>
      </c>
      <c r="O5796" t="s">
        <v>3283</v>
      </c>
      <c r="P5796" t="s">
        <v>68</v>
      </c>
      <c r="Q5796" t="s">
        <v>68</v>
      </c>
      <c r="R5796" t="s">
        <v>68</v>
      </c>
      <c r="S5796" t="s">
        <v>217</v>
      </c>
    </row>
    <row r="5797" spans="1:19" x14ac:dyDescent="0.35">
      <c r="A5797">
        <v>51250</v>
      </c>
      <c r="B5797" t="str">
        <f>"051250"</f>
        <v>051250</v>
      </c>
      <c r="C5797" t="s">
        <v>15117</v>
      </c>
      <c r="D5797" t="s">
        <v>49</v>
      </c>
      <c r="E5797" t="s">
        <v>15079</v>
      </c>
      <c r="F5797" t="s">
        <v>3396</v>
      </c>
      <c r="G5797" t="s">
        <v>383</v>
      </c>
      <c r="H5797" t="s">
        <v>2075</v>
      </c>
      <c r="I5797" t="s">
        <v>2076</v>
      </c>
      <c r="J5797" t="s">
        <v>1069</v>
      </c>
      <c r="K5797" t="s">
        <v>55</v>
      </c>
      <c r="L5797" t="s">
        <v>1070</v>
      </c>
      <c r="M5797" t="s">
        <v>57</v>
      </c>
      <c r="N5797" t="str">
        <f>"051243"</f>
        <v>051243</v>
      </c>
      <c r="O5797" t="s">
        <v>2074</v>
      </c>
      <c r="P5797" t="s">
        <v>68</v>
      </c>
      <c r="Q5797" t="s">
        <v>68</v>
      </c>
      <c r="R5797" t="s">
        <v>68</v>
      </c>
      <c r="S5797" t="s">
        <v>77</v>
      </c>
    </row>
    <row r="5798" spans="1:19" x14ac:dyDescent="0.35">
      <c r="A5798">
        <v>65441</v>
      </c>
      <c r="B5798" t="str">
        <f>"065441"</f>
        <v>065441</v>
      </c>
      <c r="C5798" t="s">
        <v>15118</v>
      </c>
      <c r="D5798" t="s">
        <v>49</v>
      </c>
      <c r="E5798" t="s">
        <v>15079</v>
      </c>
      <c r="F5798" t="s">
        <v>3396</v>
      </c>
      <c r="G5798" t="s">
        <v>1679</v>
      </c>
      <c r="H5798" t="s">
        <v>15119</v>
      </c>
      <c r="I5798" t="s">
        <v>15120</v>
      </c>
      <c r="J5798" t="s">
        <v>11461</v>
      </c>
      <c r="K5798" t="s">
        <v>55</v>
      </c>
      <c r="L5798" t="s">
        <v>11462</v>
      </c>
      <c r="M5798" t="s">
        <v>57</v>
      </c>
      <c r="N5798" t="str">
        <f>"051300"</f>
        <v>051300</v>
      </c>
      <c r="O5798" t="s">
        <v>3101</v>
      </c>
      <c r="P5798" t="s">
        <v>68</v>
      </c>
      <c r="Q5798" t="s">
        <v>68</v>
      </c>
      <c r="R5798" t="s">
        <v>68</v>
      </c>
      <c r="S5798" t="s">
        <v>130</v>
      </c>
    </row>
    <row r="5799" spans="1:19" x14ac:dyDescent="0.35">
      <c r="A5799">
        <v>68601</v>
      </c>
      <c r="B5799" t="str">
        <f>"068601"</f>
        <v>068601</v>
      </c>
      <c r="C5799" t="s">
        <v>15121</v>
      </c>
      <c r="D5799" t="s">
        <v>49</v>
      </c>
      <c r="E5799" t="s">
        <v>15111</v>
      </c>
      <c r="F5799" t="s">
        <v>3396</v>
      </c>
      <c r="G5799" t="s">
        <v>674</v>
      </c>
      <c r="H5799" t="s">
        <v>1160</v>
      </c>
      <c r="I5799" t="s">
        <v>1161</v>
      </c>
      <c r="J5799" t="s">
        <v>927</v>
      </c>
      <c r="K5799" t="s">
        <v>55</v>
      </c>
      <c r="L5799" t="s">
        <v>928</v>
      </c>
      <c r="M5799" t="s">
        <v>57</v>
      </c>
      <c r="N5799" t="str">
        <f>"051300"</f>
        <v>051300</v>
      </c>
      <c r="O5799" t="s">
        <v>3101</v>
      </c>
      <c r="P5799" t="s">
        <v>68</v>
      </c>
      <c r="Q5799" t="s">
        <v>68</v>
      </c>
      <c r="R5799" t="s">
        <v>68</v>
      </c>
      <c r="S5799" t="s">
        <v>130</v>
      </c>
    </row>
    <row r="5800" spans="1:19" x14ac:dyDescent="0.35">
      <c r="A5800">
        <v>63529</v>
      </c>
      <c r="B5800" t="str">
        <f>"063529"</f>
        <v>063529</v>
      </c>
      <c r="C5800" t="s">
        <v>1750</v>
      </c>
      <c r="D5800" t="s">
        <v>49</v>
      </c>
      <c r="E5800" t="s">
        <v>15079</v>
      </c>
      <c r="F5800" t="s">
        <v>3396</v>
      </c>
      <c r="G5800" t="s">
        <v>657</v>
      </c>
      <c r="H5800" t="s">
        <v>15122</v>
      </c>
      <c r="I5800" t="s">
        <v>15123</v>
      </c>
      <c r="J5800" t="s">
        <v>1753</v>
      </c>
      <c r="K5800" t="s">
        <v>55</v>
      </c>
      <c r="L5800" t="s">
        <v>1754</v>
      </c>
      <c r="M5800" t="s">
        <v>57</v>
      </c>
      <c r="N5800" t="str">
        <f>"063511"</f>
        <v>063511</v>
      </c>
      <c r="O5800" t="s">
        <v>1750</v>
      </c>
      <c r="P5800" t="s">
        <v>68</v>
      </c>
      <c r="Q5800" t="s">
        <v>68</v>
      </c>
      <c r="R5800" t="s">
        <v>68</v>
      </c>
      <c r="S5800" t="s">
        <v>60</v>
      </c>
    </row>
    <row r="5801" spans="1:19" x14ac:dyDescent="0.35">
      <c r="A5801">
        <v>66399</v>
      </c>
      <c r="B5801" t="str">
        <f>"066399"</f>
        <v>066399</v>
      </c>
      <c r="C5801" t="s">
        <v>15124</v>
      </c>
      <c r="D5801" t="s">
        <v>49</v>
      </c>
      <c r="E5801" t="s">
        <v>15079</v>
      </c>
      <c r="F5801" t="s">
        <v>3396</v>
      </c>
      <c r="G5801" t="s">
        <v>1187</v>
      </c>
      <c r="H5801" t="s">
        <v>15125</v>
      </c>
      <c r="I5801" t="s">
        <v>15126</v>
      </c>
      <c r="J5801" t="s">
        <v>1190</v>
      </c>
      <c r="K5801" t="s">
        <v>55</v>
      </c>
      <c r="L5801" t="s">
        <v>1191</v>
      </c>
      <c r="M5801" t="s">
        <v>57</v>
      </c>
      <c r="N5801" t="str">
        <f>"050856"</f>
        <v>050856</v>
      </c>
      <c r="O5801" t="s">
        <v>232</v>
      </c>
      <c r="P5801" t="s">
        <v>68</v>
      </c>
      <c r="Q5801" t="s">
        <v>68</v>
      </c>
      <c r="R5801" t="s">
        <v>68</v>
      </c>
      <c r="S5801" t="s">
        <v>130</v>
      </c>
    </row>
    <row r="5802" spans="1:19" x14ac:dyDescent="0.35">
      <c r="A5802">
        <v>10850</v>
      </c>
      <c r="B5802" t="str">
        <f>"010850"</f>
        <v>010850</v>
      </c>
      <c r="C5802" t="s">
        <v>15127</v>
      </c>
      <c r="D5802" t="s">
        <v>49</v>
      </c>
      <c r="E5802" t="s">
        <v>15111</v>
      </c>
      <c r="F5802" t="s">
        <v>3396</v>
      </c>
      <c r="G5802" t="s">
        <v>264</v>
      </c>
      <c r="H5802" t="s">
        <v>15128</v>
      </c>
      <c r="I5802" t="s">
        <v>15129</v>
      </c>
      <c r="J5802" t="s">
        <v>267</v>
      </c>
      <c r="K5802" t="s">
        <v>55</v>
      </c>
      <c r="L5802" t="s">
        <v>5223</v>
      </c>
      <c r="M5802" t="s">
        <v>57</v>
      </c>
      <c r="N5802" t="str">
        <f>"043489"</f>
        <v>043489</v>
      </c>
      <c r="O5802" t="s">
        <v>3176</v>
      </c>
      <c r="P5802" t="s">
        <v>68</v>
      </c>
      <c r="Q5802" t="s">
        <v>68</v>
      </c>
      <c r="R5802" t="s">
        <v>68</v>
      </c>
      <c r="S5802" t="s">
        <v>77</v>
      </c>
    </row>
    <row r="5803" spans="1:19" x14ac:dyDescent="0.35">
      <c r="A5803">
        <v>51136</v>
      </c>
      <c r="B5803" t="str">
        <f>"051136"</f>
        <v>051136</v>
      </c>
      <c r="C5803" t="s">
        <v>2611</v>
      </c>
      <c r="D5803" t="s">
        <v>49</v>
      </c>
      <c r="E5803" t="s">
        <v>15079</v>
      </c>
      <c r="F5803" t="s">
        <v>3396</v>
      </c>
      <c r="G5803" t="s">
        <v>135</v>
      </c>
      <c r="H5803" t="s">
        <v>2612</v>
      </c>
      <c r="I5803" t="s">
        <v>2613</v>
      </c>
      <c r="J5803" t="s">
        <v>1881</v>
      </c>
      <c r="K5803" t="s">
        <v>55</v>
      </c>
      <c r="L5803" t="s">
        <v>1882</v>
      </c>
      <c r="M5803" t="s">
        <v>57</v>
      </c>
      <c r="N5803" t="str">
        <f>"051128"</f>
        <v>051128</v>
      </c>
      <c r="O5803" t="s">
        <v>2611</v>
      </c>
      <c r="P5803" t="s">
        <v>68</v>
      </c>
      <c r="Q5803" t="s">
        <v>68</v>
      </c>
      <c r="R5803" t="s">
        <v>68</v>
      </c>
      <c r="S5803" t="s">
        <v>130</v>
      </c>
    </row>
    <row r="5804" spans="1:19" x14ac:dyDescent="0.35">
      <c r="A5804">
        <v>70425</v>
      </c>
      <c r="B5804" t="str">
        <f>"070425"</f>
        <v>070425</v>
      </c>
      <c r="C5804" t="s">
        <v>15130</v>
      </c>
      <c r="D5804" t="s">
        <v>49</v>
      </c>
      <c r="E5804" t="s">
        <v>15079</v>
      </c>
      <c r="F5804" t="s">
        <v>3396</v>
      </c>
      <c r="G5804" t="s">
        <v>621</v>
      </c>
      <c r="H5804" t="s">
        <v>15131</v>
      </c>
      <c r="I5804" t="s">
        <v>15132</v>
      </c>
      <c r="J5804" t="s">
        <v>624</v>
      </c>
      <c r="K5804" t="s">
        <v>55</v>
      </c>
      <c r="L5804" t="s">
        <v>625</v>
      </c>
      <c r="M5804" t="s">
        <v>57</v>
      </c>
      <c r="N5804" t="str">
        <f>"061903"</f>
        <v>061903</v>
      </c>
      <c r="O5804" t="s">
        <v>620</v>
      </c>
      <c r="P5804" t="s">
        <v>68</v>
      </c>
      <c r="Q5804" t="s">
        <v>68</v>
      </c>
      <c r="R5804" t="s">
        <v>68</v>
      </c>
      <c r="S5804" t="s">
        <v>130</v>
      </c>
    </row>
    <row r="5805" spans="1:19" x14ac:dyDescent="0.35">
      <c r="A5805">
        <v>62034</v>
      </c>
      <c r="B5805" t="str">
        <f>"062034"</f>
        <v>062034</v>
      </c>
      <c r="C5805" t="s">
        <v>15133</v>
      </c>
      <c r="D5805" t="s">
        <v>49</v>
      </c>
      <c r="E5805" t="s">
        <v>15079</v>
      </c>
      <c r="F5805" t="s">
        <v>3396</v>
      </c>
      <c r="G5805" t="s">
        <v>117</v>
      </c>
      <c r="H5805" t="s">
        <v>1892</v>
      </c>
      <c r="I5805" t="s">
        <v>1893</v>
      </c>
      <c r="J5805" t="s">
        <v>977</v>
      </c>
      <c r="K5805" t="s">
        <v>55</v>
      </c>
      <c r="L5805" t="s">
        <v>978</v>
      </c>
      <c r="M5805" t="s">
        <v>57</v>
      </c>
      <c r="N5805" t="str">
        <f>"062026"</f>
        <v>062026</v>
      </c>
      <c r="O5805" t="s">
        <v>2335</v>
      </c>
      <c r="P5805" t="s">
        <v>68</v>
      </c>
      <c r="Q5805" t="s">
        <v>68</v>
      </c>
      <c r="R5805" t="s">
        <v>68</v>
      </c>
      <c r="S5805" t="s">
        <v>77</v>
      </c>
    </row>
    <row r="5806" spans="1:19" x14ac:dyDescent="0.35">
      <c r="A5806">
        <v>50781</v>
      </c>
      <c r="B5806" t="str">
        <f>"050781"</f>
        <v>050781</v>
      </c>
      <c r="C5806" t="s">
        <v>15134</v>
      </c>
      <c r="D5806" t="s">
        <v>49</v>
      </c>
      <c r="E5806" t="s">
        <v>15079</v>
      </c>
      <c r="F5806" t="s">
        <v>3396</v>
      </c>
      <c r="G5806" t="s">
        <v>1193</v>
      </c>
      <c r="H5806" t="s">
        <v>1646</v>
      </c>
      <c r="I5806" t="s">
        <v>1647</v>
      </c>
      <c r="J5806" t="s">
        <v>1196</v>
      </c>
      <c r="K5806" t="s">
        <v>55</v>
      </c>
      <c r="L5806" t="s">
        <v>1648</v>
      </c>
      <c r="M5806" t="s">
        <v>57</v>
      </c>
      <c r="N5806" t="str">
        <f>"050773"</f>
        <v>050773</v>
      </c>
      <c r="O5806" t="s">
        <v>1823</v>
      </c>
      <c r="P5806" t="s">
        <v>68</v>
      </c>
      <c r="Q5806" t="s">
        <v>68</v>
      </c>
      <c r="R5806" t="s">
        <v>68</v>
      </c>
      <c r="S5806" t="s">
        <v>156</v>
      </c>
    </row>
    <row r="5807" spans="1:19" x14ac:dyDescent="0.35">
      <c r="A5807">
        <v>50955</v>
      </c>
      <c r="B5807" t="str">
        <f>"050955"</f>
        <v>050955</v>
      </c>
      <c r="C5807" t="s">
        <v>15135</v>
      </c>
      <c r="D5807" t="s">
        <v>49</v>
      </c>
      <c r="E5807" t="s">
        <v>15079</v>
      </c>
      <c r="F5807" t="s">
        <v>3396</v>
      </c>
      <c r="G5807" t="s">
        <v>63</v>
      </c>
      <c r="H5807" t="s">
        <v>2229</v>
      </c>
      <c r="I5807" t="s">
        <v>2230</v>
      </c>
      <c r="J5807" t="s">
        <v>2231</v>
      </c>
      <c r="K5807" t="s">
        <v>55</v>
      </c>
      <c r="L5807" t="s">
        <v>2232</v>
      </c>
      <c r="M5807" t="s">
        <v>57</v>
      </c>
      <c r="N5807" t="str">
        <f>"050948"</f>
        <v>050948</v>
      </c>
      <c r="O5807" t="s">
        <v>3216</v>
      </c>
      <c r="P5807" t="s">
        <v>68</v>
      </c>
      <c r="Q5807" t="s">
        <v>68</v>
      </c>
      <c r="R5807" t="s">
        <v>68</v>
      </c>
      <c r="S5807" t="s">
        <v>69</v>
      </c>
    </row>
    <row r="5808" spans="1:19" x14ac:dyDescent="0.35">
      <c r="A5808">
        <v>51193</v>
      </c>
      <c r="B5808" t="str">
        <f>"051193"</f>
        <v>051193</v>
      </c>
      <c r="C5808" t="s">
        <v>1334</v>
      </c>
      <c r="D5808" t="s">
        <v>49</v>
      </c>
      <c r="E5808" t="s">
        <v>15079</v>
      </c>
      <c r="F5808" t="s">
        <v>3396</v>
      </c>
      <c r="G5808" t="s">
        <v>1335</v>
      </c>
      <c r="H5808" t="s">
        <v>1336</v>
      </c>
      <c r="I5808" t="s">
        <v>1337</v>
      </c>
      <c r="J5808" t="s">
        <v>1338</v>
      </c>
      <c r="K5808" t="s">
        <v>55</v>
      </c>
      <c r="L5808" t="s">
        <v>1339</v>
      </c>
      <c r="M5808" t="s">
        <v>57</v>
      </c>
      <c r="N5808" t="str">
        <f>"051185"</f>
        <v>051185</v>
      </c>
      <c r="O5808" t="s">
        <v>1334</v>
      </c>
      <c r="P5808" t="s">
        <v>68</v>
      </c>
      <c r="Q5808" t="s">
        <v>68</v>
      </c>
      <c r="R5808" t="s">
        <v>68</v>
      </c>
      <c r="S5808" t="s">
        <v>130</v>
      </c>
    </row>
    <row r="5809" spans="1:19" x14ac:dyDescent="0.35">
      <c r="A5809">
        <v>50807</v>
      </c>
      <c r="B5809" t="str">
        <f>"050807"</f>
        <v>050807</v>
      </c>
      <c r="C5809" t="s">
        <v>15136</v>
      </c>
      <c r="D5809" t="s">
        <v>49</v>
      </c>
      <c r="E5809" t="s">
        <v>15079</v>
      </c>
      <c r="F5809" t="s">
        <v>3396</v>
      </c>
      <c r="G5809" t="s">
        <v>19</v>
      </c>
      <c r="H5809" t="s">
        <v>2998</v>
      </c>
      <c r="I5809" t="s">
        <v>2999</v>
      </c>
      <c r="J5809" t="s">
        <v>1797</v>
      </c>
      <c r="K5809" t="s">
        <v>55</v>
      </c>
      <c r="L5809" t="s">
        <v>1798</v>
      </c>
      <c r="M5809" t="s">
        <v>57</v>
      </c>
      <c r="N5809" t="str">
        <f>"050799"</f>
        <v>050799</v>
      </c>
      <c r="O5809" t="s">
        <v>1794</v>
      </c>
      <c r="P5809" t="s">
        <v>68</v>
      </c>
      <c r="Q5809" t="s">
        <v>68</v>
      </c>
      <c r="R5809" t="s">
        <v>68</v>
      </c>
      <c r="S5809" t="s">
        <v>217</v>
      </c>
    </row>
    <row r="5810" spans="1:19" x14ac:dyDescent="0.35">
      <c r="A5810">
        <v>51342</v>
      </c>
      <c r="B5810" t="str">
        <f>"051342"</f>
        <v>051342</v>
      </c>
      <c r="C5810" t="s">
        <v>15137</v>
      </c>
      <c r="D5810" t="s">
        <v>49</v>
      </c>
      <c r="E5810" t="s">
        <v>15079</v>
      </c>
      <c r="F5810" t="s">
        <v>3396</v>
      </c>
      <c r="G5810" t="s">
        <v>288</v>
      </c>
      <c r="H5810" t="s">
        <v>767</v>
      </c>
      <c r="I5810" t="s">
        <v>768</v>
      </c>
      <c r="J5810" t="s">
        <v>769</v>
      </c>
      <c r="K5810" t="s">
        <v>55</v>
      </c>
      <c r="L5810" t="s">
        <v>770</v>
      </c>
      <c r="M5810" t="s">
        <v>57</v>
      </c>
      <c r="N5810" t="str">
        <f>"051334"</f>
        <v>051334</v>
      </c>
      <c r="O5810" t="s">
        <v>1739</v>
      </c>
      <c r="P5810" t="s">
        <v>68</v>
      </c>
      <c r="Q5810" t="s">
        <v>68</v>
      </c>
      <c r="R5810" t="s">
        <v>68</v>
      </c>
      <c r="S5810" t="s">
        <v>180</v>
      </c>
    </row>
    <row r="5811" spans="1:19" x14ac:dyDescent="0.35">
      <c r="A5811">
        <v>51409</v>
      </c>
      <c r="B5811" t="str">
        <f>"051409"</f>
        <v>051409</v>
      </c>
      <c r="C5811" t="s">
        <v>15138</v>
      </c>
      <c r="D5811" t="s">
        <v>49</v>
      </c>
      <c r="E5811" t="s">
        <v>15079</v>
      </c>
      <c r="F5811" t="s">
        <v>3396</v>
      </c>
      <c r="G5811" t="s">
        <v>295</v>
      </c>
      <c r="H5811" t="s">
        <v>1762</v>
      </c>
      <c r="I5811" t="s">
        <v>1763</v>
      </c>
      <c r="J5811" t="s">
        <v>1764</v>
      </c>
      <c r="K5811" t="s">
        <v>55</v>
      </c>
      <c r="L5811" t="s">
        <v>1765</v>
      </c>
      <c r="M5811" t="s">
        <v>57</v>
      </c>
      <c r="N5811" t="str">
        <f>"051391"</f>
        <v>051391</v>
      </c>
      <c r="O5811" t="s">
        <v>2493</v>
      </c>
      <c r="P5811" t="s">
        <v>68</v>
      </c>
      <c r="Q5811" t="s">
        <v>68</v>
      </c>
      <c r="R5811" t="s">
        <v>68</v>
      </c>
      <c r="S5811" t="s">
        <v>77</v>
      </c>
    </row>
    <row r="5812" spans="1:19" x14ac:dyDescent="0.35">
      <c r="A5812">
        <v>51649</v>
      </c>
      <c r="B5812" t="str">
        <f>"051649"</f>
        <v>051649</v>
      </c>
      <c r="C5812" t="s">
        <v>15139</v>
      </c>
      <c r="D5812" t="s">
        <v>49</v>
      </c>
      <c r="E5812" t="s">
        <v>15079</v>
      </c>
      <c r="F5812" t="s">
        <v>3396</v>
      </c>
      <c r="G5812" t="s">
        <v>169</v>
      </c>
      <c r="H5812" t="s">
        <v>170</v>
      </c>
      <c r="I5812" t="s">
        <v>171</v>
      </c>
      <c r="J5812" t="s">
        <v>172</v>
      </c>
      <c r="K5812" t="s">
        <v>55</v>
      </c>
      <c r="L5812" t="s">
        <v>173</v>
      </c>
      <c r="M5812" t="s">
        <v>57</v>
      </c>
      <c r="N5812" t="str">
        <f>"051631"</f>
        <v>051631</v>
      </c>
      <c r="O5812" t="s">
        <v>168</v>
      </c>
      <c r="P5812" t="s">
        <v>68</v>
      </c>
      <c r="Q5812" t="s">
        <v>68</v>
      </c>
      <c r="R5812" t="s">
        <v>68</v>
      </c>
      <c r="S5812" t="s">
        <v>77</v>
      </c>
    </row>
    <row r="5813" spans="1:19" x14ac:dyDescent="0.35">
      <c r="A5813">
        <v>15165</v>
      </c>
      <c r="B5813" t="str">
        <f>"015165"</f>
        <v>015165</v>
      </c>
      <c r="C5813" t="s">
        <v>15140</v>
      </c>
      <c r="D5813" t="s">
        <v>49</v>
      </c>
      <c r="E5813" t="s">
        <v>15079</v>
      </c>
      <c r="F5813" t="s">
        <v>3396</v>
      </c>
      <c r="G5813" t="s">
        <v>244</v>
      </c>
      <c r="H5813" t="s">
        <v>15141</v>
      </c>
      <c r="I5813" t="s">
        <v>15142</v>
      </c>
      <c r="J5813" t="s">
        <v>5918</v>
      </c>
      <c r="K5813" t="s">
        <v>55</v>
      </c>
      <c r="L5813" t="s">
        <v>5919</v>
      </c>
      <c r="M5813" t="s">
        <v>57</v>
      </c>
      <c r="N5813" t="str">
        <f>"050880"</f>
        <v>050880</v>
      </c>
      <c r="O5813" t="s">
        <v>2248</v>
      </c>
      <c r="P5813" t="s">
        <v>68</v>
      </c>
      <c r="Q5813" t="s">
        <v>68</v>
      </c>
      <c r="R5813" t="s">
        <v>68</v>
      </c>
      <c r="S5813" t="s">
        <v>217</v>
      </c>
    </row>
    <row r="5814" spans="1:19" x14ac:dyDescent="0.35">
      <c r="A5814">
        <v>27557</v>
      </c>
      <c r="B5814" t="str">
        <f>"027557"</f>
        <v>027557</v>
      </c>
      <c r="C5814" t="s">
        <v>15143</v>
      </c>
      <c r="D5814" t="s">
        <v>3543</v>
      </c>
      <c r="E5814" t="s">
        <v>15111</v>
      </c>
      <c r="F5814" t="s">
        <v>3396</v>
      </c>
      <c r="G5814" t="s">
        <v>600</v>
      </c>
      <c r="H5814" t="s">
        <v>15144</v>
      </c>
      <c r="I5814" t="s">
        <v>15145</v>
      </c>
      <c r="J5814" t="s">
        <v>1348</v>
      </c>
      <c r="K5814" t="s">
        <v>55</v>
      </c>
      <c r="L5814" t="s">
        <v>4840</v>
      </c>
      <c r="M5814" t="s">
        <v>57</v>
      </c>
      <c r="N5814" t="str">
        <f>"043802"</f>
        <v>043802</v>
      </c>
      <c r="O5814" t="s">
        <v>3171</v>
      </c>
      <c r="P5814" t="s">
        <v>68</v>
      </c>
      <c r="Q5814" t="s">
        <v>68</v>
      </c>
      <c r="R5814" t="s">
        <v>68</v>
      </c>
      <c r="S5814" t="s">
        <v>60</v>
      </c>
    </row>
    <row r="5815" spans="1:19" x14ac:dyDescent="0.35">
      <c r="A5815">
        <v>65052</v>
      </c>
      <c r="B5815" t="str">
        <f>"065052"</f>
        <v>065052</v>
      </c>
      <c r="C5815" t="s">
        <v>15146</v>
      </c>
      <c r="D5815" t="s">
        <v>3398</v>
      </c>
      <c r="E5815" t="s">
        <v>15079</v>
      </c>
      <c r="F5815" t="s">
        <v>3396</v>
      </c>
      <c r="G5815" t="s">
        <v>226</v>
      </c>
      <c r="H5815" t="s">
        <v>942</v>
      </c>
      <c r="I5815" t="s">
        <v>943</v>
      </c>
      <c r="J5815" t="s">
        <v>944</v>
      </c>
      <c r="K5815" t="s">
        <v>55</v>
      </c>
      <c r="L5815" t="s">
        <v>945</v>
      </c>
      <c r="M5815" t="s">
        <v>57</v>
      </c>
      <c r="N5815" t="str">
        <f>"051359"</f>
        <v>051359</v>
      </c>
      <c r="O5815" t="s">
        <v>1496</v>
      </c>
      <c r="P5815" t="s">
        <v>68</v>
      </c>
      <c r="Q5815" t="s">
        <v>68</v>
      </c>
      <c r="R5815" t="s">
        <v>68</v>
      </c>
      <c r="S5815" t="s">
        <v>156</v>
      </c>
    </row>
    <row r="5816" spans="1:19" x14ac:dyDescent="0.35">
      <c r="A5816">
        <v>51219</v>
      </c>
      <c r="B5816" t="str">
        <f>"051219"</f>
        <v>051219</v>
      </c>
      <c r="C5816" t="s">
        <v>1630</v>
      </c>
      <c r="D5816" t="s">
        <v>49</v>
      </c>
      <c r="E5816" t="s">
        <v>15079</v>
      </c>
      <c r="F5816" t="s">
        <v>3396</v>
      </c>
      <c r="G5816" t="s">
        <v>110</v>
      </c>
      <c r="H5816" t="s">
        <v>1535</v>
      </c>
      <c r="I5816" t="s">
        <v>1536</v>
      </c>
      <c r="J5816" t="s">
        <v>671</v>
      </c>
      <c r="K5816" t="s">
        <v>55</v>
      </c>
      <c r="L5816" t="s">
        <v>672</v>
      </c>
      <c r="M5816" t="s">
        <v>57</v>
      </c>
      <c r="N5816" t="str">
        <f>"051201"</f>
        <v>051201</v>
      </c>
      <c r="O5816" t="s">
        <v>1630</v>
      </c>
      <c r="P5816" t="s">
        <v>68</v>
      </c>
      <c r="Q5816" t="s">
        <v>68</v>
      </c>
      <c r="R5816" t="s">
        <v>68</v>
      </c>
      <c r="S5816" t="s">
        <v>60</v>
      </c>
    </row>
    <row r="5817" spans="1:19" x14ac:dyDescent="0.35">
      <c r="A5817">
        <v>51078</v>
      </c>
      <c r="B5817" t="str">
        <f>"051078"</f>
        <v>051078</v>
      </c>
      <c r="C5817" t="s">
        <v>15147</v>
      </c>
      <c r="D5817" t="s">
        <v>49</v>
      </c>
      <c r="E5817" t="s">
        <v>15079</v>
      </c>
      <c r="F5817" t="s">
        <v>3396</v>
      </c>
      <c r="G5817" t="s">
        <v>212</v>
      </c>
      <c r="H5817" t="s">
        <v>15148</v>
      </c>
      <c r="I5817" t="s">
        <v>15149</v>
      </c>
      <c r="J5817" t="s">
        <v>215</v>
      </c>
      <c r="K5817" t="s">
        <v>55</v>
      </c>
      <c r="L5817" t="s">
        <v>520</v>
      </c>
      <c r="M5817" t="s">
        <v>57</v>
      </c>
      <c r="N5817" t="str">
        <f>"051060"</f>
        <v>051060</v>
      </c>
      <c r="O5817" t="s">
        <v>517</v>
      </c>
      <c r="P5817" t="s">
        <v>68</v>
      </c>
      <c r="Q5817" t="s">
        <v>68</v>
      </c>
      <c r="R5817" t="s">
        <v>68</v>
      </c>
      <c r="S5817" t="s">
        <v>217</v>
      </c>
    </row>
    <row r="5818" spans="1:19" x14ac:dyDescent="0.35">
      <c r="A5818">
        <v>119842</v>
      </c>
      <c r="B5818" t="str">
        <f>"119842"</f>
        <v>119842</v>
      </c>
      <c r="C5818" t="s">
        <v>15150</v>
      </c>
      <c r="D5818" t="s">
        <v>49</v>
      </c>
      <c r="E5818" t="s">
        <v>15111</v>
      </c>
      <c r="F5818" t="s">
        <v>3396</v>
      </c>
      <c r="G5818" t="s">
        <v>600</v>
      </c>
      <c r="H5818" t="s">
        <v>15151</v>
      </c>
      <c r="I5818" t="s">
        <v>15152</v>
      </c>
      <c r="J5818" t="s">
        <v>1081</v>
      </c>
      <c r="K5818" t="s">
        <v>55</v>
      </c>
      <c r="L5818" t="s">
        <v>1082</v>
      </c>
      <c r="M5818" t="s">
        <v>57</v>
      </c>
      <c r="N5818" t="str">
        <f>"051003"</f>
        <v>051003</v>
      </c>
      <c r="O5818" t="s">
        <v>1078</v>
      </c>
      <c r="P5818" t="s">
        <v>68</v>
      </c>
      <c r="Q5818" t="s">
        <v>68</v>
      </c>
      <c r="R5818" t="s">
        <v>68</v>
      </c>
      <c r="S5818" t="s">
        <v>60</v>
      </c>
    </row>
    <row r="5819" spans="1:19" x14ac:dyDescent="0.35">
      <c r="A5819">
        <v>19407</v>
      </c>
      <c r="B5819" t="str">
        <f>"019407"</f>
        <v>019407</v>
      </c>
      <c r="C5819" t="s">
        <v>15153</v>
      </c>
      <c r="D5819" t="s">
        <v>49</v>
      </c>
      <c r="E5819" t="s">
        <v>15079</v>
      </c>
      <c r="F5819" t="s">
        <v>3396</v>
      </c>
      <c r="G5819" t="s">
        <v>172</v>
      </c>
      <c r="H5819" t="s">
        <v>15154</v>
      </c>
      <c r="I5819" t="s">
        <v>15155</v>
      </c>
      <c r="J5819" t="s">
        <v>1179</v>
      </c>
      <c r="K5819" t="s">
        <v>55</v>
      </c>
      <c r="L5819" t="s">
        <v>939</v>
      </c>
      <c r="M5819" t="s">
        <v>57</v>
      </c>
      <c r="N5819" t="str">
        <f>"051474"</f>
        <v>051474</v>
      </c>
      <c r="O5819" t="s">
        <v>1006</v>
      </c>
      <c r="P5819" t="s">
        <v>68</v>
      </c>
      <c r="Q5819" t="s">
        <v>68</v>
      </c>
      <c r="R5819" t="s">
        <v>68</v>
      </c>
      <c r="S5819" t="s">
        <v>217</v>
      </c>
    </row>
    <row r="5820" spans="1:19" x14ac:dyDescent="0.35">
      <c r="A5820">
        <v>64972</v>
      </c>
      <c r="B5820" t="str">
        <f>"064972"</f>
        <v>064972</v>
      </c>
      <c r="C5820" t="s">
        <v>15156</v>
      </c>
      <c r="D5820" t="s">
        <v>49</v>
      </c>
      <c r="E5820" t="s">
        <v>15079</v>
      </c>
      <c r="F5820" t="s">
        <v>3396</v>
      </c>
      <c r="G5820" t="s">
        <v>250</v>
      </c>
      <c r="H5820" t="s">
        <v>15157</v>
      </c>
      <c r="I5820" t="s">
        <v>15158</v>
      </c>
      <c r="J5820" t="s">
        <v>2203</v>
      </c>
      <c r="K5820" t="s">
        <v>55</v>
      </c>
      <c r="L5820" t="s">
        <v>2204</v>
      </c>
      <c r="M5820" t="s">
        <v>57</v>
      </c>
      <c r="N5820" t="str">
        <f>"051060"</f>
        <v>051060</v>
      </c>
      <c r="O5820" t="s">
        <v>517</v>
      </c>
      <c r="P5820" t="s">
        <v>68</v>
      </c>
      <c r="Q5820" t="s">
        <v>68</v>
      </c>
      <c r="R5820" t="s">
        <v>68</v>
      </c>
      <c r="S5820" t="s">
        <v>60</v>
      </c>
    </row>
    <row r="5821" spans="1:19" x14ac:dyDescent="0.35">
      <c r="A5821">
        <v>51441</v>
      </c>
      <c r="B5821" t="str">
        <f>"051441"</f>
        <v>051441</v>
      </c>
      <c r="C5821" t="s">
        <v>15159</v>
      </c>
      <c r="D5821" t="s">
        <v>49</v>
      </c>
      <c r="E5821" t="s">
        <v>15079</v>
      </c>
      <c r="F5821" t="s">
        <v>3396</v>
      </c>
      <c r="G5821" t="s">
        <v>318</v>
      </c>
      <c r="H5821" t="s">
        <v>2403</v>
      </c>
      <c r="I5821" t="s">
        <v>2404</v>
      </c>
      <c r="J5821" t="s">
        <v>321</v>
      </c>
      <c r="K5821" t="s">
        <v>55</v>
      </c>
      <c r="L5821" t="s">
        <v>322</v>
      </c>
      <c r="M5821" t="s">
        <v>57</v>
      </c>
      <c r="N5821" t="str">
        <f>"051433"</f>
        <v>051433</v>
      </c>
      <c r="O5821" t="s">
        <v>2900</v>
      </c>
      <c r="P5821" t="s">
        <v>68</v>
      </c>
      <c r="Q5821" t="s">
        <v>68</v>
      </c>
      <c r="R5821" t="s">
        <v>68</v>
      </c>
      <c r="S5821" t="s">
        <v>130</v>
      </c>
    </row>
    <row r="5822" spans="1:19" x14ac:dyDescent="0.35">
      <c r="A5822">
        <v>61341</v>
      </c>
      <c r="B5822" t="str">
        <f>"061341"</f>
        <v>061341</v>
      </c>
      <c r="C5822" t="s">
        <v>15160</v>
      </c>
      <c r="D5822" t="s">
        <v>49</v>
      </c>
      <c r="E5822" t="s">
        <v>15079</v>
      </c>
      <c r="F5822" t="s">
        <v>3396</v>
      </c>
      <c r="G5822" t="s">
        <v>821</v>
      </c>
      <c r="H5822" t="s">
        <v>1676</v>
      </c>
      <c r="I5822" t="s">
        <v>1677</v>
      </c>
      <c r="J5822" t="s">
        <v>1427</v>
      </c>
      <c r="K5822" t="s">
        <v>55</v>
      </c>
      <c r="L5822" t="s">
        <v>1428</v>
      </c>
      <c r="M5822" t="s">
        <v>57</v>
      </c>
      <c r="N5822" t="str">
        <f>"043984"</f>
        <v>043984</v>
      </c>
      <c r="O5822" t="s">
        <v>1424</v>
      </c>
      <c r="P5822" t="s">
        <v>68</v>
      </c>
      <c r="Q5822" t="s">
        <v>68</v>
      </c>
      <c r="R5822" t="s">
        <v>68</v>
      </c>
      <c r="S5822" t="s">
        <v>156</v>
      </c>
    </row>
    <row r="5823" spans="1:19" x14ac:dyDescent="0.35">
      <c r="A5823">
        <v>51706</v>
      </c>
      <c r="B5823" t="str">
        <f>"051706"</f>
        <v>051706</v>
      </c>
      <c r="C5823" t="s">
        <v>15161</v>
      </c>
      <c r="D5823" t="s">
        <v>49</v>
      </c>
      <c r="E5823" t="s">
        <v>15079</v>
      </c>
      <c r="F5823" t="s">
        <v>3396</v>
      </c>
      <c r="G5823" t="s">
        <v>124</v>
      </c>
      <c r="H5823" t="s">
        <v>1266</v>
      </c>
      <c r="I5823" t="s">
        <v>1267</v>
      </c>
      <c r="J5823" t="s">
        <v>586</v>
      </c>
      <c r="K5823" t="s">
        <v>55</v>
      </c>
      <c r="L5823" t="s">
        <v>587</v>
      </c>
      <c r="M5823" t="s">
        <v>57</v>
      </c>
      <c r="N5823" t="str">
        <f>"051698"</f>
        <v>051698</v>
      </c>
      <c r="O5823" t="s">
        <v>1265</v>
      </c>
      <c r="P5823" t="s">
        <v>68</v>
      </c>
      <c r="Q5823" t="s">
        <v>68</v>
      </c>
      <c r="R5823" t="s">
        <v>68</v>
      </c>
      <c r="S5823" t="s">
        <v>130</v>
      </c>
    </row>
    <row r="5824" spans="1:19" x14ac:dyDescent="0.35">
      <c r="A5824">
        <v>17163</v>
      </c>
      <c r="B5824" t="str">
        <f>"017163"</f>
        <v>017163</v>
      </c>
      <c r="C5824" t="s">
        <v>15162</v>
      </c>
      <c r="D5824" t="s">
        <v>49</v>
      </c>
      <c r="E5824" t="s">
        <v>15079</v>
      </c>
      <c r="F5824" t="s">
        <v>3396</v>
      </c>
      <c r="G5824" t="s">
        <v>244</v>
      </c>
      <c r="H5824" t="s">
        <v>15163</v>
      </c>
      <c r="I5824" t="s">
        <v>15164</v>
      </c>
      <c r="J5824" t="s">
        <v>1239</v>
      </c>
      <c r="K5824" t="s">
        <v>55</v>
      </c>
      <c r="L5824" t="s">
        <v>2571</v>
      </c>
      <c r="M5824" t="s">
        <v>57</v>
      </c>
      <c r="N5824" t="str">
        <f>"050880"</f>
        <v>050880</v>
      </c>
      <c r="O5824" t="s">
        <v>2248</v>
      </c>
      <c r="P5824" t="s">
        <v>68</v>
      </c>
      <c r="Q5824" t="s">
        <v>68</v>
      </c>
      <c r="R5824" t="s">
        <v>68</v>
      </c>
      <c r="S5824" t="s">
        <v>217</v>
      </c>
    </row>
    <row r="5825" spans="1:19" x14ac:dyDescent="0.35">
      <c r="A5825">
        <v>12047</v>
      </c>
      <c r="B5825" t="str">
        <f>"012047"</f>
        <v>012047</v>
      </c>
      <c r="C5825" t="s">
        <v>270</v>
      </c>
      <c r="D5825" t="s">
        <v>49</v>
      </c>
      <c r="E5825" t="s">
        <v>15079</v>
      </c>
      <c r="F5825" t="s">
        <v>3396</v>
      </c>
      <c r="G5825" t="s">
        <v>271</v>
      </c>
      <c r="H5825" t="s">
        <v>272</v>
      </c>
      <c r="I5825" t="s">
        <v>273</v>
      </c>
      <c r="J5825" t="s">
        <v>274</v>
      </c>
      <c r="K5825" t="s">
        <v>55</v>
      </c>
      <c r="L5825" t="s">
        <v>275</v>
      </c>
      <c r="M5825" t="s">
        <v>57</v>
      </c>
      <c r="N5825" t="str">
        <f>"050963"</f>
        <v>050963</v>
      </c>
      <c r="O5825" t="s">
        <v>270</v>
      </c>
      <c r="P5825" t="s">
        <v>68</v>
      </c>
      <c r="Q5825" t="s">
        <v>68</v>
      </c>
      <c r="R5825" t="s">
        <v>68</v>
      </c>
      <c r="S5825" t="s">
        <v>156</v>
      </c>
    </row>
    <row r="5826" spans="1:19" x14ac:dyDescent="0.35">
      <c r="A5826">
        <v>50864</v>
      </c>
      <c r="B5826" t="str">
        <f>"050864"</f>
        <v>050864</v>
      </c>
      <c r="C5826" t="s">
        <v>15165</v>
      </c>
      <c r="D5826" t="s">
        <v>49</v>
      </c>
      <c r="E5826" t="s">
        <v>15079</v>
      </c>
      <c r="F5826" t="s">
        <v>3396</v>
      </c>
      <c r="G5826" t="s">
        <v>233</v>
      </c>
      <c r="H5826" t="s">
        <v>2429</v>
      </c>
      <c r="I5826" t="s">
        <v>2430</v>
      </c>
      <c r="J5826" t="s">
        <v>236</v>
      </c>
      <c r="K5826" t="s">
        <v>55</v>
      </c>
      <c r="L5826" t="s">
        <v>237</v>
      </c>
      <c r="M5826" t="s">
        <v>57</v>
      </c>
      <c r="N5826" t="str">
        <f>"050856"</f>
        <v>050856</v>
      </c>
      <c r="O5826" t="s">
        <v>232</v>
      </c>
      <c r="P5826" t="s">
        <v>68</v>
      </c>
      <c r="Q5826" t="s">
        <v>68</v>
      </c>
      <c r="R5826" t="s">
        <v>68</v>
      </c>
      <c r="S5826" t="s">
        <v>130</v>
      </c>
    </row>
    <row r="5827" spans="1:19" x14ac:dyDescent="0.35">
      <c r="A5827">
        <v>51680</v>
      </c>
      <c r="B5827" t="str">
        <f>"051680"</f>
        <v>051680</v>
      </c>
      <c r="C5827" t="s">
        <v>1611</v>
      </c>
      <c r="D5827" t="s">
        <v>49</v>
      </c>
      <c r="E5827" t="s">
        <v>15079</v>
      </c>
      <c r="F5827" t="s">
        <v>3396</v>
      </c>
      <c r="G5827" t="s">
        <v>1020</v>
      </c>
      <c r="H5827" t="s">
        <v>1523</v>
      </c>
      <c r="I5827" t="s">
        <v>1524</v>
      </c>
      <c r="J5827" t="s">
        <v>1020</v>
      </c>
      <c r="K5827" t="s">
        <v>55</v>
      </c>
      <c r="L5827" t="s">
        <v>1023</v>
      </c>
      <c r="M5827" t="s">
        <v>57</v>
      </c>
      <c r="N5827" t="str">
        <f>"051672"</f>
        <v>051672</v>
      </c>
      <c r="O5827" t="s">
        <v>1611</v>
      </c>
      <c r="P5827" t="s">
        <v>68</v>
      </c>
      <c r="Q5827" t="s">
        <v>68</v>
      </c>
      <c r="R5827" t="s">
        <v>68</v>
      </c>
      <c r="S5827" t="s">
        <v>156</v>
      </c>
    </row>
    <row r="5828" spans="1:19" x14ac:dyDescent="0.35">
      <c r="A5828">
        <v>658</v>
      </c>
      <c r="B5828" t="str">
        <f>"000658"</f>
        <v>000658</v>
      </c>
      <c r="C5828" t="s">
        <v>15166</v>
      </c>
      <c r="D5828" t="s">
        <v>49</v>
      </c>
      <c r="E5828" t="s">
        <v>15079</v>
      </c>
      <c r="F5828" t="s">
        <v>3396</v>
      </c>
      <c r="G5828" t="s">
        <v>244</v>
      </c>
      <c r="H5828" t="s">
        <v>15167</v>
      </c>
      <c r="I5828" t="s">
        <v>2250</v>
      </c>
      <c r="J5828" t="s">
        <v>11196</v>
      </c>
      <c r="K5828" t="s">
        <v>55</v>
      </c>
      <c r="L5828" t="s">
        <v>374</v>
      </c>
      <c r="M5828" t="s">
        <v>57</v>
      </c>
      <c r="N5828" t="str">
        <f>"050880"</f>
        <v>050880</v>
      </c>
      <c r="O5828" t="s">
        <v>2248</v>
      </c>
      <c r="P5828" t="s">
        <v>68</v>
      </c>
      <c r="Q5828" t="s">
        <v>68</v>
      </c>
      <c r="R5828" t="s">
        <v>68</v>
      </c>
      <c r="S5828" t="s">
        <v>217</v>
      </c>
    </row>
    <row r="5829" spans="1:19" x14ac:dyDescent="0.35">
      <c r="A5829">
        <v>35519</v>
      </c>
      <c r="B5829" t="str">
        <f>"035519"</f>
        <v>035519</v>
      </c>
      <c r="C5829" t="s">
        <v>923</v>
      </c>
      <c r="D5829" t="s">
        <v>49</v>
      </c>
      <c r="E5829" t="s">
        <v>15079</v>
      </c>
      <c r="F5829" t="s">
        <v>3396</v>
      </c>
      <c r="G5829" t="s">
        <v>777</v>
      </c>
      <c r="H5829" t="s">
        <v>892</v>
      </c>
      <c r="I5829" t="s">
        <v>893</v>
      </c>
      <c r="J5829" t="s">
        <v>780</v>
      </c>
      <c r="K5829" t="s">
        <v>55</v>
      </c>
      <c r="L5829" t="s">
        <v>894</v>
      </c>
      <c r="M5829" t="s">
        <v>57</v>
      </c>
      <c r="N5829" t="str">
        <f>"051532"</f>
        <v>051532</v>
      </c>
      <c r="O5829" t="s">
        <v>923</v>
      </c>
      <c r="P5829" t="s">
        <v>68</v>
      </c>
      <c r="Q5829" t="s">
        <v>68</v>
      </c>
      <c r="R5829" t="s">
        <v>68</v>
      </c>
      <c r="S5829" t="s">
        <v>180</v>
      </c>
    </row>
    <row r="5830" spans="1:19" x14ac:dyDescent="0.35">
      <c r="A5830">
        <v>62075</v>
      </c>
      <c r="B5830" t="str">
        <f>"062075"</f>
        <v>062075</v>
      </c>
      <c r="C5830" t="s">
        <v>15168</v>
      </c>
      <c r="D5830" t="s">
        <v>49</v>
      </c>
      <c r="E5830" t="s">
        <v>15079</v>
      </c>
      <c r="F5830" t="s">
        <v>3396</v>
      </c>
      <c r="G5830" t="s">
        <v>861</v>
      </c>
      <c r="H5830" t="s">
        <v>1741</v>
      </c>
      <c r="I5830" t="s">
        <v>1742</v>
      </c>
      <c r="J5830" t="s">
        <v>1743</v>
      </c>
      <c r="K5830" t="s">
        <v>55</v>
      </c>
      <c r="L5830" t="s">
        <v>1744</v>
      </c>
      <c r="M5830" t="s">
        <v>57</v>
      </c>
      <c r="N5830" t="str">
        <f>"062067"</f>
        <v>062067</v>
      </c>
      <c r="O5830" t="s">
        <v>1924</v>
      </c>
      <c r="P5830" t="s">
        <v>68</v>
      </c>
      <c r="Q5830" t="s">
        <v>68</v>
      </c>
      <c r="R5830" t="s">
        <v>68</v>
      </c>
      <c r="S5830" t="s">
        <v>130</v>
      </c>
    </row>
    <row r="5831" spans="1:19" x14ac:dyDescent="0.35">
      <c r="A5831">
        <v>51326</v>
      </c>
      <c r="B5831" t="str">
        <f>"051326"</f>
        <v>051326</v>
      </c>
      <c r="C5831" t="s">
        <v>15169</v>
      </c>
      <c r="D5831" t="s">
        <v>49</v>
      </c>
      <c r="E5831" t="s">
        <v>15111</v>
      </c>
      <c r="F5831" t="s">
        <v>3396</v>
      </c>
      <c r="G5831" t="s">
        <v>674</v>
      </c>
      <c r="H5831" t="s">
        <v>1160</v>
      </c>
      <c r="I5831" t="s">
        <v>1161</v>
      </c>
      <c r="J5831" t="s">
        <v>927</v>
      </c>
      <c r="K5831" t="s">
        <v>55</v>
      </c>
      <c r="L5831" t="s">
        <v>928</v>
      </c>
      <c r="M5831" t="s">
        <v>57</v>
      </c>
      <c r="N5831" t="str">
        <f>"051300"</f>
        <v>051300</v>
      </c>
      <c r="O5831" t="s">
        <v>3101</v>
      </c>
      <c r="P5831" t="s">
        <v>68</v>
      </c>
      <c r="Q5831" t="s">
        <v>68</v>
      </c>
      <c r="R5831" t="s">
        <v>68</v>
      </c>
      <c r="S5831" t="s">
        <v>130</v>
      </c>
    </row>
    <row r="5832" spans="1:19" x14ac:dyDescent="0.35">
      <c r="A5832">
        <v>29603</v>
      </c>
      <c r="B5832" t="str">
        <f>"029603"</f>
        <v>029603</v>
      </c>
      <c r="C5832" t="s">
        <v>15170</v>
      </c>
      <c r="D5832" t="s">
        <v>49</v>
      </c>
      <c r="E5832" t="s">
        <v>15079</v>
      </c>
      <c r="F5832" t="s">
        <v>3396</v>
      </c>
      <c r="G5832" t="s">
        <v>226</v>
      </c>
      <c r="H5832" t="s">
        <v>942</v>
      </c>
      <c r="I5832" t="s">
        <v>943</v>
      </c>
      <c r="J5832" t="s">
        <v>944</v>
      </c>
      <c r="K5832" t="s">
        <v>55</v>
      </c>
      <c r="L5832" t="s">
        <v>945</v>
      </c>
      <c r="M5832" t="s">
        <v>57</v>
      </c>
      <c r="N5832" t="str">
        <f>"051359"</f>
        <v>051359</v>
      </c>
      <c r="O5832" t="s">
        <v>1496</v>
      </c>
      <c r="P5832" t="s">
        <v>68</v>
      </c>
      <c r="Q5832" t="s">
        <v>68</v>
      </c>
      <c r="R5832" t="s">
        <v>68</v>
      </c>
      <c r="S5832" t="s">
        <v>156</v>
      </c>
    </row>
    <row r="5833" spans="1:19" x14ac:dyDescent="0.35">
      <c r="A5833">
        <v>51482</v>
      </c>
      <c r="B5833" t="str">
        <f>"051482"</f>
        <v>051482</v>
      </c>
      <c r="C5833" t="s">
        <v>15171</v>
      </c>
      <c r="D5833" t="s">
        <v>49</v>
      </c>
      <c r="E5833" t="s">
        <v>15079</v>
      </c>
      <c r="F5833" t="s">
        <v>3396</v>
      </c>
      <c r="G5833" t="s">
        <v>172</v>
      </c>
      <c r="H5833" t="s">
        <v>1007</v>
      </c>
      <c r="I5833" t="s">
        <v>1008</v>
      </c>
      <c r="J5833" t="s">
        <v>629</v>
      </c>
      <c r="K5833" t="s">
        <v>55</v>
      </c>
      <c r="L5833" t="s">
        <v>630</v>
      </c>
      <c r="M5833" t="s">
        <v>57</v>
      </c>
      <c r="N5833" t="str">
        <f>"051474"</f>
        <v>051474</v>
      </c>
      <c r="O5833" t="s">
        <v>1006</v>
      </c>
      <c r="P5833" t="s">
        <v>68</v>
      </c>
      <c r="Q5833" t="s">
        <v>68</v>
      </c>
      <c r="R5833" t="s">
        <v>68</v>
      </c>
      <c r="S5833" t="s">
        <v>217</v>
      </c>
    </row>
    <row r="5834" spans="1:19" x14ac:dyDescent="0.35">
      <c r="A5834">
        <v>50898</v>
      </c>
      <c r="B5834" t="str">
        <f>"050898"</f>
        <v>050898</v>
      </c>
      <c r="C5834" t="s">
        <v>15172</v>
      </c>
      <c r="D5834" t="s">
        <v>49</v>
      </c>
      <c r="E5834" t="s">
        <v>15079</v>
      </c>
      <c r="F5834" t="s">
        <v>3396</v>
      </c>
      <c r="G5834" t="s">
        <v>244</v>
      </c>
      <c r="H5834" t="s">
        <v>2249</v>
      </c>
      <c r="I5834" t="s">
        <v>2250</v>
      </c>
      <c r="J5834" t="s">
        <v>212</v>
      </c>
      <c r="K5834" t="s">
        <v>55</v>
      </c>
      <c r="L5834" t="s">
        <v>374</v>
      </c>
      <c r="M5834" t="s">
        <v>57</v>
      </c>
      <c r="N5834" t="str">
        <f>"050880"</f>
        <v>050880</v>
      </c>
      <c r="O5834" t="s">
        <v>2248</v>
      </c>
      <c r="P5834" t="s">
        <v>68</v>
      </c>
      <c r="Q5834" t="s">
        <v>68</v>
      </c>
      <c r="R5834" t="s">
        <v>68</v>
      </c>
      <c r="S5834" t="s">
        <v>217</v>
      </c>
    </row>
    <row r="5835" spans="1:19" x14ac:dyDescent="0.35">
      <c r="A5835">
        <v>9639</v>
      </c>
      <c r="B5835" t="str">
        <f>"009639"</f>
        <v>009639</v>
      </c>
      <c r="C5835" t="s">
        <v>15173</v>
      </c>
      <c r="D5835" t="s">
        <v>49</v>
      </c>
      <c r="E5835" t="s">
        <v>15079</v>
      </c>
      <c r="F5835" t="s">
        <v>3396</v>
      </c>
      <c r="G5835" t="s">
        <v>600</v>
      </c>
      <c r="H5835" t="s">
        <v>15174</v>
      </c>
      <c r="I5835" t="s">
        <v>15175</v>
      </c>
      <c r="J5835" t="s">
        <v>1081</v>
      </c>
      <c r="K5835" t="s">
        <v>55</v>
      </c>
      <c r="L5835" t="s">
        <v>1082</v>
      </c>
      <c r="M5835" t="s">
        <v>57</v>
      </c>
      <c r="N5835" t="str">
        <f>"051003"</f>
        <v>051003</v>
      </c>
      <c r="O5835" t="s">
        <v>1078</v>
      </c>
      <c r="P5835" t="s">
        <v>68</v>
      </c>
      <c r="Q5835" t="s">
        <v>68</v>
      </c>
      <c r="R5835" t="s">
        <v>68</v>
      </c>
      <c r="S5835" t="s">
        <v>60</v>
      </c>
    </row>
    <row r="5836" spans="1:19" x14ac:dyDescent="0.35">
      <c r="A5836">
        <v>19497</v>
      </c>
      <c r="B5836" t="str">
        <f>"019497"</f>
        <v>019497</v>
      </c>
      <c r="C5836" t="s">
        <v>15176</v>
      </c>
      <c r="D5836" t="s">
        <v>49</v>
      </c>
      <c r="E5836" t="s">
        <v>15079</v>
      </c>
      <c r="F5836" t="s">
        <v>3396</v>
      </c>
      <c r="G5836" t="s">
        <v>481</v>
      </c>
      <c r="H5836" t="s">
        <v>1392</v>
      </c>
      <c r="I5836" t="s">
        <v>1393</v>
      </c>
      <c r="J5836" t="s">
        <v>876</v>
      </c>
      <c r="K5836" t="s">
        <v>55</v>
      </c>
      <c r="L5836" t="s">
        <v>819</v>
      </c>
      <c r="M5836" t="s">
        <v>57</v>
      </c>
      <c r="N5836" t="str">
        <f>"051169"</f>
        <v>051169</v>
      </c>
      <c r="O5836" t="s">
        <v>2791</v>
      </c>
      <c r="P5836" t="s">
        <v>68</v>
      </c>
      <c r="Q5836" t="s">
        <v>68</v>
      </c>
      <c r="R5836" t="s">
        <v>68</v>
      </c>
      <c r="S5836" t="s">
        <v>69</v>
      </c>
    </row>
    <row r="5837" spans="1:19" x14ac:dyDescent="0.35">
      <c r="A5837">
        <v>37507</v>
      </c>
      <c r="B5837" t="str">
        <f>"037507"</f>
        <v>037507</v>
      </c>
      <c r="C5837" t="s">
        <v>15177</v>
      </c>
      <c r="D5837" t="s">
        <v>49</v>
      </c>
      <c r="E5837" t="s">
        <v>15079</v>
      </c>
      <c r="F5837" t="s">
        <v>3396</v>
      </c>
      <c r="G5837" t="s">
        <v>493</v>
      </c>
      <c r="H5837" t="s">
        <v>494</v>
      </c>
      <c r="I5837" t="s">
        <v>495</v>
      </c>
      <c r="J5837" t="s">
        <v>496</v>
      </c>
      <c r="K5837" t="s">
        <v>55</v>
      </c>
      <c r="L5837" t="s">
        <v>497</v>
      </c>
      <c r="M5837" t="s">
        <v>57</v>
      </c>
      <c r="N5837" t="str">
        <f>"051607"</f>
        <v>051607</v>
      </c>
      <c r="O5837" t="s">
        <v>717</v>
      </c>
      <c r="P5837" t="s">
        <v>68</v>
      </c>
      <c r="Q5837" t="s">
        <v>68</v>
      </c>
      <c r="R5837" t="s">
        <v>68</v>
      </c>
      <c r="S5837" t="s">
        <v>130</v>
      </c>
    </row>
    <row r="5838" spans="1:19" x14ac:dyDescent="0.35">
      <c r="A5838">
        <v>62059</v>
      </c>
      <c r="B5838" t="str">
        <f>"062059"</f>
        <v>062059</v>
      </c>
      <c r="C5838" t="s">
        <v>15178</v>
      </c>
      <c r="D5838" t="s">
        <v>49</v>
      </c>
      <c r="E5838" t="s">
        <v>15079</v>
      </c>
      <c r="F5838" t="s">
        <v>3396</v>
      </c>
      <c r="G5838" t="s">
        <v>855</v>
      </c>
      <c r="H5838" t="s">
        <v>1472</v>
      </c>
      <c r="I5838" t="s">
        <v>1473</v>
      </c>
      <c r="J5838" t="s">
        <v>855</v>
      </c>
      <c r="K5838" t="s">
        <v>55</v>
      </c>
      <c r="L5838" t="s">
        <v>1457</v>
      </c>
      <c r="M5838" t="s">
        <v>57</v>
      </c>
      <c r="N5838" t="str">
        <f>"062042"</f>
        <v>062042</v>
      </c>
      <c r="O5838" t="s">
        <v>1471</v>
      </c>
      <c r="P5838" t="s">
        <v>68</v>
      </c>
      <c r="Q5838" t="s">
        <v>68</v>
      </c>
      <c r="R5838" t="s">
        <v>68</v>
      </c>
      <c r="S5838" t="s">
        <v>77</v>
      </c>
    </row>
    <row r="5839" spans="1:19" x14ac:dyDescent="0.35">
      <c r="A5839">
        <v>51318</v>
      </c>
      <c r="B5839" t="str">
        <f>"051318"</f>
        <v>051318</v>
      </c>
      <c r="C5839" t="s">
        <v>15179</v>
      </c>
      <c r="D5839" t="s">
        <v>49</v>
      </c>
      <c r="E5839" t="s">
        <v>15079</v>
      </c>
      <c r="F5839" t="s">
        <v>3396</v>
      </c>
      <c r="G5839" t="s">
        <v>674</v>
      </c>
      <c r="H5839" t="s">
        <v>1160</v>
      </c>
      <c r="I5839" t="s">
        <v>1161</v>
      </c>
      <c r="J5839" t="s">
        <v>927</v>
      </c>
      <c r="K5839" t="s">
        <v>55</v>
      </c>
      <c r="L5839" t="s">
        <v>928</v>
      </c>
      <c r="M5839" t="s">
        <v>57</v>
      </c>
      <c r="N5839" t="str">
        <f>"051300"</f>
        <v>051300</v>
      </c>
      <c r="O5839" t="s">
        <v>3101</v>
      </c>
      <c r="P5839" t="s">
        <v>68</v>
      </c>
      <c r="Q5839" t="s">
        <v>68</v>
      </c>
      <c r="R5839" t="s">
        <v>68</v>
      </c>
      <c r="S5839" t="s">
        <v>130</v>
      </c>
    </row>
    <row r="5840" spans="1:19" x14ac:dyDescent="0.35">
      <c r="A5840">
        <v>51151</v>
      </c>
      <c r="B5840" t="str">
        <f>"051151"</f>
        <v>051151</v>
      </c>
      <c r="C5840" t="s">
        <v>15180</v>
      </c>
      <c r="D5840" t="s">
        <v>49</v>
      </c>
      <c r="E5840" t="s">
        <v>15079</v>
      </c>
      <c r="F5840" t="s">
        <v>3396</v>
      </c>
      <c r="G5840" t="s">
        <v>901</v>
      </c>
      <c r="H5840" t="s">
        <v>902</v>
      </c>
      <c r="I5840" t="s">
        <v>903</v>
      </c>
      <c r="J5840" t="s">
        <v>904</v>
      </c>
      <c r="K5840" t="s">
        <v>55</v>
      </c>
      <c r="L5840" t="s">
        <v>905</v>
      </c>
      <c r="M5840" t="s">
        <v>57</v>
      </c>
      <c r="N5840" t="str">
        <f>"051144"</f>
        <v>051144</v>
      </c>
      <c r="O5840" t="s">
        <v>2427</v>
      </c>
      <c r="P5840" t="s">
        <v>68</v>
      </c>
      <c r="Q5840" t="s">
        <v>68</v>
      </c>
      <c r="R5840" t="s">
        <v>68</v>
      </c>
      <c r="S5840" t="s">
        <v>60</v>
      </c>
    </row>
    <row r="5841" spans="1:19" x14ac:dyDescent="0.35">
      <c r="A5841">
        <v>93088</v>
      </c>
      <c r="B5841" t="str">
        <f>"093088"</f>
        <v>093088</v>
      </c>
      <c r="C5841" t="s">
        <v>15181</v>
      </c>
      <c r="D5841" t="s">
        <v>49</v>
      </c>
      <c r="E5841" t="s">
        <v>15079</v>
      </c>
      <c r="F5841" t="s">
        <v>3396</v>
      </c>
      <c r="G5841" t="s">
        <v>1296</v>
      </c>
      <c r="H5841" t="s">
        <v>15182</v>
      </c>
      <c r="I5841" t="s">
        <v>15183</v>
      </c>
      <c r="J5841" t="s">
        <v>1299</v>
      </c>
      <c r="K5841" t="s">
        <v>55</v>
      </c>
      <c r="L5841" t="s">
        <v>1300</v>
      </c>
      <c r="M5841" t="s">
        <v>57</v>
      </c>
      <c r="N5841" t="str">
        <f>"051458"</f>
        <v>051458</v>
      </c>
      <c r="O5841" t="s">
        <v>3305</v>
      </c>
      <c r="P5841" t="s">
        <v>68</v>
      </c>
      <c r="Q5841" t="s">
        <v>68</v>
      </c>
      <c r="R5841" t="s">
        <v>68</v>
      </c>
      <c r="S5841" t="s">
        <v>156</v>
      </c>
    </row>
    <row r="5842" spans="1:19" x14ac:dyDescent="0.35">
      <c r="A5842">
        <v>50914</v>
      </c>
      <c r="B5842" t="str">
        <f>"050914"</f>
        <v>050914</v>
      </c>
      <c r="C5842" t="s">
        <v>2961</v>
      </c>
      <c r="D5842" t="s">
        <v>49</v>
      </c>
      <c r="E5842" t="s">
        <v>15079</v>
      </c>
      <c r="F5842" t="s">
        <v>3396</v>
      </c>
      <c r="G5842" t="s">
        <v>536</v>
      </c>
      <c r="H5842" t="s">
        <v>1073</v>
      </c>
      <c r="I5842" t="s">
        <v>1074</v>
      </c>
      <c r="J5842" t="s">
        <v>1075</v>
      </c>
      <c r="K5842" t="s">
        <v>55</v>
      </c>
      <c r="L5842" t="s">
        <v>1076</v>
      </c>
      <c r="M5842" t="s">
        <v>57</v>
      </c>
      <c r="N5842" t="str">
        <f>"050906"</f>
        <v>050906</v>
      </c>
      <c r="O5842" t="s">
        <v>2961</v>
      </c>
      <c r="P5842" t="s">
        <v>68</v>
      </c>
      <c r="Q5842" t="s">
        <v>68</v>
      </c>
      <c r="R5842" t="s">
        <v>68</v>
      </c>
      <c r="S5842" t="s">
        <v>77</v>
      </c>
    </row>
    <row r="5843" spans="1:19" x14ac:dyDescent="0.35">
      <c r="A5843">
        <v>29934</v>
      </c>
      <c r="B5843" t="str">
        <f>"029934"</f>
        <v>029934</v>
      </c>
      <c r="C5843" t="s">
        <v>15184</v>
      </c>
      <c r="D5843" t="s">
        <v>49</v>
      </c>
      <c r="E5843" t="s">
        <v>15079</v>
      </c>
      <c r="F5843" t="s">
        <v>3396</v>
      </c>
      <c r="G5843" t="s">
        <v>194</v>
      </c>
      <c r="H5843" t="s">
        <v>195</v>
      </c>
      <c r="I5843" t="s">
        <v>196</v>
      </c>
      <c r="J5843" t="s">
        <v>197</v>
      </c>
      <c r="K5843" t="s">
        <v>55</v>
      </c>
      <c r="L5843" t="s">
        <v>198</v>
      </c>
      <c r="M5843" t="s">
        <v>57</v>
      </c>
      <c r="N5843" t="str">
        <f>"051375"</f>
        <v>051375</v>
      </c>
      <c r="O5843" t="s">
        <v>193</v>
      </c>
      <c r="P5843" t="s">
        <v>68</v>
      </c>
      <c r="Q5843" t="s">
        <v>68</v>
      </c>
      <c r="R5843" t="s">
        <v>68</v>
      </c>
      <c r="S5843" t="s">
        <v>130</v>
      </c>
    </row>
    <row r="5844" spans="1:19" x14ac:dyDescent="0.35">
      <c r="A5844">
        <v>120246</v>
      </c>
      <c r="B5844" t="str">
        <f>"120246"</f>
        <v>120246</v>
      </c>
      <c r="C5844" t="s">
        <v>15185</v>
      </c>
      <c r="D5844" t="s">
        <v>49</v>
      </c>
      <c r="E5844" t="s">
        <v>15079</v>
      </c>
      <c r="F5844" t="s">
        <v>3396</v>
      </c>
      <c r="G5844" t="s">
        <v>600</v>
      </c>
      <c r="H5844" t="s">
        <v>11112</v>
      </c>
      <c r="I5844" t="s">
        <v>11113</v>
      </c>
      <c r="J5844" t="s">
        <v>1348</v>
      </c>
      <c r="K5844" t="s">
        <v>55</v>
      </c>
      <c r="L5844" t="s">
        <v>1516</v>
      </c>
      <c r="M5844" t="s">
        <v>57</v>
      </c>
      <c r="N5844" t="str">
        <f>"043802"</f>
        <v>043802</v>
      </c>
      <c r="O5844" t="s">
        <v>3171</v>
      </c>
      <c r="P5844" t="s">
        <v>68</v>
      </c>
      <c r="Q5844" t="s">
        <v>68</v>
      </c>
      <c r="R5844" t="s">
        <v>68</v>
      </c>
      <c r="S5844" t="s">
        <v>60</v>
      </c>
    </row>
    <row r="5845" spans="1:19" x14ac:dyDescent="0.35">
      <c r="A5845">
        <v>11918</v>
      </c>
      <c r="B5845" t="str">
        <f>"011918"</f>
        <v>011918</v>
      </c>
      <c r="C5845" t="s">
        <v>15186</v>
      </c>
      <c r="D5845" t="s">
        <v>49</v>
      </c>
      <c r="E5845" t="s">
        <v>15079</v>
      </c>
      <c r="F5845" t="s">
        <v>3396</v>
      </c>
      <c r="G5845" t="s">
        <v>71</v>
      </c>
      <c r="H5845" t="s">
        <v>15187</v>
      </c>
      <c r="I5845" t="s">
        <v>15188</v>
      </c>
      <c r="J5845" t="s">
        <v>715</v>
      </c>
      <c r="K5845" t="s">
        <v>55</v>
      </c>
      <c r="L5845" t="s">
        <v>716</v>
      </c>
      <c r="M5845" t="s">
        <v>57</v>
      </c>
      <c r="N5845" t="str">
        <f>"051656"</f>
        <v>051656</v>
      </c>
      <c r="O5845" t="s">
        <v>2988</v>
      </c>
      <c r="P5845" t="s">
        <v>68</v>
      </c>
      <c r="Q5845" t="s">
        <v>68</v>
      </c>
      <c r="R5845" t="s">
        <v>68</v>
      </c>
      <c r="S5845" t="s">
        <v>77</v>
      </c>
    </row>
    <row r="5846" spans="1:19" x14ac:dyDescent="0.35">
      <c r="A5846">
        <v>62117</v>
      </c>
      <c r="B5846" t="str">
        <f>"062117"</f>
        <v>062117</v>
      </c>
      <c r="C5846" t="s">
        <v>15189</v>
      </c>
      <c r="D5846" t="s">
        <v>49</v>
      </c>
      <c r="E5846" t="s">
        <v>15079</v>
      </c>
      <c r="F5846" t="s">
        <v>3396</v>
      </c>
      <c r="G5846" t="s">
        <v>406</v>
      </c>
      <c r="H5846" t="s">
        <v>813</v>
      </c>
      <c r="I5846" t="s">
        <v>814</v>
      </c>
      <c r="J5846" t="s">
        <v>406</v>
      </c>
      <c r="K5846" t="s">
        <v>55</v>
      </c>
      <c r="L5846" t="s">
        <v>409</v>
      </c>
      <c r="M5846" t="s">
        <v>57</v>
      </c>
      <c r="N5846" t="str">
        <f>"062109"</f>
        <v>062109</v>
      </c>
      <c r="O5846" t="s">
        <v>1508</v>
      </c>
      <c r="P5846" t="s">
        <v>68</v>
      </c>
      <c r="Q5846" t="s">
        <v>68</v>
      </c>
      <c r="R5846" t="s">
        <v>68</v>
      </c>
      <c r="S5846" t="s">
        <v>77</v>
      </c>
    </row>
    <row r="5847" spans="1:19" x14ac:dyDescent="0.35">
      <c r="A5847">
        <v>33795</v>
      </c>
      <c r="B5847" t="str">
        <f>"033795"</f>
        <v>033795</v>
      </c>
      <c r="C5847" t="s">
        <v>15190</v>
      </c>
      <c r="D5847" t="s">
        <v>49</v>
      </c>
      <c r="E5847" t="s">
        <v>15079</v>
      </c>
      <c r="F5847" t="s">
        <v>3396</v>
      </c>
      <c r="G5847" t="s">
        <v>219</v>
      </c>
      <c r="H5847" t="s">
        <v>1895</v>
      </c>
      <c r="I5847" t="s">
        <v>1896</v>
      </c>
      <c r="J5847" t="s">
        <v>1897</v>
      </c>
      <c r="K5847" t="s">
        <v>55</v>
      </c>
      <c r="L5847" t="s">
        <v>1898</v>
      </c>
      <c r="M5847" t="s">
        <v>57</v>
      </c>
      <c r="N5847" t="str">
        <f>"051490"</f>
        <v>051490</v>
      </c>
      <c r="O5847" t="s">
        <v>2281</v>
      </c>
      <c r="P5847" t="s">
        <v>68</v>
      </c>
      <c r="Q5847" t="s">
        <v>68</v>
      </c>
      <c r="R5847" t="s">
        <v>68</v>
      </c>
      <c r="S5847" t="s">
        <v>130</v>
      </c>
    </row>
    <row r="5848" spans="1:19" x14ac:dyDescent="0.35">
      <c r="A5848">
        <v>51292</v>
      </c>
      <c r="B5848" t="str">
        <f>"051292"</f>
        <v>051292</v>
      </c>
      <c r="C5848" t="s">
        <v>15191</v>
      </c>
      <c r="D5848" t="s">
        <v>49</v>
      </c>
      <c r="E5848" t="s">
        <v>15079</v>
      </c>
      <c r="F5848" t="s">
        <v>3396</v>
      </c>
      <c r="G5848" t="s">
        <v>543</v>
      </c>
      <c r="H5848" t="s">
        <v>1445</v>
      </c>
      <c r="I5848" t="s">
        <v>1446</v>
      </c>
      <c r="J5848" t="s">
        <v>1447</v>
      </c>
      <c r="K5848" t="s">
        <v>55</v>
      </c>
      <c r="L5848" t="s">
        <v>1448</v>
      </c>
      <c r="M5848" t="s">
        <v>57</v>
      </c>
      <c r="N5848" t="str">
        <f>"051284"</f>
        <v>051284</v>
      </c>
      <c r="O5848" t="s">
        <v>1444</v>
      </c>
      <c r="P5848" t="s">
        <v>68</v>
      </c>
      <c r="Q5848" t="s">
        <v>68</v>
      </c>
      <c r="R5848" t="s">
        <v>68</v>
      </c>
      <c r="S5848" t="s">
        <v>180</v>
      </c>
    </row>
    <row r="5849" spans="1:19" x14ac:dyDescent="0.35">
      <c r="A5849">
        <v>65235</v>
      </c>
      <c r="B5849" t="str">
        <f>"065235"</f>
        <v>065235</v>
      </c>
      <c r="C5849" t="s">
        <v>15192</v>
      </c>
      <c r="D5849" t="s">
        <v>49</v>
      </c>
      <c r="E5849" t="s">
        <v>15079</v>
      </c>
      <c r="F5849" t="s">
        <v>3396</v>
      </c>
      <c r="G5849" t="s">
        <v>1613</v>
      </c>
      <c r="H5849" t="s">
        <v>2744</v>
      </c>
      <c r="I5849" t="s">
        <v>2745</v>
      </c>
      <c r="J5849" t="s">
        <v>1613</v>
      </c>
      <c r="K5849" t="s">
        <v>55</v>
      </c>
      <c r="L5849" t="s">
        <v>1616</v>
      </c>
      <c r="M5849" t="s">
        <v>57</v>
      </c>
      <c r="N5849" t="str">
        <f>"065227"</f>
        <v>065227</v>
      </c>
      <c r="O5849" t="s">
        <v>2743</v>
      </c>
      <c r="P5849" t="s">
        <v>68</v>
      </c>
      <c r="Q5849" t="s">
        <v>68</v>
      </c>
      <c r="R5849" t="s">
        <v>68</v>
      </c>
      <c r="S5849" t="s">
        <v>130</v>
      </c>
    </row>
    <row r="5850" spans="1:19" x14ac:dyDescent="0.35">
      <c r="A5850">
        <v>17519</v>
      </c>
      <c r="B5850" t="str">
        <f>"017519"</f>
        <v>017519</v>
      </c>
      <c r="C5850" t="s">
        <v>15193</v>
      </c>
      <c r="D5850" t="s">
        <v>3398</v>
      </c>
      <c r="E5850" t="s">
        <v>15079</v>
      </c>
      <c r="F5850" t="s">
        <v>3396</v>
      </c>
      <c r="G5850" t="s">
        <v>423</v>
      </c>
      <c r="H5850" t="s">
        <v>15194</v>
      </c>
      <c r="I5850" t="s">
        <v>15195</v>
      </c>
      <c r="J5850" t="s">
        <v>426</v>
      </c>
      <c r="K5850" t="s">
        <v>55</v>
      </c>
      <c r="L5850" t="s">
        <v>427</v>
      </c>
      <c r="M5850" t="s">
        <v>57</v>
      </c>
      <c r="N5850" t="str">
        <f>"043729"</f>
        <v>043729</v>
      </c>
      <c r="O5850" t="s">
        <v>1485</v>
      </c>
      <c r="P5850" t="s">
        <v>68</v>
      </c>
      <c r="Q5850" t="s">
        <v>68</v>
      </c>
      <c r="R5850" t="s">
        <v>68</v>
      </c>
      <c r="S5850" t="s">
        <v>156</v>
      </c>
    </row>
    <row r="5851" spans="1:19" x14ac:dyDescent="0.35">
      <c r="A5851">
        <v>659</v>
      </c>
      <c r="B5851" t="str">
        <f>"000659"</f>
        <v>000659</v>
      </c>
      <c r="C5851" t="s">
        <v>15196</v>
      </c>
      <c r="D5851" t="s">
        <v>49</v>
      </c>
      <c r="E5851" t="s">
        <v>15079</v>
      </c>
      <c r="F5851" t="s">
        <v>3396</v>
      </c>
      <c r="G5851" t="s">
        <v>244</v>
      </c>
      <c r="H5851" t="s">
        <v>15197</v>
      </c>
      <c r="I5851" t="s">
        <v>15198</v>
      </c>
      <c r="J5851" t="s">
        <v>1239</v>
      </c>
      <c r="K5851" t="s">
        <v>55</v>
      </c>
      <c r="L5851" t="s">
        <v>2571</v>
      </c>
      <c r="M5851" t="s">
        <v>57</v>
      </c>
      <c r="N5851" t="str">
        <f>"050880"</f>
        <v>050880</v>
      </c>
      <c r="O5851" t="s">
        <v>2248</v>
      </c>
      <c r="P5851" t="s">
        <v>68</v>
      </c>
      <c r="Q5851" t="s">
        <v>68</v>
      </c>
      <c r="R5851" t="s">
        <v>68</v>
      </c>
      <c r="S5851" t="s">
        <v>217</v>
      </c>
    </row>
    <row r="5852" spans="1:19" x14ac:dyDescent="0.35">
      <c r="A5852">
        <v>43125</v>
      </c>
      <c r="B5852" t="str">
        <f>"043125"</f>
        <v>043125</v>
      </c>
      <c r="C5852" t="s">
        <v>15199</v>
      </c>
      <c r="D5852" t="s">
        <v>49</v>
      </c>
      <c r="E5852" t="s">
        <v>15079</v>
      </c>
      <c r="F5852" t="s">
        <v>3396</v>
      </c>
      <c r="G5852" t="s">
        <v>383</v>
      </c>
      <c r="H5852" t="s">
        <v>14488</v>
      </c>
      <c r="I5852" t="s">
        <v>14489</v>
      </c>
      <c r="J5852" t="s">
        <v>1215</v>
      </c>
      <c r="K5852" t="s">
        <v>55</v>
      </c>
      <c r="L5852" t="s">
        <v>1216</v>
      </c>
      <c r="M5852" t="s">
        <v>57</v>
      </c>
      <c r="N5852" t="str">
        <f>"045161"</f>
        <v>045161</v>
      </c>
      <c r="O5852" t="s">
        <v>1212</v>
      </c>
      <c r="P5852" t="s">
        <v>68</v>
      </c>
      <c r="Q5852" t="s">
        <v>68</v>
      </c>
      <c r="R5852" t="s">
        <v>68</v>
      </c>
      <c r="S5852" t="s">
        <v>77</v>
      </c>
    </row>
    <row r="5853" spans="1:19" x14ac:dyDescent="0.35">
      <c r="A5853">
        <v>65276</v>
      </c>
      <c r="B5853" t="str">
        <f>"065276"</f>
        <v>065276</v>
      </c>
      <c r="C5853" t="s">
        <v>15200</v>
      </c>
      <c r="D5853" t="s">
        <v>49</v>
      </c>
      <c r="E5853" t="s">
        <v>15079</v>
      </c>
      <c r="F5853" t="s">
        <v>3396</v>
      </c>
      <c r="G5853" t="s">
        <v>312</v>
      </c>
      <c r="H5853" t="s">
        <v>690</v>
      </c>
      <c r="I5853" t="s">
        <v>691</v>
      </c>
      <c r="J5853" t="s">
        <v>312</v>
      </c>
      <c r="K5853" t="s">
        <v>55</v>
      </c>
      <c r="L5853" t="s">
        <v>315</v>
      </c>
      <c r="M5853" t="s">
        <v>57</v>
      </c>
      <c r="N5853" t="str">
        <f>"065268"</f>
        <v>065268</v>
      </c>
      <c r="O5853" t="s">
        <v>2251</v>
      </c>
      <c r="P5853" t="s">
        <v>68</v>
      </c>
      <c r="Q5853" t="s">
        <v>68</v>
      </c>
      <c r="R5853" t="s">
        <v>68</v>
      </c>
      <c r="S5853" t="s">
        <v>156</v>
      </c>
    </row>
    <row r="5854" spans="1:19" x14ac:dyDescent="0.35">
      <c r="A5854">
        <v>142026</v>
      </c>
      <c r="B5854" t="str">
        <f>"142026"</f>
        <v>142026</v>
      </c>
      <c r="C5854" t="s">
        <v>15201</v>
      </c>
      <c r="D5854" t="s">
        <v>49</v>
      </c>
      <c r="E5854" t="s">
        <v>15079</v>
      </c>
      <c r="F5854" t="s">
        <v>3396</v>
      </c>
      <c r="G5854" t="s">
        <v>600</v>
      </c>
      <c r="H5854" t="s">
        <v>15202</v>
      </c>
      <c r="I5854" t="s">
        <v>15203</v>
      </c>
      <c r="J5854" t="s">
        <v>1136</v>
      </c>
      <c r="K5854" t="s">
        <v>55</v>
      </c>
      <c r="L5854" t="s">
        <v>1137</v>
      </c>
      <c r="M5854" t="s">
        <v>57</v>
      </c>
      <c r="N5854" t="str">
        <f>"044800"</f>
        <v>044800</v>
      </c>
      <c r="O5854" t="s">
        <v>1133</v>
      </c>
      <c r="P5854" t="s">
        <v>68</v>
      </c>
      <c r="Q5854" t="s">
        <v>68</v>
      </c>
      <c r="R5854" t="s">
        <v>68</v>
      </c>
      <c r="S5854" t="s">
        <v>60</v>
      </c>
    </row>
    <row r="5855" spans="1:19" x14ac:dyDescent="0.35">
      <c r="A5855">
        <v>50930</v>
      </c>
      <c r="B5855" t="str">
        <f>"050930"</f>
        <v>050930</v>
      </c>
      <c r="C5855" t="s">
        <v>2452</v>
      </c>
      <c r="D5855" t="s">
        <v>49</v>
      </c>
      <c r="E5855" t="s">
        <v>15079</v>
      </c>
      <c r="F5855" t="s">
        <v>3396</v>
      </c>
      <c r="G5855" t="s">
        <v>63</v>
      </c>
      <c r="H5855" t="s">
        <v>764</v>
      </c>
      <c r="I5855" t="s">
        <v>765</v>
      </c>
      <c r="J5855" t="s">
        <v>140</v>
      </c>
      <c r="K5855" t="s">
        <v>55</v>
      </c>
      <c r="L5855" t="s">
        <v>141</v>
      </c>
      <c r="M5855" t="s">
        <v>57</v>
      </c>
      <c r="N5855" t="str">
        <f>"050922"</f>
        <v>050922</v>
      </c>
      <c r="O5855" t="s">
        <v>2452</v>
      </c>
      <c r="P5855" t="s">
        <v>68</v>
      </c>
      <c r="Q5855" t="s">
        <v>68</v>
      </c>
      <c r="R5855" t="s">
        <v>68</v>
      </c>
      <c r="S5855" t="s">
        <v>69</v>
      </c>
    </row>
    <row r="5856" spans="1:19" x14ac:dyDescent="0.35">
      <c r="A5856">
        <v>142414</v>
      </c>
      <c r="B5856" t="str">
        <f>"142414"</f>
        <v>142414</v>
      </c>
      <c r="C5856" t="s">
        <v>15204</v>
      </c>
      <c r="D5856" t="s">
        <v>49</v>
      </c>
      <c r="E5856" t="s">
        <v>15079</v>
      </c>
      <c r="F5856" t="s">
        <v>3396</v>
      </c>
      <c r="G5856" t="s">
        <v>543</v>
      </c>
      <c r="H5856" t="s">
        <v>1445</v>
      </c>
      <c r="I5856" t="s">
        <v>1446</v>
      </c>
      <c r="J5856" t="s">
        <v>1447</v>
      </c>
      <c r="K5856" t="s">
        <v>55</v>
      </c>
      <c r="L5856" t="s">
        <v>1448</v>
      </c>
      <c r="M5856" t="s">
        <v>57</v>
      </c>
      <c r="N5856" t="str">
        <f>"051284"</f>
        <v>051284</v>
      </c>
      <c r="O5856" t="s">
        <v>1444</v>
      </c>
      <c r="P5856" t="s">
        <v>68</v>
      </c>
      <c r="Q5856" t="s">
        <v>68</v>
      </c>
      <c r="R5856" t="s">
        <v>68</v>
      </c>
      <c r="S5856" t="s">
        <v>180</v>
      </c>
    </row>
    <row r="5857" spans="1:19" x14ac:dyDescent="0.35">
      <c r="A5857">
        <v>51235</v>
      </c>
      <c r="B5857" t="str">
        <f>"051235"</f>
        <v>051235</v>
      </c>
      <c r="C5857" t="s">
        <v>15205</v>
      </c>
      <c r="D5857" t="s">
        <v>49</v>
      </c>
      <c r="E5857" t="s">
        <v>15079</v>
      </c>
      <c r="F5857" t="s">
        <v>3396</v>
      </c>
      <c r="G5857" t="s">
        <v>143</v>
      </c>
      <c r="H5857" t="s">
        <v>164</v>
      </c>
      <c r="I5857" t="s">
        <v>165</v>
      </c>
      <c r="J5857" t="s">
        <v>166</v>
      </c>
      <c r="K5857" t="s">
        <v>55</v>
      </c>
      <c r="L5857" t="s">
        <v>167</v>
      </c>
      <c r="M5857" t="s">
        <v>57</v>
      </c>
      <c r="N5857" t="str">
        <f>"051227"</f>
        <v>051227</v>
      </c>
      <c r="O5857" t="s">
        <v>162</v>
      </c>
      <c r="P5857" t="s">
        <v>68</v>
      </c>
      <c r="Q5857" t="s">
        <v>68</v>
      </c>
      <c r="R5857" t="s">
        <v>68</v>
      </c>
      <c r="S5857" t="s">
        <v>69</v>
      </c>
    </row>
    <row r="5858" spans="1:19" x14ac:dyDescent="0.35">
      <c r="A5858">
        <v>51037</v>
      </c>
      <c r="B5858" t="str">
        <f>"051037"</f>
        <v>051037</v>
      </c>
      <c r="C5858" t="s">
        <v>15206</v>
      </c>
      <c r="D5858" t="s">
        <v>49</v>
      </c>
      <c r="E5858" t="s">
        <v>15079</v>
      </c>
      <c r="F5858" t="s">
        <v>3396</v>
      </c>
      <c r="G5858" t="s">
        <v>759</v>
      </c>
      <c r="H5858" t="s">
        <v>2927</v>
      </c>
      <c r="I5858" t="s">
        <v>2928</v>
      </c>
      <c r="J5858" t="s">
        <v>2766</v>
      </c>
      <c r="K5858" t="s">
        <v>55</v>
      </c>
      <c r="L5858" t="s">
        <v>2767</v>
      </c>
      <c r="M5858" t="s">
        <v>57</v>
      </c>
      <c r="N5858" t="str">
        <f>"051029"</f>
        <v>051029</v>
      </c>
      <c r="O5858" t="s">
        <v>3262</v>
      </c>
      <c r="P5858" t="s">
        <v>68</v>
      </c>
      <c r="Q5858" t="s">
        <v>68</v>
      </c>
      <c r="R5858" t="s">
        <v>68</v>
      </c>
      <c r="S5858" t="s">
        <v>69</v>
      </c>
    </row>
    <row r="5859" spans="1:19" x14ac:dyDescent="0.35">
      <c r="A5859">
        <v>62133</v>
      </c>
      <c r="B5859" t="str">
        <f>"062133"</f>
        <v>062133</v>
      </c>
      <c r="C5859" t="s">
        <v>1071</v>
      </c>
      <c r="D5859" t="s">
        <v>49</v>
      </c>
      <c r="E5859" t="s">
        <v>15079</v>
      </c>
      <c r="F5859" t="s">
        <v>3396</v>
      </c>
      <c r="G5859" t="s">
        <v>325</v>
      </c>
      <c r="H5859" t="s">
        <v>478</v>
      </c>
      <c r="I5859" t="s">
        <v>479</v>
      </c>
      <c r="J5859" t="s">
        <v>328</v>
      </c>
      <c r="K5859" t="s">
        <v>55</v>
      </c>
      <c r="L5859" t="s">
        <v>329</v>
      </c>
      <c r="M5859" t="s">
        <v>57</v>
      </c>
      <c r="N5859" t="str">
        <f>"062125"</f>
        <v>062125</v>
      </c>
      <c r="O5859" t="s">
        <v>1071</v>
      </c>
      <c r="P5859" t="s">
        <v>68</v>
      </c>
      <c r="Q5859" t="s">
        <v>68</v>
      </c>
      <c r="R5859" t="s">
        <v>68</v>
      </c>
      <c r="S5859" t="s">
        <v>180</v>
      </c>
    </row>
    <row r="5860" spans="1:19" x14ac:dyDescent="0.35">
      <c r="A5860">
        <v>47233</v>
      </c>
      <c r="B5860" t="str">
        <f>"047233"</f>
        <v>047233</v>
      </c>
      <c r="C5860" t="s">
        <v>647</v>
      </c>
      <c r="D5860" t="s">
        <v>49</v>
      </c>
      <c r="E5860" t="s">
        <v>15207</v>
      </c>
      <c r="F5860" t="s">
        <v>15208</v>
      </c>
      <c r="G5860" t="s">
        <v>642</v>
      </c>
      <c r="H5860" t="s">
        <v>15209</v>
      </c>
      <c r="I5860" t="s">
        <v>15210</v>
      </c>
      <c r="J5860" t="s">
        <v>1506</v>
      </c>
      <c r="K5860" t="s">
        <v>55</v>
      </c>
      <c r="L5860">
        <v>45387</v>
      </c>
      <c r="M5860" t="s">
        <v>57</v>
      </c>
      <c r="O5860" t="s">
        <v>58</v>
      </c>
      <c r="P5860" t="e">
        <v>#N/A</v>
      </c>
      <c r="Q5860" t="s">
        <v>68</v>
      </c>
      <c r="R5860" t="s">
        <v>68</v>
      </c>
      <c r="S5860" t="s">
        <v>180</v>
      </c>
    </row>
    <row r="5861" spans="1:19" x14ac:dyDescent="0.35">
      <c r="A5861">
        <v>15775</v>
      </c>
      <c r="B5861" t="str">
        <f>"015775"</f>
        <v>015775</v>
      </c>
      <c r="C5861" t="s">
        <v>15211</v>
      </c>
      <c r="D5861" t="s">
        <v>49</v>
      </c>
      <c r="E5861" t="s">
        <v>15212</v>
      </c>
      <c r="F5861" t="s">
        <v>15208</v>
      </c>
      <c r="G5861" t="s">
        <v>1567</v>
      </c>
      <c r="H5861" t="s">
        <v>15213</v>
      </c>
      <c r="J5861" t="s">
        <v>2035</v>
      </c>
      <c r="K5861" t="s">
        <v>2035</v>
      </c>
      <c r="L5861" t="s">
        <v>15214</v>
      </c>
      <c r="M5861" t="s">
        <v>57</v>
      </c>
      <c r="O5861" t="s">
        <v>49</v>
      </c>
      <c r="P5861" t="e">
        <v>#N/A</v>
      </c>
      <c r="Q5861" t="s">
        <v>68</v>
      </c>
      <c r="R5861" t="s">
        <v>68</v>
      </c>
      <c r="S5861" t="s">
        <v>60</v>
      </c>
    </row>
    <row r="5862" spans="1:19" x14ac:dyDescent="0.35">
      <c r="A5862">
        <v>48603</v>
      </c>
      <c r="B5862" t="str">
        <f>"048603"</f>
        <v>048603</v>
      </c>
      <c r="C5862" t="s">
        <v>2174</v>
      </c>
      <c r="D5862" t="s">
        <v>49</v>
      </c>
      <c r="E5862" t="s">
        <v>15207</v>
      </c>
      <c r="F5862" t="s">
        <v>15208</v>
      </c>
      <c r="G5862" t="s">
        <v>325</v>
      </c>
      <c r="H5862" t="s">
        <v>15215</v>
      </c>
      <c r="I5862" t="s">
        <v>15216</v>
      </c>
      <c r="J5862" t="s">
        <v>2819</v>
      </c>
      <c r="K5862" t="s">
        <v>55</v>
      </c>
      <c r="L5862">
        <v>45373</v>
      </c>
      <c r="M5862" t="s">
        <v>57</v>
      </c>
      <c r="O5862" t="s">
        <v>58</v>
      </c>
      <c r="P5862" t="e">
        <v>#N/A</v>
      </c>
      <c r="Q5862" t="s">
        <v>68</v>
      </c>
      <c r="R5862" t="s">
        <v>68</v>
      </c>
      <c r="S5862" t="s">
        <v>180</v>
      </c>
    </row>
    <row r="5863" spans="1:19" x14ac:dyDescent="0.35">
      <c r="A5863">
        <v>125682</v>
      </c>
      <c r="B5863" t="str">
        <f>"125682"</f>
        <v>125682</v>
      </c>
      <c r="C5863" t="s">
        <v>1760</v>
      </c>
      <c r="D5863" t="s">
        <v>49</v>
      </c>
      <c r="E5863" t="s">
        <v>15207</v>
      </c>
      <c r="F5863" t="s">
        <v>15208</v>
      </c>
      <c r="G5863" t="s">
        <v>861</v>
      </c>
      <c r="H5863" t="s">
        <v>15217</v>
      </c>
      <c r="I5863" t="s">
        <v>15218</v>
      </c>
      <c r="J5863" t="s">
        <v>1743</v>
      </c>
      <c r="K5863" t="s">
        <v>55</v>
      </c>
      <c r="L5863">
        <v>45674</v>
      </c>
      <c r="M5863" t="s">
        <v>57</v>
      </c>
      <c r="O5863" t="s">
        <v>58</v>
      </c>
      <c r="P5863" t="e">
        <v>#N/A</v>
      </c>
      <c r="Q5863" t="s">
        <v>68</v>
      </c>
      <c r="R5863" t="s">
        <v>68</v>
      </c>
      <c r="S5863" t="s">
        <v>130</v>
      </c>
    </row>
    <row r="5864" spans="1:19" x14ac:dyDescent="0.35">
      <c r="A5864">
        <v>8018</v>
      </c>
      <c r="B5864" t="str">
        <f>"008018"</f>
        <v>008018</v>
      </c>
      <c r="C5864" t="s">
        <v>15219</v>
      </c>
      <c r="D5864" t="s">
        <v>49</v>
      </c>
      <c r="E5864" t="s">
        <v>15220</v>
      </c>
      <c r="F5864" t="s">
        <v>15208</v>
      </c>
      <c r="G5864" t="s">
        <v>1679</v>
      </c>
      <c r="H5864" t="s">
        <v>15221</v>
      </c>
      <c r="I5864" t="s">
        <v>15222</v>
      </c>
      <c r="J5864" t="s">
        <v>927</v>
      </c>
      <c r="K5864" t="s">
        <v>55</v>
      </c>
      <c r="L5864">
        <v>43701</v>
      </c>
      <c r="M5864" t="s">
        <v>57</v>
      </c>
      <c r="O5864" t="s">
        <v>49</v>
      </c>
      <c r="P5864" t="e">
        <v>#N/A</v>
      </c>
      <c r="Q5864" t="s">
        <v>68</v>
      </c>
      <c r="R5864" t="s">
        <v>68</v>
      </c>
      <c r="S5864" t="s">
        <v>130</v>
      </c>
    </row>
    <row r="5865" spans="1:19" x14ac:dyDescent="0.35">
      <c r="A5865">
        <v>15774</v>
      </c>
      <c r="B5865" t="str">
        <f>"015774"</f>
        <v>015774</v>
      </c>
      <c r="C5865" t="s">
        <v>15223</v>
      </c>
      <c r="D5865" t="s">
        <v>49</v>
      </c>
      <c r="E5865" t="s">
        <v>15212</v>
      </c>
      <c r="F5865" t="s">
        <v>15208</v>
      </c>
      <c r="G5865" t="s">
        <v>226</v>
      </c>
      <c r="H5865" t="s">
        <v>15224</v>
      </c>
      <c r="I5865" t="s">
        <v>15225</v>
      </c>
      <c r="J5865" t="s">
        <v>810</v>
      </c>
      <c r="K5865" t="s">
        <v>55</v>
      </c>
      <c r="L5865">
        <v>43403</v>
      </c>
      <c r="M5865" t="s">
        <v>57</v>
      </c>
      <c r="O5865" t="s">
        <v>49</v>
      </c>
      <c r="P5865" t="e">
        <v>#N/A</v>
      </c>
      <c r="Q5865" t="s">
        <v>68</v>
      </c>
      <c r="R5865" t="s">
        <v>68</v>
      </c>
      <c r="S5865" t="s">
        <v>156</v>
      </c>
    </row>
    <row r="5866" spans="1:19" x14ac:dyDescent="0.35">
      <c r="A5866">
        <v>93583</v>
      </c>
      <c r="B5866" t="str">
        <f>"093583"</f>
        <v>093583</v>
      </c>
      <c r="C5866" t="s">
        <v>15226</v>
      </c>
      <c r="D5866" t="s">
        <v>49</v>
      </c>
      <c r="E5866" t="s">
        <v>15227</v>
      </c>
      <c r="F5866" t="s">
        <v>15208</v>
      </c>
      <c r="G5866" t="s">
        <v>543</v>
      </c>
      <c r="H5866" t="s">
        <v>15228</v>
      </c>
      <c r="I5866" t="s">
        <v>15229</v>
      </c>
      <c r="J5866" t="s">
        <v>15230</v>
      </c>
      <c r="K5866" t="s">
        <v>55</v>
      </c>
      <c r="L5866">
        <v>45431</v>
      </c>
      <c r="M5866" t="s">
        <v>57</v>
      </c>
      <c r="O5866" t="s">
        <v>15226</v>
      </c>
      <c r="P5866" t="e">
        <v>#N/A</v>
      </c>
      <c r="Q5866" t="s">
        <v>68</v>
      </c>
      <c r="R5866" t="s">
        <v>68</v>
      </c>
      <c r="S5866" t="s">
        <v>180</v>
      </c>
    </row>
    <row r="5867" spans="1:19" x14ac:dyDescent="0.35">
      <c r="A5867">
        <v>125690</v>
      </c>
      <c r="B5867" t="str">
        <f>"125690"</f>
        <v>125690</v>
      </c>
      <c r="C5867" t="s">
        <v>262</v>
      </c>
      <c r="D5867" t="s">
        <v>49</v>
      </c>
      <c r="E5867" t="s">
        <v>15207</v>
      </c>
      <c r="F5867" t="s">
        <v>15208</v>
      </c>
      <c r="G5867" t="s">
        <v>759</v>
      </c>
      <c r="H5867" t="s">
        <v>15231</v>
      </c>
      <c r="I5867" t="s">
        <v>15232</v>
      </c>
      <c r="J5867" t="s">
        <v>400</v>
      </c>
      <c r="K5867" t="s">
        <v>55</v>
      </c>
      <c r="L5867">
        <v>44870</v>
      </c>
      <c r="M5867" t="s">
        <v>57</v>
      </c>
      <c r="O5867" t="s">
        <v>58</v>
      </c>
      <c r="P5867" t="e">
        <v>#N/A</v>
      </c>
      <c r="Q5867" t="s">
        <v>68</v>
      </c>
      <c r="R5867" t="s">
        <v>68</v>
      </c>
      <c r="S5867" t="s">
        <v>69</v>
      </c>
    </row>
    <row r="5868" spans="1:19" x14ac:dyDescent="0.35">
      <c r="A5868">
        <v>46292</v>
      </c>
      <c r="B5868" t="str">
        <f>"046292"</f>
        <v>046292</v>
      </c>
      <c r="C5868" t="s">
        <v>1045</v>
      </c>
      <c r="D5868" t="s">
        <v>49</v>
      </c>
      <c r="E5868" t="s">
        <v>15207</v>
      </c>
      <c r="F5868" t="s">
        <v>15208</v>
      </c>
      <c r="G5868" t="s">
        <v>1041</v>
      </c>
      <c r="H5868" t="s">
        <v>15233</v>
      </c>
      <c r="I5868" t="s">
        <v>15234</v>
      </c>
      <c r="J5868" t="s">
        <v>2025</v>
      </c>
      <c r="K5868" t="s">
        <v>55</v>
      </c>
      <c r="L5868">
        <v>45103</v>
      </c>
      <c r="M5868" t="s">
        <v>57</v>
      </c>
      <c r="O5868" t="s">
        <v>58</v>
      </c>
      <c r="P5868" t="e">
        <v>#N/A</v>
      </c>
      <c r="Q5868" t="s">
        <v>68</v>
      </c>
      <c r="R5868" t="s">
        <v>68</v>
      </c>
      <c r="S5868" t="s">
        <v>217</v>
      </c>
    </row>
    <row r="5869" spans="1:19" x14ac:dyDescent="0.35">
      <c r="A5869">
        <v>93492</v>
      </c>
      <c r="B5869" t="str">
        <f>"093492"</f>
        <v>093492</v>
      </c>
      <c r="C5869" t="s">
        <v>15235</v>
      </c>
      <c r="D5869" t="s">
        <v>49</v>
      </c>
      <c r="E5869" t="s">
        <v>15227</v>
      </c>
      <c r="F5869" t="s">
        <v>15208</v>
      </c>
      <c r="G5869" t="s">
        <v>600</v>
      </c>
      <c r="H5869" t="s">
        <v>15236</v>
      </c>
      <c r="I5869" t="s">
        <v>15237</v>
      </c>
      <c r="J5869" t="s">
        <v>1348</v>
      </c>
      <c r="K5869" t="s">
        <v>55</v>
      </c>
      <c r="L5869">
        <v>43214</v>
      </c>
      <c r="M5869" t="s">
        <v>57</v>
      </c>
      <c r="O5869" t="s">
        <v>15235</v>
      </c>
      <c r="P5869" t="e">
        <v>#N/A</v>
      </c>
      <c r="Q5869" t="s">
        <v>68</v>
      </c>
      <c r="R5869" t="s">
        <v>68</v>
      </c>
      <c r="S5869" t="s">
        <v>60</v>
      </c>
    </row>
    <row r="5870" spans="1:19" x14ac:dyDescent="0.35">
      <c r="A5870">
        <v>93633</v>
      </c>
      <c r="B5870" t="str">
        <f>"093633"</f>
        <v>093633</v>
      </c>
      <c r="C5870" t="s">
        <v>15238</v>
      </c>
      <c r="D5870" t="s">
        <v>49</v>
      </c>
      <c r="E5870" t="s">
        <v>15227</v>
      </c>
      <c r="F5870" t="s">
        <v>15208</v>
      </c>
      <c r="G5870" t="s">
        <v>63</v>
      </c>
      <c r="H5870" t="s">
        <v>15239</v>
      </c>
      <c r="I5870" t="s">
        <v>15240</v>
      </c>
      <c r="J5870" t="s">
        <v>66</v>
      </c>
      <c r="K5870" t="s">
        <v>55</v>
      </c>
      <c r="L5870">
        <v>44129</v>
      </c>
      <c r="M5870" t="s">
        <v>57</v>
      </c>
      <c r="O5870" t="s">
        <v>15238</v>
      </c>
      <c r="P5870" t="e">
        <v>#N/A</v>
      </c>
      <c r="Q5870" t="s">
        <v>68</v>
      </c>
      <c r="R5870" t="s">
        <v>68</v>
      </c>
      <c r="S5870" t="s">
        <v>69</v>
      </c>
    </row>
    <row r="5871" spans="1:19" x14ac:dyDescent="0.35">
      <c r="A5871">
        <v>125658</v>
      </c>
      <c r="B5871" t="str">
        <f>"125658"</f>
        <v>125658</v>
      </c>
      <c r="C5871" t="s">
        <v>224</v>
      </c>
      <c r="D5871" t="s">
        <v>49</v>
      </c>
      <c r="E5871" t="s">
        <v>15207</v>
      </c>
      <c r="F5871" t="s">
        <v>15208</v>
      </c>
      <c r="G5871" t="s">
        <v>219</v>
      </c>
      <c r="H5871" t="s">
        <v>15241</v>
      </c>
      <c r="I5871" t="s">
        <v>15242</v>
      </c>
      <c r="J5871" t="s">
        <v>949</v>
      </c>
      <c r="K5871" t="s">
        <v>55</v>
      </c>
      <c r="L5871">
        <v>45662</v>
      </c>
      <c r="M5871" t="s">
        <v>57</v>
      </c>
      <c r="O5871" t="s">
        <v>58</v>
      </c>
      <c r="P5871" t="e">
        <v>#N/A</v>
      </c>
      <c r="Q5871" t="s">
        <v>68</v>
      </c>
      <c r="R5871" t="s">
        <v>68</v>
      </c>
      <c r="S5871" t="s">
        <v>130</v>
      </c>
    </row>
    <row r="5872" spans="1:19" x14ac:dyDescent="0.35">
      <c r="A5872">
        <v>46938</v>
      </c>
      <c r="B5872" t="str">
        <f>"046938"</f>
        <v>046938</v>
      </c>
      <c r="C5872" t="s">
        <v>1029</v>
      </c>
      <c r="D5872" t="s">
        <v>49</v>
      </c>
      <c r="E5872" t="s">
        <v>15207</v>
      </c>
      <c r="F5872" t="s">
        <v>15208</v>
      </c>
      <c r="G5872" t="s">
        <v>600</v>
      </c>
      <c r="H5872" t="s">
        <v>15243</v>
      </c>
      <c r="I5872" t="s">
        <v>15244</v>
      </c>
      <c r="J5872" t="s">
        <v>1348</v>
      </c>
      <c r="K5872" t="s">
        <v>55</v>
      </c>
      <c r="L5872">
        <v>43219</v>
      </c>
      <c r="M5872" t="s">
        <v>57</v>
      </c>
      <c r="O5872" t="s">
        <v>58</v>
      </c>
      <c r="P5872" t="e">
        <v>#N/A</v>
      </c>
      <c r="Q5872" t="s">
        <v>68</v>
      </c>
      <c r="R5872" t="s">
        <v>68</v>
      </c>
      <c r="S5872" t="s">
        <v>60</v>
      </c>
    </row>
    <row r="5873" spans="1:19" x14ac:dyDescent="0.35">
      <c r="A5873">
        <v>93484</v>
      </c>
      <c r="B5873" t="str">
        <f>"093484"</f>
        <v>093484</v>
      </c>
      <c r="C5873" t="s">
        <v>15245</v>
      </c>
      <c r="D5873" t="s">
        <v>49</v>
      </c>
      <c r="E5873" t="s">
        <v>15227</v>
      </c>
      <c r="F5873" t="s">
        <v>15208</v>
      </c>
      <c r="G5873" t="s">
        <v>663</v>
      </c>
      <c r="H5873" t="s">
        <v>15246</v>
      </c>
      <c r="I5873" t="s">
        <v>15247</v>
      </c>
      <c r="J5873" t="s">
        <v>666</v>
      </c>
      <c r="K5873" t="s">
        <v>55</v>
      </c>
      <c r="L5873">
        <v>44906</v>
      </c>
      <c r="M5873" t="s">
        <v>57</v>
      </c>
      <c r="O5873" t="s">
        <v>15245</v>
      </c>
      <c r="P5873" t="e">
        <v>#N/A</v>
      </c>
      <c r="Q5873" t="s">
        <v>68</v>
      </c>
      <c r="R5873" t="s">
        <v>68</v>
      </c>
      <c r="S5873" t="s">
        <v>77</v>
      </c>
    </row>
    <row r="5874" spans="1:19" x14ac:dyDescent="0.35">
      <c r="A5874">
        <v>47910</v>
      </c>
      <c r="B5874" t="str">
        <f>"047910"</f>
        <v>047910</v>
      </c>
      <c r="C5874" t="s">
        <v>1454</v>
      </c>
      <c r="D5874" t="s">
        <v>49</v>
      </c>
      <c r="E5874" t="s">
        <v>15207</v>
      </c>
      <c r="F5874" t="s">
        <v>15208</v>
      </c>
      <c r="G5874" t="s">
        <v>1335</v>
      </c>
      <c r="H5874" t="s">
        <v>15248</v>
      </c>
      <c r="I5874" t="s">
        <v>15249</v>
      </c>
      <c r="J5874" t="s">
        <v>1640</v>
      </c>
      <c r="K5874" t="s">
        <v>55</v>
      </c>
      <c r="L5874">
        <v>45638</v>
      </c>
      <c r="M5874" t="s">
        <v>57</v>
      </c>
      <c r="O5874" t="s">
        <v>58</v>
      </c>
      <c r="P5874" t="e">
        <v>#N/A</v>
      </c>
      <c r="Q5874" t="s">
        <v>68</v>
      </c>
      <c r="R5874" t="s">
        <v>68</v>
      </c>
      <c r="S5874" t="s">
        <v>130</v>
      </c>
    </row>
    <row r="5875" spans="1:19" x14ac:dyDescent="0.35">
      <c r="A5875">
        <v>93559</v>
      </c>
      <c r="B5875" t="str">
        <f>"093559"</f>
        <v>093559</v>
      </c>
      <c r="C5875" t="s">
        <v>15250</v>
      </c>
      <c r="D5875" t="s">
        <v>49</v>
      </c>
      <c r="E5875" t="s">
        <v>15227</v>
      </c>
      <c r="F5875" t="s">
        <v>15208</v>
      </c>
      <c r="G5875" t="s">
        <v>169</v>
      </c>
      <c r="H5875" t="s">
        <v>15251</v>
      </c>
      <c r="I5875" t="s">
        <v>15252</v>
      </c>
      <c r="J5875" t="s">
        <v>2780</v>
      </c>
      <c r="K5875" t="s">
        <v>55</v>
      </c>
      <c r="L5875">
        <v>44089</v>
      </c>
      <c r="M5875" t="s">
        <v>57</v>
      </c>
      <c r="O5875" t="s">
        <v>15250</v>
      </c>
      <c r="P5875" t="e">
        <v>#N/A</v>
      </c>
      <c r="Q5875" t="s">
        <v>68</v>
      </c>
      <c r="R5875" t="s">
        <v>68</v>
      </c>
      <c r="S5875" t="s">
        <v>77</v>
      </c>
    </row>
    <row r="5876" spans="1:19" x14ac:dyDescent="0.35">
      <c r="A5876">
        <v>8012</v>
      </c>
      <c r="B5876" t="str">
        <f>"008012"</f>
        <v>008012</v>
      </c>
      <c r="C5876" t="s">
        <v>15253</v>
      </c>
      <c r="D5876" t="s">
        <v>49</v>
      </c>
      <c r="E5876" t="s">
        <v>15220</v>
      </c>
      <c r="F5876" t="s">
        <v>15208</v>
      </c>
      <c r="G5876" t="s">
        <v>212</v>
      </c>
      <c r="H5876" t="s">
        <v>15254</v>
      </c>
      <c r="I5876" t="s">
        <v>15255</v>
      </c>
      <c r="J5876" t="s">
        <v>215</v>
      </c>
      <c r="K5876" t="s">
        <v>55</v>
      </c>
      <c r="L5876">
        <v>45231</v>
      </c>
      <c r="M5876" t="s">
        <v>57</v>
      </c>
      <c r="O5876" t="s">
        <v>49</v>
      </c>
      <c r="P5876" t="e">
        <v>#N/A</v>
      </c>
      <c r="Q5876" t="s">
        <v>68</v>
      </c>
      <c r="R5876" t="s">
        <v>68</v>
      </c>
      <c r="S5876" t="s">
        <v>217</v>
      </c>
    </row>
    <row r="5877" spans="1:19" x14ac:dyDescent="0.35">
      <c r="A5877">
        <v>15781</v>
      </c>
      <c r="B5877" t="str">
        <f>"015781"</f>
        <v>015781</v>
      </c>
      <c r="C5877" t="s">
        <v>15256</v>
      </c>
      <c r="D5877" t="s">
        <v>49</v>
      </c>
      <c r="E5877" t="s">
        <v>15212</v>
      </c>
      <c r="F5877" t="s">
        <v>15208</v>
      </c>
      <c r="G5877" t="s">
        <v>663</v>
      </c>
      <c r="H5877" t="s">
        <v>15257</v>
      </c>
      <c r="I5877" t="s">
        <v>15258</v>
      </c>
      <c r="J5877" t="s">
        <v>666</v>
      </c>
      <c r="K5877" t="s">
        <v>55</v>
      </c>
      <c r="L5877">
        <v>44906</v>
      </c>
      <c r="M5877" t="s">
        <v>57</v>
      </c>
      <c r="O5877" t="s">
        <v>49</v>
      </c>
      <c r="P5877" t="e">
        <v>#N/A</v>
      </c>
      <c r="Q5877" t="s">
        <v>68</v>
      </c>
      <c r="R5877" t="s">
        <v>68</v>
      </c>
      <c r="S5877" t="s">
        <v>77</v>
      </c>
    </row>
    <row r="5878" spans="1:19" x14ac:dyDescent="0.35">
      <c r="A5878">
        <v>15797</v>
      </c>
      <c r="B5878" t="str">
        <f>"015797"</f>
        <v>015797</v>
      </c>
      <c r="C5878" t="s">
        <v>15259</v>
      </c>
      <c r="D5878" t="s">
        <v>49</v>
      </c>
      <c r="E5878" t="s">
        <v>15212</v>
      </c>
      <c r="F5878" t="s">
        <v>15208</v>
      </c>
      <c r="G5878" t="s">
        <v>1041</v>
      </c>
      <c r="H5878" t="s">
        <v>15233</v>
      </c>
      <c r="I5878" t="s">
        <v>15234</v>
      </c>
      <c r="J5878" t="s">
        <v>2025</v>
      </c>
      <c r="K5878" t="s">
        <v>55</v>
      </c>
      <c r="L5878">
        <v>45103</v>
      </c>
      <c r="M5878" t="s">
        <v>57</v>
      </c>
      <c r="O5878" t="s">
        <v>49</v>
      </c>
      <c r="P5878" t="e">
        <v>#N/A</v>
      </c>
      <c r="Q5878" t="s">
        <v>68</v>
      </c>
      <c r="R5878" t="s">
        <v>68</v>
      </c>
      <c r="S5878" t="s">
        <v>217</v>
      </c>
    </row>
    <row r="5879" spans="1:19" x14ac:dyDescent="0.35">
      <c r="A5879">
        <v>46227</v>
      </c>
      <c r="B5879" t="str">
        <f>"046227"</f>
        <v>046227</v>
      </c>
      <c r="C5879" t="s">
        <v>782</v>
      </c>
      <c r="D5879" t="s">
        <v>49</v>
      </c>
      <c r="E5879" t="s">
        <v>15207</v>
      </c>
      <c r="F5879" t="s">
        <v>15208</v>
      </c>
      <c r="G5879" t="s">
        <v>777</v>
      </c>
      <c r="H5879" t="s">
        <v>15260</v>
      </c>
      <c r="I5879" t="s">
        <v>15261</v>
      </c>
      <c r="J5879" t="s">
        <v>780</v>
      </c>
      <c r="K5879" t="s">
        <v>55</v>
      </c>
      <c r="L5879">
        <v>45505</v>
      </c>
      <c r="M5879" t="s">
        <v>57</v>
      </c>
      <c r="O5879" t="s">
        <v>58</v>
      </c>
      <c r="P5879" t="e">
        <v>#N/A</v>
      </c>
      <c r="Q5879" t="s">
        <v>68</v>
      </c>
      <c r="R5879" t="s">
        <v>68</v>
      </c>
      <c r="S5879" t="s">
        <v>180</v>
      </c>
    </row>
    <row r="5880" spans="1:19" x14ac:dyDescent="0.35">
      <c r="A5880">
        <v>48199</v>
      </c>
      <c r="B5880" t="str">
        <f>"048199"</f>
        <v>048199</v>
      </c>
      <c r="C5880" t="s">
        <v>339</v>
      </c>
      <c r="D5880" t="s">
        <v>49</v>
      </c>
      <c r="E5880" t="s">
        <v>15207</v>
      </c>
      <c r="F5880" t="s">
        <v>15208</v>
      </c>
      <c r="G5880" t="s">
        <v>200</v>
      </c>
      <c r="H5880" t="s">
        <v>15262</v>
      </c>
      <c r="I5880" t="s">
        <v>15263</v>
      </c>
      <c r="J5880" t="s">
        <v>304</v>
      </c>
      <c r="K5880" t="s">
        <v>55</v>
      </c>
      <c r="L5880">
        <v>43620</v>
      </c>
      <c r="M5880" t="s">
        <v>57</v>
      </c>
      <c r="O5880" t="s">
        <v>58</v>
      </c>
      <c r="P5880" t="e">
        <v>#N/A</v>
      </c>
      <c r="Q5880" t="s">
        <v>68</v>
      </c>
      <c r="R5880" t="s">
        <v>68</v>
      </c>
      <c r="S5880" t="s">
        <v>156</v>
      </c>
    </row>
    <row r="5881" spans="1:19" x14ac:dyDescent="0.35">
      <c r="A5881">
        <v>50260</v>
      </c>
      <c r="B5881" t="str">
        <f>"050260"</f>
        <v>050260</v>
      </c>
      <c r="C5881" t="s">
        <v>1170</v>
      </c>
      <c r="D5881" t="s">
        <v>49</v>
      </c>
      <c r="E5881" t="s">
        <v>15207</v>
      </c>
      <c r="F5881" t="s">
        <v>15208</v>
      </c>
      <c r="G5881" t="s">
        <v>71</v>
      </c>
      <c r="H5881" t="s">
        <v>15264</v>
      </c>
      <c r="I5881" t="s">
        <v>15265</v>
      </c>
      <c r="J5881" t="s">
        <v>447</v>
      </c>
      <c r="K5881" t="s">
        <v>55</v>
      </c>
      <c r="L5881">
        <v>44663</v>
      </c>
      <c r="M5881" t="s">
        <v>57</v>
      </c>
      <c r="O5881" t="s">
        <v>58</v>
      </c>
      <c r="P5881" t="e">
        <v>#N/A</v>
      </c>
      <c r="Q5881" t="s">
        <v>68</v>
      </c>
      <c r="R5881" t="s">
        <v>68</v>
      </c>
      <c r="S5881" t="s">
        <v>77</v>
      </c>
    </row>
    <row r="5882" spans="1:19" x14ac:dyDescent="0.35">
      <c r="A5882">
        <v>50526</v>
      </c>
      <c r="B5882" t="str">
        <f>"050526"</f>
        <v>050526</v>
      </c>
      <c r="C5882" t="s">
        <v>192</v>
      </c>
      <c r="D5882" t="s">
        <v>49</v>
      </c>
      <c r="E5882" t="s">
        <v>15207</v>
      </c>
      <c r="F5882" t="s">
        <v>15208</v>
      </c>
      <c r="G5882" t="s">
        <v>187</v>
      </c>
      <c r="H5882" t="s">
        <v>15266</v>
      </c>
      <c r="I5882" t="s">
        <v>15267</v>
      </c>
      <c r="J5882" t="s">
        <v>309</v>
      </c>
      <c r="K5882" t="s">
        <v>55</v>
      </c>
      <c r="L5882">
        <v>44691</v>
      </c>
      <c r="M5882" t="s">
        <v>57</v>
      </c>
      <c r="O5882" t="s">
        <v>58</v>
      </c>
      <c r="P5882" t="e">
        <v>#N/A</v>
      </c>
      <c r="Q5882" t="s">
        <v>68</v>
      </c>
      <c r="R5882" t="s">
        <v>68</v>
      </c>
      <c r="S5882" t="s">
        <v>77</v>
      </c>
    </row>
    <row r="5883" spans="1:19" x14ac:dyDescent="0.35">
      <c r="A5883">
        <v>123281</v>
      </c>
      <c r="B5883" t="str">
        <f>"123281"</f>
        <v>123281</v>
      </c>
      <c r="C5883" t="s">
        <v>129</v>
      </c>
      <c r="D5883" t="s">
        <v>49</v>
      </c>
      <c r="E5883" t="s">
        <v>15207</v>
      </c>
      <c r="F5883" t="s">
        <v>15208</v>
      </c>
      <c r="G5883" t="s">
        <v>1679</v>
      </c>
      <c r="H5883" t="s">
        <v>15268</v>
      </c>
      <c r="I5883" t="s">
        <v>15269</v>
      </c>
      <c r="J5883" t="s">
        <v>1157</v>
      </c>
      <c r="K5883" t="s">
        <v>55</v>
      </c>
      <c r="L5883">
        <v>43725</v>
      </c>
      <c r="M5883" t="s">
        <v>57</v>
      </c>
      <c r="O5883" t="s">
        <v>58</v>
      </c>
      <c r="P5883" t="e">
        <v>#N/A</v>
      </c>
      <c r="Q5883" t="s">
        <v>68</v>
      </c>
      <c r="R5883" t="s">
        <v>68</v>
      </c>
      <c r="S5883" t="s">
        <v>130</v>
      </c>
    </row>
    <row r="5884" spans="1:19" x14ac:dyDescent="0.35">
      <c r="A5884">
        <v>8008</v>
      </c>
      <c r="B5884" t="str">
        <f>"008008"</f>
        <v>008008</v>
      </c>
      <c r="C5884" t="s">
        <v>15270</v>
      </c>
      <c r="D5884" t="s">
        <v>49</v>
      </c>
      <c r="E5884" t="s">
        <v>15220</v>
      </c>
      <c r="F5884" t="s">
        <v>15208</v>
      </c>
      <c r="G5884" t="s">
        <v>200</v>
      </c>
      <c r="H5884" t="s">
        <v>15271</v>
      </c>
      <c r="I5884" t="s">
        <v>15272</v>
      </c>
      <c r="J5884" t="s">
        <v>304</v>
      </c>
      <c r="K5884" t="s">
        <v>55</v>
      </c>
      <c r="L5884">
        <v>43602</v>
      </c>
      <c r="M5884" t="s">
        <v>57</v>
      </c>
      <c r="O5884" t="s">
        <v>49</v>
      </c>
      <c r="P5884" t="e">
        <v>#N/A</v>
      </c>
      <c r="Q5884" t="s">
        <v>68</v>
      </c>
      <c r="R5884" t="s">
        <v>68</v>
      </c>
      <c r="S5884" t="s">
        <v>156</v>
      </c>
    </row>
    <row r="5885" spans="1:19" x14ac:dyDescent="0.35">
      <c r="A5885">
        <v>8014</v>
      </c>
      <c r="B5885" t="str">
        <f>"008014"</f>
        <v>008014</v>
      </c>
      <c r="C5885" t="s">
        <v>15273</v>
      </c>
      <c r="D5885" t="s">
        <v>49</v>
      </c>
      <c r="E5885" t="s">
        <v>15220</v>
      </c>
      <c r="F5885" t="s">
        <v>15208</v>
      </c>
      <c r="G5885" t="s">
        <v>63</v>
      </c>
      <c r="H5885" t="s">
        <v>15274</v>
      </c>
      <c r="I5885" t="s">
        <v>15275</v>
      </c>
      <c r="J5885" t="s">
        <v>285</v>
      </c>
      <c r="K5885" t="s">
        <v>55</v>
      </c>
      <c r="L5885">
        <v>44115</v>
      </c>
      <c r="M5885" t="s">
        <v>57</v>
      </c>
      <c r="O5885" t="s">
        <v>49</v>
      </c>
      <c r="P5885" t="e">
        <v>#N/A</v>
      </c>
      <c r="Q5885" t="s">
        <v>68</v>
      </c>
      <c r="R5885" t="s">
        <v>68</v>
      </c>
      <c r="S5885" t="s">
        <v>69</v>
      </c>
    </row>
    <row r="5886" spans="1:19" x14ac:dyDescent="0.35">
      <c r="A5886">
        <v>125252</v>
      </c>
      <c r="B5886" t="str">
        <f>"125252"</f>
        <v>125252</v>
      </c>
      <c r="C5886" t="s">
        <v>90</v>
      </c>
      <c r="D5886" t="s">
        <v>49</v>
      </c>
      <c r="E5886" t="s">
        <v>15207</v>
      </c>
      <c r="F5886" t="s">
        <v>15208</v>
      </c>
      <c r="G5886" t="s">
        <v>674</v>
      </c>
      <c r="H5886" t="s">
        <v>15221</v>
      </c>
      <c r="I5886" t="s">
        <v>15222</v>
      </c>
      <c r="J5886" t="s">
        <v>927</v>
      </c>
      <c r="K5886" t="s">
        <v>55</v>
      </c>
      <c r="L5886">
        <v>43701</v>
      </c>
      <c r="M5886" t="s">
        <v>57</v>
      </c>
      <c r="O5886" t="s">
        <v>58</v>
      </c>
      <c r="P5886" t="e">
        <v>#N/A</v>
      </c>
      <c r="Q5886" t="s">
        <v>68</v>
      </c>
      <c r="R5886" t="s">
        <v>68</v>
      </c>
      <c r="S5886" t="s">
        <v>130</v>
      </c>
    </row>
    <row r="5887" spans="1:19" x14ac:dyDescent="0.35">
      <c r="A5887">
        <v>93625</v>
      </c>
      <c r="B5887" t="str">
        <f>"093625"</f>
        <v>093625</v>
      </c>
      <c r="C5887" t="s">
        <v>15276</v>
      </c>
      <c r="D5887" t="s">
        <v>49</v>
      </c>
      <c r="E5887" t="s">
        <v>15227</v>
      </c>
      <c r="F5887" t="s">
        <v>15208</v>
      </c>
      <c r="G5887" t="s">
        <v>71</v>
      </c>
      <c r="H5887" t="s">
        <v>15277</v>
      </c>
      <c r="I5887" t="s">
        <v>15278</v>
      </c>
      <c r="J5887" t="s">
        <v>447</v>
      </c>
      <c r="K5887" t="s">
        <v>55</v>
      </c>
      <c r="L5887">
        <v>44663</v>
      </c>
      <c r="M5887" t="s">
        <v>57</v>
      </c>
      <c r="O5887" t="s">
        <v>15276</v>
      </c>
      <c r="P5887" t="e">
        <v>#N/A</v>
      </c>
      <c r="Q5887" t="s">
        <v>68</v>
      </c>
      <c r="R5887" t="s">
        <v>68</v>
      </c>
      <c r="S5887" t="s">
        <v>77</v>
      </c>
    </row>
    <row r="5888" spans="1:19" x14ac:dyDescent="0.35">
      <c r="A5888">
        <v>46839</v>
      </c>
      <c r="B5888" t="str">
        <f>"046839"</f>
        <v>046839</v>
      </c>
      <c r="C5888" t="s">
        <v>97</v>
      </c>
      <c r="D5888" t="s">
        <v>49</v>
      </c>
      <c r="E5888" t="s">
        <v>15207</v>
      </c>
      <c r="F5888" t="s">
        <v>15208</v>
      </c>
      <c r="G5888" t="s">
        <v>92</v>
      </c>
      <c r="H5888" t="s">
        <v>15279</v>
      </c>
      <c r="I5888" t="s">
        <v>15280</v>
      </c>
      <c r="J5888" t="s">
        <v>1940</v>
      </c>
      <c r="K5888" t="s">
        <v>55</v>
      </c>
      <c r="L5888">
        <v>43130</v>
      </c>
      <c r="M5888" t="s">
        <v>57</v>
      </c>
      <c r="O5888" t="s">
        <v>58</v>
      </c>
      <c r="P5888" t="e">
        <v>#N/A</v>
      </c>
      <c r="Q5888" t="s">
        <v>68</v>
      </c>
      <c r="R5888" t="s">
        <v>68</v>
      </c>
      <c r="S5888" t="s">
        <v>60</v>
      </c>
    </row>
    <row r="5889" spans="1:19" x14ac:dyDescent="0.35">
      <c r="A5889">
        <v>49304</v>
      </c>
      <c r="B5889" t="str">
        <f>"049304"</f>
        <v>049304</v>
      </c>
      <c r="C5889" t="s">
        <v>155</v>
      </c>
      <c r="D5889" t="s">
        <v>49</v>
      </c>
      <c r="E5889" t="s">
        <v>15207</v>
      </c>
      <c r="F5889" t="s">
        <v>15208</v>
      </c>
      <c r="G5889" t="s">
        <v>150</v>
      </c>
      <c r="H5889" t="s">
        <v>15281</v>
      </c>
      <c r="I5889" t="s">
        <v>15282</v>
      </c>
      <c r="J5889" t="s">
        <v>257</v>
      </c>
      <c r="K5889" t="s">
        <v>55</v>
      </c>
      <c r="L5889">
        <v>45875</v>
      </c>
      <c r="M5889" t="s">
        <v>57</v>
      </c>
      <c r="O5889" t="s">
        <v>58</v>
      </c>
      <c r="P5889" t="e">
        <v>#N/A</v>
      </c>
      <c r="Q5889" t="s">
        <v>68</v>
      </c>
      <c r="R5889" t="s">
        <v>68</v>
      </c>
      <c r="S5889" t="s">
        <v>156</v>
      </c>
    </row>
    <row r="5890" spans="1:19" x14ac:dyDescent="0.35">
      <c r="A5890">
        <v>93609</v>
      </c>
      <c r="B5890" t="str">
        <f>"093609"</f>
        <v>093609</v>
      </c>
      <c r="C5890" t="s">
        <v>15283</v>
      </c>
      <c r="D5890" t="s">
        <v>49</v>
      </c>
      <c r="E5890" t="s">
        <v>15227</v>
      </c>
      <c r="F5890" t="s">
        <v>15208</v>
      </c>
      <c r="G5890" t="s">
        <v>719</v>
      </c>
      <c r="H5890" t="s">
        <v>15284</v>
      </c>
      <c r="I5890" t="s">
        <v>15285</v>
      </c>
      <c r="J5890" t="s">
        <v>1652</v>
      </c>
      <c r="K5890" t="s">
        <v>55</v>
      </c>
      <c r="L5890">
        <v>45133</v>
      </c>
      <c r="M5890" t="s">
        <v>57</v>
      </c>
      <c r="O5890" t="s">
        <v>15283</v>
      </c>
      <c r="P5890" t="e">
        <v>#N/A</v>
      </c>
      <c r="Q5890" t="s">
        <v>68</v>
      </c>
      <c r="R5890" t="s">
        <v>68</v>
      </c>
      <c r="S5890" t="s">
        <v>130</v>
      </c>
    </row>
    <row r="5891" spans="1:19" x14ac:dyDescent="0.35">
      <c r="A5891">
        <v>138222</v>
      </c>
      <c r="B5891" t="str">
        <f>"138222"</f>
        <v>138222</v>
      </c>
      <c r="C5891" t="s">
        <v>323</v>
      </c>
      <c r="D5891" t="s">
        <v>49</v>
      </c>
      <c r="E5891" t="s">
        <v>15207</v>
      </c>
      <c r="F5891" t="s">
        <v>15208</v>
      </c>
      <c r="G5891" t="s">
        <v>318</v>
      </c>
      <c r="H5891" t="s">
        <v>15286</v>
      </c>
      <c r="I5891" t="s">
        <v>15287</v>
      </c>
      <c r="J5891" t="s">
        <v>321</v>
      </c>
      <c r="K5891" t="s">
        <v>55</v>
      </c>
      <c r="L5891">
        <v>45601</v>
      </c>
      <c r="M5891" t="s">
        <v>57</v>
      </c>
      <c r="O5891" t="s">
        <v>58</v>
      </c>
      <c r="P5891" t="e">
        <v>#N/A</v>
      </c>
      <c r="Q5891" t="s">
        <v>68</v>
      </c>
      <c r="R5891" t="s">
        <v>68</v>
      </c>
      <c r="S5891" t="s">
        <v>130</v>
      </c>
    </row>
    <row r="5892" spans="1:19" x14ac:dyDescent="0.35">
      <c r="A5892">
        <v>8006</v>
      </c>
      <c r="B5892" t="str">
        <f>"008006"</f>
        <v>008006</v>
      </c>
      <c r="C5892" t="s">
        <v>15288</v>
      </c>
      <c r="D5892" t="s">
        <v>49</v>
      </c>
      <c r="E5892" t="s">
        <v>15220</v>
      </c>
      <c r="F5892" t="s">
        <v>15208</v>
      </c>
      <c r="G5892" t="s">
        <v>117</v>
      </c>
      <c r="H5892" t="s">
        <v>15289</v>
      </c>
      <c r="I5892" t="s">
        <v>15290</v>
      </c>
      <c r="J5892" t="s">
        <v>1409</v>
      </c>
      <c r="K5892" t="s">
        <v>55</v>
      </c>
      <c r="L5892">
        <v>44709</v>
      </c>
      <c r="M5892" t="s">
        <v>57</v>
      </c>
      <c r="O5892" t="s">
        <v>49</v>
      </c>
      <c r="P5892" t="e">
        <v>#N/A</v>
      </c>
      <c r="Q5892" t="s">
        <v>68</v>
      </c>
      <c r="R5892" t="s">
        <v>68</v>
      </c>
      <c r="S5892" t="s">
        <v>77</v>
      </c>
    </row>
    <row r="5893" spans="1:19" x14ac:dyDescent="0.35">
      <c r="A5893">
        <v>46417</v>
      </c>
      <c r="B5893" t="str">
        <f>"046417"</f>
        <v>046417</v>
      </c>
      <c r="C5893" t="s">
        <v>541</v>
      </c>
      <c r="D5893" t="s">
        <v>49</v>
      </c>
      <c r="E5893" t="s">
        <v>15207</v>
      </c>
      <c r="F5893" t="s">
        <v>15208</v>
      </c>
      <c r="G5893" t="s">
        <v>536</v>
      </c>
      <c r="H5893" t="s">
        <v>15291</v>
      </c>
      <c r="I5893" t="s">
        <v>15292</v>
      </c>
      <c r="J5893" t="s">
        <v>1075</v>
      </c>
      <c r="K5893" t="s">
        <v>55</v>
      </c>
      <c r="L5893">
        <v>44432</v>
      </c>
      <c r="M5893" t="s">
        <v>57</v>
      </c>
      <c r="O5893" t="s">
        <v>58</v>
      </c>
      <c r="P5893" t="e">
        <v>#N/A</v>
      </c>
      <c r="Q5893" t="s">
        <v>68</v>
      </c>
      <c r="R5893" t="s">
        <v>68</v>
      </c>
      <c r="S5893" t="s">
        <v>77</v>
      </c>
    </row>
    <row r="5894" spans="1:19" x14ac:dyDescent="0.35">
      <c r="A5894">
        <v>134999</v>
      </c>
      <c r="B5894" t="str">
        <f>"134999"</f>
        <v>134999</v>
      </c>
      <c r="C5894" t="s">
        <v>439</v>
      </c>
      <c r="D5894" t="s">
        <v>49</v>
      </c>
      <c r="E5894" t="s">
        <v>15207</v>
      </c>
      <c r="F5894" t="s">
        <v>15208</v>
      </c>
      <c r="G5894" t="s">
        <v>434</v>
      </c>
      <c r="H5894" t="s">
        <v>15293</v>
      </c>
      <c r="I5894" t="s">
        <v>15294</v>
      </c>
      <c r="J5894" t="s">
        <v>434</v>
      </c>
      <c r="K5894" t="s">
        <v>55</v>
      </c>
      <c r="L5894">
        <v>45879</v>
      </c>
      <c r="M5894" t="s">
        <v>57</v>
      </c>
      <c r="O5894" t="s">
        <v>58</v>
      </c>
      <c r="P5894" t="e">
        <v>#N/A</v>
      </c>
      <c r="Q5894" t="s">
        <v>68</v>
      </c>
      <c r="R5894" t="s">
        <v>68</v>
      </c>
      <c r="S5894" t="s">
        <v>156</v>
      </c>
    </row>
    <row r="5895" spans="1:19" x14ac:dyDescent="0.35">
      <c r="A5895">
        <v>8016</v>
      </c>
      <c r="B5895" t="str">
        <f>"008016"</f>
        <v>008016</v>
      </c>
      <c r="C5895" t="s">
        <v>15295</v>
      </c>
      <c r="D5895" t="s">
        <v>49</v>
      </c>
      <c r="E5895" t="s">
        <v>15220</v>
      </c>
      <c r="F5895" t="s">
        <v>15208</v>
      </c>
      <c r="G5895" t="s">
        <v>821</v>
      </c>
      <c r="H5895" t="s">
        <v>15296</v>
      </c>
      <c r="I5895" t="s">
        <v>15297</v>
      </c>
      <c r="J5895" t="s">
        <v>1427</v>
      </c>
      <c r="K5895" t="s">
        <v>55</v>
      </c>
      <c r="L5895">
        <v>45840</v>
      </c>
      <c r="M5895" t="s">
        <v>57</v>
      </c>
      <c r="O5895" t="s">
        <v>49</v>
      </c>
      <c r="P5895" t="e">
        <v>#N/A</v>
      </c>
      <c r="Q5895" t="s">
        <v>68</v>
      </c>
      <c r="R5895" t="s">
        <v>68</v>
      </c>
      <c r="S5895" t="s">
        <v>156</v>
      </c>
    </row>
    <row r="5896" spans="1:19" x14ac:dyDescent="0.35">
      <c r="A5896">
        <v>15779</v>
      </c>
      <c r="B5896" t="str">
        <f>"015779"</f>
        <v>015779</v>
      </c>
      <c r="C5896" t="s">
        <v>15298</v>
      </c>
      <c r="D5896" t="s">
        <v>49</v>
      </c>
      <c r="E5896" t="s">
        <v>15212</v>
      </c>
      <c r="F5896" t="s">
        <v>15208</v>
      </c>
      <c r="G5896" t="s">
        <v>406</v>
      </c>
      <c r="H5896" t="s">
        <v>14718</v>
      </c>
      <c r="I5896" t="s">
        <v>14719</v>
      </c>
      <c r="J5896" t="s">
        <v>406</v>
      </c>
      <c r="K5896" t="s">
        <v>55</v>
      </c>
      <c r="L5896">
        <v>44256</v>
      </c>
      <c r="M5896" t="s">
        <v>57</v>
      </c>
      <c r="O5896" t="s">
        <v>49</v>
      </c>
      <c r="P5896" t="e">
        <v>#N/A</v>
      </c>
      <c r="Q5896" t="s">
        <v>68</v>
      </c>
      <c r="R5896" t="s">
        <v>68</v>
      </c>
      <c r="S5896" t="s">
        <v>77</v>
      </c>
    </row>
    <row r="5897" spans="1:19" x14ac:dyDescent="0.35">
      <c r="A5897">
        <v>13223</v>
      </c>
      <c r="B5897" t="str">
        <f>"013223"</f>
        <v>013223</v>
      </c>
      <c r="C5897" t="s">
        <v>15299</v>
      </c>
      <c r="D5897" t="s">
        <v>49</v>
      </c>
      <c r="E5897" t="s">
        <v>15300</v>
      </c>
      <c r="F5897" t="s">
        <v>15208</v>
      </c>
      <c r="G5897" t="s">
        <v>821</v>
      </c>
      <c r="H5897" t="s">
        <v>15213</v>
      </c>
      <c r="J5897" t="s">
        <v>2035</v>
      </c>
      <c r="K5897" t="s">
        <v>2035</v>
      </c>
      <c r="L5897" t="s">
        <v>15214</v>
      </c>
      <c r="M5897" t="s">
        <v>57</v>
      </c>
      <c r="O5897" t="s">
        <v>58</v>
      </c>
      <c r="P5897" t="e">
        <v>#N/A</v>
      </c>
      <c r="Q5897" t="s">
        <v>68</v>
      </c>
      <c r="R5897" t="s">
        <v>68</v>
      </c>
      <c r="S5897" t="s">
        <v>156</v>
      </c>
    </row>
    <row r="5898" spans="1:19" x14ac:dyDescent="0.35">
      <c r="A5898">
        <v>15783</v>
      </c>
      <c r="B5898" t="str">
        <f>"015783"</f>
        <v>015783</v>
      </c>
      <c r="C5898" t="s">
        <v>15301</v>
      </c>
      <c r="D5898" t="s">
        <v>49</v>
      </c>
      <c r="E5898" t="s">
        <v>15212</v>
      </c>
      <c r="F5898" t="s">
        <v>15208</v>
      </c>
      <c r="G5898" t="s">
        <v>169</v>
      </c>
      <c r="H5898" t="s">
        <v>15302</v>
      </c>
      <c r="I5898" t="s">
        <v>15303</v>
      </c>
      <c r="J5898" t="s">
        <v>172</v>
      </c>
      <c r="K5898" t="s">
        <v>55</v>
      </c>
      <c r="L5898">
        <v>44481</v>
      </c>
      <c r="M5898" t="s">
        <v>57</v>
      </c>
      <c r="O5898" t="s">
        <v>49</v>
      </c>
      <c r="P5898" t="e">
        <v>#N/A</v>
      </c>
      <c r="Q5898" t="s">
        <v>68</v>
      </c>
      <c r="R5898" t="s">
        <v>68</v>
      </c>
      <c r="S5898" t="s">
        <v>77</v>
      </c>
    </row>
    <row r="5899" spans="1:19" x14ac:dyDescent="0.35">
      <c r="A5899">
        <v>15778</v>
      </c>
      <c r="B5899" t="str">
        <f>"015778"</f>
        <v>015778</v>
      </c>
      <c r="C5899" t="s">
        <v>15304</v>
      </c>
      <c r="D5899" t="s">
        <v>49</v>
      </c>
      <c r="E5899" t="s">
        <v>15212</v>
      </c>
      <c r="F5899" t="s">
        <v>15208</v>
      </c>
      <c r="G5899" t="s">
        <v>117</v>
      </c>
      <c r="H5899" t="s">
        <v>15289</v>
      </c>
      <c r="I5899" t="s">
        <v>15290</v>
      </c>
      <c r="J5899" t="s">
        <v>1409</v>
      </c>
      <c r="K5899" t="s">
        <v>55</v>
      </c>
      <c r="L5899">
        <v>44709</v>
      </c>
      <c r="M5899" t="s">
        <v>57</v>
      </c>
      <c r="O5899" t="s">
        <v>49</v>
      </c>
      <c r="P5899" t="e">
        <v>#N/A</v>
      </c>
      <c r="Q5899" t="s">
        <v>68</v>
      </c>
      <c r="R5899" t="s">
        <v>68</v>
      </c>
      <c r="S5899" t="s">
        <v>77</v>
      </c>
    </row>
    <row r="5900" spans="1:19" x14ac:dyDescent="0.35">
      <c r="A5900">
        <v>47860</v>
      </c>
      <c r="B5900" t="str">
        <f>"047860"</f>
        <v>047860</v>
      </c>
      <c r="C5900" t="s">
        <v>516</v>
      </c>
      <c r="D5900" t="s">
        <v>49</v>
      </c>
      <c r="E5900" t="s">
        <v>15207</v>
      </c>
      <c r="F5900" t="s">
        <v>15208</v>
      </c>
      <c r="G5900" t="s">
        <v>481</v>
      </c>
      <c r="H5900" t="s">
        <v>15305</v>
      </c>
      <c r="I5900" t="s">
        <v>15306</v>
      </c>
      <c r="J5900" t="s">
        <v>6371</v>
      </c>
      <c r="K5900" t="s">
        <v>55</v>
      </c>
      <c r="L5900">
        <v>44077</v>
      </c>
      <c r="M5900" t="s">
        <v>57</v>
      </c>
      <c r="O5900" t="s">
        <v>58</v>
      </c>
      <c r="P5900" t="e">
        <v>#N/A</v>
      </c>
      <c r="Q5900" t="s">
        <v>68</v>
      </c>
      <c r="R5900" t="s">
        <v>68</v>
      </c>
      <c r="S5900" t="s">
        <v>69</v>
      </c>
    </row>
    <row r="5901" spans="1:19" x14ac:dyDescent="0.35">
      <c r="A5901">
        <v>93542</v>
      </c>
      <c r="B5901" t="str">
        <f>"093542"</f>
        <v>093542</v>
      </c>
      <c r="C5901" t="s">
        <v>15307</v>
      </c>
      <c r="D5901" t="s">
        <v>49</v>
      </c>
      <c r="E5901" t="s">
        <v>15227</v>
      </c>
      <c r="F5901" t="s">
        <v>15208</v>
      </c>
      <c r="G5901" t="s">
        <v>219</v>
      </c>
      <c r="H5901" t="s">
        <v>15308</v>
      </c>
      <c r="I5901" t="s">
        <v>15309</v>
      </c>
      <c r="J5901" t="s">
        <v>222</v>
      </c>
      <c r="K5901" t="s">
        <v>55</v>
      </c>
      <c r="L5901">
        <v>45662</v>
      </c>
      <c r="M5901" t="s">
        <v>57</v>
      </c>
      <c r="O5901" t="s">
        <v>15307</v>
      </c>
      <c r="P5901" t="e">
        <v>#N/A</v>
      </c>
      <c r="Q5901" t="s">
        <v>68</v>
      </c>
      <c r="R5901" t="s">
        <v>68</v>
      </c>
      <c r="S5901" t="s">
        <v>130</v>
      </c>
    </row>
    <row r="5902" spans="1:19" x14ac:dyDescent="0.35">
      <c r="A5902">
        <v>46086</v>
      </c>
      <c r="B5902" t="str">
        <f>"046086"</f>
        <v>046086</v>
      </c>
      <c r="C5902" t="s">
        <v>375</v>
      </c>
      <c r="D5902" t="s">
        <v>49</v>
      </c>
      <c r="E5902" t="s">
        <v>15207</v>
      </c>
      <c r="F5902" t="s">
        <v>15208</v>
      </c>
      <c r="G5902" t="s">
        <v>244</v>
      </c>
      <c r="H5902" t="s">
        <v>15310</v>
      </c>
      <c r="I5902" t="s">
        <v>15311</v>
      </c>
      <c r="J5902" t="s">
        <v>212</v>
      </c>
      <c r="K5902" t="s">
        <v>55</v>
      </c>
      <c r="L5902">
        <v>45011</v>
      </c>
      <c r="M5902" t="s">
        <v>57</v>
      </c>
      <c r="O5902" t="s">
        <v>58</v>
      </c>
      <c r="P5902" t="e">
        <v>#N/A</v>
      </c>
      <c r="Q5902" t="s">
        <v>68</v>
      </c>
      <c r="R5902" t="s">
        <v>68</v>
      </c>
      <c r="S5902" t="s">
        <v>217</v>
      </c>
    </row>
    <row r="5903" spans="1:19" x14ac:dyDescent="0.35">
      <c r="A5903">
        <v>47407</v>
      </c>
      <c r="B5903" t="str">
        <f>"047407"</f>
        <v>047407</v>
      </c>
      <c r="C5903" t="s">
        <v>826</v>
      </c>
      <c r="D5903" t="s">
        <v>49</v>
      </c>
      <c r="E5903" t="s">
        <v>15207</v>
      </c>
      <c r="F5903" t="s">
        <v>15208</v>
      </c>
      <c r="G5903" t="s">
        <v>821</v>
      </c>
      <c r="H5903" t="s">
        <v>15312</v>
      </c>
      <c r="I5903" t="s">
        <v>15313</v>
      </c>
      <c r="J5903" t="s">
        <v>1427</v>
      </c>
      <c r="K5903" t="s">
        <v>55</v>
      </c>
      <c r="L5903">
        <v>45840</v>
      </c>
      <c r="M5903" t="s">
        <v>57</v>
      </c>
      <c r="O5903" t="s">
        <v>58</v>
      </c>
      <c r="P5903" t="e">
        <v>#N/A</v>
      </c>
      <c r="Q5903" t="s">
        <v>68</v>
      </c>
      <c r="R5903" t="s">
        <v>68</v>
      </c>
      <c r="S5903" t="s">
        <v>156</v>
      </c>
    </row>
    <row r="5904" spans="1:19" x14ac:dyDescent="0.35">
      <c r="A5904">
        <v>15796</v>
      </c>
      <c r="B5904" t="str">
        <f>"015796"</f>
        <v>015796</v>
      </c>
      <c r="C5904" t="s">
        <v>15314</v>
      </c>
      <c r="D5904" t="s">
        <v>49</v>
      </c>
      <c r="E5904" t="s">
        <v>15212</v>
      </c>
      <c r="F5904" t="s">
        <v>15208</v>
      </c>
      <c r="G5904" t="s">
        <v>244</v>
      </c>
      <c r="H5904" t="s">
        <v>2249</v>
      </c>
      <c r="I5904" t="s">
        <v>2250</v>
      </c>
      <c r="J5904" t="s">
        <v>212</v>
      </c>
      <c r="K5904" t="s">
        <v>55</v>
      </c>
      <c r="L5904">
        <v>45011</v>
      </c>
      <c r="M5904" t="s">
        <v>57</v>
      </c>
      <c r="O5904" t="s">
        <v>49</v>
      </c>
      <c r="P5904" t="e">
        <v>#N/A</v>
      </c>
      <c r="Q5904" t="s">
        <v>68</v>
      </c>
      <c r="R5904" t="s">
        <v>68</v>
      </c>
      <c r="S5904" t="s">
        <v>217</v>
      </c>
    </row>
    <row r="5905" spans="1:19" x14ac:dyDescent="0.35">
      <c r="A5905">
        <v>45849</v>
      </c>
      <c r="B5905" t="str">
        <f>"045849"</f>
        <v>045849</v>
      </c>
      <c r="C5905" t="s">
        <v>185</v>
      </c>
      <c r="D5905" t="s">
        <v>49</v>
      </c>
      <c r="E5905" t="s">
        <v>15207</v>
      </c>
      <c r="F5905" t="s">
        <v>15208</v>
      </c>
      <c r="G5905" t="s">
        <v>132</v>
      </c>
      <c r="H5905" t="s">
        <v>15315</v>
      </c>
      <c r="I5905" t="s">
        <v>15316</v>
      </c>
      <c r="J5905" t="s">
        <v>132</v>
      </c>
      <c r="K5905" t="s">
        <v>55</v>
      </c>
      <c r="L5905">
        <v>44004</v>
      </c>
      <c r="M5905" t="s">
        <v>57</v>
      </c>
      <c r="O5905" t="s">
        <v>58</v>
      </c>
      <c r="P5905" t="e">
        <v>#N/A</v>
      </c>
      <c r="Q5905" t="s">
        <v>68</v>
      </c>
      <c r="R5905" t="s">
        <v>68</v>
      </c>
      <c r="S5905" t="s">
        <v>69</v>
      </c>
    </row>
    <row r="5906" spans="1:19" x14ac:dyDescent="0.35">
      <c r="A5906">
        <v>46615</v>
      </c>
      <c r="B5906" t="str">
        <f>"046615"</f>
        <v>046615</v>
      </c>
      <c r="C5906" t="s">
        <v>381</v>
      </c>
      <c r="D5906" t="s">
        <v>49</v>
      </c>
      <c r="E5906" t="s">
        <v>15207</v>
      </c>
      <c r="F5906" t="s">
        <v>15208</v>
      </c>
      <c r="G5906" t="s">
        <v>175</v>
      </c>
      <c r="H5906" t="s">
        <v>15317</v>
      </c>
      <c r="I5906" t="s">
        <v>15318</v>
      </c>
      <c r="J5906" t="s">
        <v>178</v>
      </c>
      <c r="K5906" t="s">
        <v>55</v>
      </c>
      <c r="L5906">
        <v>45331</v>
      </c>
      <c r="M5906" t="s">
        <v>57</v>
      </c>
      <c r="O5906" t="s">
        <v>58</v>
      </c>
      <c r="P5906" t="e">
        <v>#N/A</v>
      </c>
      <c r="Q5906" t="s">
        <v>68</v>
      </c>
      <c r="R5906" t="s">
        <v>68</v>
      </c>
      <c r="S5906" t="s">
        <v>180</v>
      </c>
    </row>
    <row r="5907" spans="1:19" x14ac:dyDescent="0.35">
      <c r="A5907">
        <v>49965</v>
      </c>
      <c r="B5907" t="str">
        <f>"049965"</f>
        <v>049965</v>
      </c>
      <c r="C5907" t="s">
        <v>269</v>
      </c>
      <c r="D5907" t="s">
        <v>49</v>
      </c>
      <c r="E5907" t="s">
        <v>15207</v>
      </c>
      <c r="F5907" t="s">
        <v>15208</v>
      </c>
      <c r="G5907" t="s">
        <v>264</v>
      </c>
      <c r="H5907" t="s">
        <v>15319</v>
      </c>
      <c r="I5907" t="s">
        <v>15320</v>
      </c>
      <c r="J5907" t="s">
        <v>2497</v>
      </c>
      <c r="K5907" t="s">
        <v>55</v>
      </c>
      <c r="L5907">
        <v>44221</v>
      </c>
      <c r="M5907" t="s">
        <v>57</v>
      </c>
      <c r="O5907" t="s">
        <v>58</v>
      </c>
      <c r="P5907" t="e">
        <v>#N/A</v>
      </c>
      <c r="Q5907" t="s">
        <v>68</v>
      </c>
      <c r="R5907" t="s">
        <v>68</v>
      </c>
      <c r="S5907" t="s">
        <v>77</v>
      </c>
    </row>
    <row r="5908" spans="1:19" x14ac:dyDescent="0.35">
      <c r="A5908">
        <v>93518</v>
      </c>
      <c r="B5908" t="str">
        <f>"093518"</f>
        <v>093518</v>
      </c>
      <c r="C5908" t="s">
        <v>15321</v>
      </c>
      <c r="D5908" t="s">
        <v>49</v>
      </c>
      <c r="E5908" t="s">
        <v>15227</v>
      </c>
      <c r="F5908" t="s">
        <v>15208</v>
      </c>
      <c r="G5908" t="s">
        <v>554</v>
      </c>
      <c r="H5908" t="s">
        <v>15322</v>
      </c>
      <c r="I5908" t="s">
        <v>15323</v>
      </c>
      <c r="J5908" t="s">
        <v>1184</v>
      </c>
      <c r="K5908" t="s">
        <v>55</v>
      </c>
      <c r="L5908">
        <v>45895</v>
      </c>
      <c r="M5908" t="s">
        <v>57</v>
      </c>
      <c r="O5908" t="s">
        <v>15321</v>
      </c>
      <c r="P5908" t="e">
        <v>#N/A</v>
      </c>
      <c r="Q5908" t="s">
        <v>68</v>
      </c>
      <c r="R5908" t="s">
        <v>68</v>
      </c>
      <c r="S5908" t="s">
        <v>156</v>
      </c>
    </row>
    <row r="5909" spans="1:19" x14ac:dyDescent="0.35">
      <c r="A5909">
        <v>48108</v>
      </c>
      <c r="B5909" t="str">
        <f>"048108"</f>
        <v>048108</v>
      </c>
      <c r="C5909" t="s">
        <v>148</v>
      </c>
      <c r="D5909" t="s">
        <v>49</v>
      </c>
      <c r="E5909" t="s">
        <v>15207</v>
      </c>
      <c r="F5909" t="s">
        <v>15208</v>
      </c>
      <c r="G5909" t="s">
        <v>143</v>
      </c>
      <c r="H5909" t="s">
        <v>15324</v>
      </c>
      <c r="I5909" t="s">
        <v>15325</v>
      </c>
      <c r="J5909" t="s">
        <v>528</v>
      </c>
      <c r="K5909" t="s">
        <v>55</v>
      </c>
      <c r="L5909">
        <v>44035</v>
      </c>
      <c r="M5909" t="s">
        <v>57</v>
      </c>
      <c r="O5909" t="s">
        <v>58</v>
      </c>
      <c r="P5909" t="e">
        <v>#N/A</v>
      </c>
      <c r="Q5909" t="s">
        <v>68</v>
      </c>
      <c r="R5909" t="s">
        <v>68</v>
      </c>
      <c r="S5909" t="s">
        <v>69</v>
      </c>
    </row>
    <row r="5910" spans="1:19" x14ac:dyDescent="0.35">
      <c r="A5910">
        <v>48280</v>
      </c>
      <c r="B5910" t="str">
        <f>"048280"</f>
        <v>048280</v>
      </c>
      <c r="C5910" t="s">
        <v>388</v>
      </c>
      <c r="D5910" t="s">
        <v>49</v>
      </c>
      <c r="E5910" t="s">
        <v>15207</v>
      </c>
      <c r="F5910" t="s">
        <v>15208</v>
      </c>
      <c r="G5910" t="s">
        <v>383</v>
      </c>
      <c r="H5910" t="s">
        <v>12710</v>
      </c>
      <c r="I5910" t="s">
        <v>12711</v>
      </c>
      <c r="J5910" t="s">
        <v>1069</v>
      </c>
      <c r="K5910" t="s">
        <v>55</v>
      </c>
      <c r="L5910">
        <v>44406</v>
      </c>
      <c r="M5910" t="s">
        <v>57</v>
      </c>
      <c r="O5910" t="s">
        <v>58</v>
      </c>
      <c r="P5910" t="e">
        <v>#N/A</v>
      </c>
      <c r="Q5910" t="s">
        <v>68</v>
      </c>
      <c r="R5910" t="s">
        <v>68</v>
      </c>
      <c r="S5910" t="s">
        <v>77</v>
      </c>
    </row>
    <row r="5911" spans="1:19" x14ac:dyDescent="0.35">
      <c r="A5911">
        <v>49825</v>
      </c>
      <c r="B5911" t="str">
        <f>"049825"</f>
        <v>049825</v>
      </c>
      <c r="C5911" t="s">
        <v>122</v>
      </c>
      <c r="D5911" t="s">
        <v>49</v>
      </c>
      <c r="E5911" t="s">
        <v>15207</v>
      </c>
      <c r="F5911" t="s">
        <v>15208</v>
      </c>
      <c r="G5911" t="s">
        <v>117</v>
      </c>
      <c r="H5911" t="s">
        <v>15326</v>
      </c>
      <c r="I5911" t="s">
        <v>15327</v>
      </c>
      <c r="J5911" t="s">
        <v>3199</v>
      </c>
      <c r="K5911" t="s">
        <v>55</v>
      </c>
      <c r="L5911">
        <v>44720</v>
      </c>
      <c r="M5911" t="s">
        <v>57</v>
      </c>
      <c r="O5911" t="s">
        <v>58</v>
      </c>
      <c r="P5911" t="e">
        <v>#N/A</v>
      </c>
      <c r="Q5911" t="s">
        <v>68</v>
      </c>
      <c r="R5911" t="s">
        <v>68</v>
      </c>
      <c r="S5911" t="s">
        <v>77</v>
      </c>
    </row>
    <row r="5912" spans="1:19" x14ac:dyDescent="0.35">
      <c r="A5912">
        <v>50088</v>
      </c>
      <c r="B5912" t="str">
        <f>"050088"</f>
        <v>050088</v>
      </c>
      <c r="C5912" t="s">
        <v>416</v>
      </c>
      <c r="D5912" t="s">
        <v>49</v>
      </c>
      <c r="E5912" t="s">
        <v>15207</v>
      </c>
      <c r="F5912" t="s">
        <v>15208</v>
      </c>
      <c r="G5912" t="s">
        <v>169</v>
      </c>
      <c r="H5912" t="s">
        <v>15328</v>
      </c>
      <c r="I5912" t="s">
        <v>15329</v>
      </c>
      <c r="J5912" t="s">
        <v>2973</v>
      </c>
      <c r="K5912" t="s">
        <v>55</v>
      </c>
      <c r="L5912">
        <v>44446</v>
      </c>
      <c r="M5912" t="s">
        <v>57</v>
      </c>
      <c r="O5912" t="s">
        <v>58</v>
      </c>
      <c r="P5912" t="e">
        <v>#N/A</v>
      </c>
      <c r="Q5912" t="s">
        <v>68</v>
      </c>
      <c r="R5912" t="s">
        <v>68</v>
      </c>
      <c r="S5912" t="s">
        <v>77</v>
      </c>
    </row>
    <row r="5913" spans="1:19" x14ac:dyDescent="0.35">
      <c r="A5913">
        <v>93575</v>
      </c>
      <c r="B5913" t="str">
        <f>"093575"</f>
        <v>093575</v>
      </c>
      <c r="C5913" t="s">
        <v>15330</v>
      </c>
      <c r="D5913" t="s">
        <v>49</v>
      </c>
      <c r="E5913" t="s">
        <v>15227</v>
      </c>
      <c r="F5913" t="s">
        <v>15208</v>
      </c>
      <c r="G5913" t="s">
        <v>264</v>
      </c>
      <c r="H5913" t="s">
        <v>15331</v>
      </c>
      <c r="I5913" t="s">
        <v>15332</v>
      </c>
      <c r="J5913" t="s">
        <v>2497</v>
      </c>
      <c r="K5913" t="s">
        <v>55</v>
      </c>
      <c r="L5913">
        <v>44221</v>
      </c>
      <c r="M5913" t="s">
        <v>57</v>
      </c>
      <c r="O5913" t="s">
        <v>15330</v>
      </c>
      <c r="P5913" t="e">
        <v>#N/A</v>
      </c>
      <c r="Q5913" t="s">
        <v>68</v>
      </c>
      <c r="R5913" t="s">
        <v>68</v>
      </c>
      <c r="S5913" t="s">
        <v>77</v>
      </c>
    </row>
    <row r="5914" spans="1:19" x14ac:dyDescent="0.35">
      <c r="A5914">
        <v>8017</v>
      </c>
      <c r="B5914" t="str">
        <f>"008017"</f>
        <v>008017</v>
      </c>
      <c r="C5914" t="s">
        <v>15333</v>
      </c>
      <c r="D5914" t="s">
        <v>49</v>
      </c>
      <c r="E5914" t="s">
        <v>15220</v>
      </c>
      <c r="F5914" t="s">
        <v>15208</v>
      </c>
      <c r="G5914" t="s">
        <v>331</v>
      </c>
      <c r="H5914" t="s">
        <v>15334</v>
      </c>
      <c r="I5914" t="s">
        <v>15335</v>
      </c>
      <c r="J5914" t="s">
        <v>634</v>
      </c>
      <c r="K5914" t="s">
        <v>55</v>
      </c>
      <c r="L5914">
        <v>44820</v>
      </c>
      <c r="M5914" t="s">
        <v>57</v>
      </c>
      <c r="O5914" t="s">
        <v>49</v>
      </c>
      <c r="P5914" t="e">
        <v>#N/A</v>
      </c>
      <c r="Q5914" t="s">
        <v>68</v>
      </c>
      <c r="R5914" t="s">
        <v>68</v>
      </c>
      <c r="S5914" t="s">
        <v>156</v>
      </c>
    </row>
    <row r="5915" spans="1:19" x14ac:dyDescent="0.35">
      <c r="A5915">
        <v>15786</v>
      </c>
      <c r="B5915" t="str">
        <f>"015786"</f>
        <v>015786</v>
      </c>
      <c r="C5915" t="s">
        <v>15336</v>
      </c>
      <c r="D5915" t="s">
        <v>49</v>
      </c>
      <c r="E5915" t="s">
        <v>15212</v>
      </c>
      <c r="F5915" t="s">
        <v>15208</v>
      </c>
      <c r="G5915" t="s">
        <v>493</v>
      </c>
      <c r="H5915" t="s">
        <v>494</v>
      </c>
      <c r="I5915" t="s">
        <v>495</v>
      </c>
      <c r="J5915" t="s">
        <v>496</v>
      </c>
      <c r="K5915" t="s">
        <v>55</v>
      </c>
      <c r="L5915">
        <v>45764</v>
      </c>
      <c r="M5915" t="s">
        <v>57</v>
      </c>
      <c r="O5915" t="s">
        <v>49</v>
      </c>
      <c r="P5915" t="e">
        <v>#N/A</v>
      </c>
      <c r="Q5915" t="s">
        <v>68</v>
      </c>
      <c r="R5915" t="s">
        <v>68</v>
      </c>
      <c r="S5915" t="s">
        <v>130</v>
      </c>
    </row>
    <row r="5916" spans="1:19" x14ac:dyDescent="0.35">
      <c r="A5916">
        <v>15798</v>
      </c>
      <c r="B5916" t="str">
        <f>"015798"</f>
        <v>015798</v>
      </c>
      <c r="C5916" t="s">
        <v>15337</v>
      </c>
      <c r="D5916" t="s">
        <v>49</v>
      </c>
      <c r="E5916" t="s">
        <v>15212</v>
      </c>
      <c r="F5916" t="s">
        <v>15208</v>
      </c>
      <c r="G5916" t="s">
        <v>212</v>
      </c>
      <c r="H5916" t="s">
        <v>15254</v>
      </c>
      <c r="I5916" t="s">
        <v>15255</v>
      </c>
      <c r="J5916" t="s">
        <v>215</v>
      </c>
      <c r="K5916" t="s">
        <v>55</v>
      </c>
      <c r="L5916">
        <v>45231</v>
      </c>
      <c r="M5916" t="s">
        <v>57</v>
      </c>
      <c r="O5916" t="s">
        <v>49</v>
      </c>
      <c r="P5916" t="e">
        <v>#N/A</v>
      </c>
      <c r="Q5916" t="s">
        <v>68</v>
      </c>
      <c r="R5916" t="s">
        <v>68</v>
      </c>
      <c r="S5916" t="s">
        <v>217</v>
      </c>
    </row>
    <row r="5917" spans="1:19" x14ac:dyDescent="0.35">
      <c r="A5917">
        <v>45930</v>
      </c>
      <c r="B5917" t="str">
        <f>"045930"</f>
        <v>045930</v>
      </c>
      <c r="C5917" t="s">
        <v>559</v>
      </c>
      <c r="D5917" t="s">
        <v>49</v>
      </c>
      <c r="E5917" t="s">
        <v>15207</v>
      </c>
      <c r="F5917" t="s">
        <v>15208</v>
      </c>
      <c r="G5917" t="s">
        <v>554</v>
      </c>
      <c r="H5917" t="s">
        <v>15338</v>
      </c>
      <c r="I5917" t="s">
        <v>15339</v>
      </c>
      <c r="J5917" t="s">
        <v>1184</v>
      </c>
      <c r="K5917" t="s">
        <v>55</v>
      </c>
      <c r="L5917">
        <v>45895</v>
      </c>
      <c r="M5917" t="s">
        <v>57</v>
      </c>
      <c r="O5917" t="s">
        <v>58</v>
      </c>
      <c r="P5917" t="e">
        <v>#N/A</v>
      </c>
      <c r="Q5917" t="s">
        <v>68</v>
      </c>
      <c r="R5917" t="s">
        <v>68</v>
      </c>
      <c r="S5917" t="s">
        <v>156</v>
      </c>
    </row>
    <row r="5918" spans="1:19" x14ac:dyDescent="0.35">
      <c r="A5918">
        <v>14777</v>
      </c>
      <c r="B5918" t="str">
        <f>"014777"</f>
        <v>014777</v>
      </c>
      <c r="C5918" t="s">
        <v>293</v>
      </c>
      <c r="D5918" t="s">
        <v>49</v>
      </c>
      <c r="E5918" t="s">
        <v>15207</v>
      </c>
      <c r="F5918" t="s">
        <v>15208</v>
      </c>
      <c r="G5918" t="s">
        <v>288</v>
      </c>
      <c r="H5918" t="s">
        <v>15340</v>
      </c>
      <c r="I5918" t="s">
        <v>15341</v>
      </c>
      <c r="J5918" t="s">
        <v>769</v>
      </c>
      <c r="K5918" t="s">
        <v>55</v>
      </c>
      <c r="L5918">
        <v>43311</v>
      </c>
      <c r="M5918" t="s">
        <v>57</v>
      </c>
      <c r="O5918" t="s">
        <v>58</v>
      </c>
      <c r="P5918" t="e">
        <v>#N/A</v>
      </c>
      <c r="Q5918" t="s">
        <v>68</v>
      </c>
      <c r="R5918" t="s">
        <v>68</v>
      </c>
      <c r="S5918" t="s">
        <v>180</v>
      </c>
    </row>
    <row r="5919" spans="1:19" x14ac:dyDescent="0.35">
      <c r="A5919">
        <v>93567</v>
      </c>
      <c r="B5919" t="str">
        <f>"093567"</f>
        <v>093567</v>
      </c>
      <c r="C5919" t="s">
        <v>15342</v>
      </c>
      <c r="D5919" t="s">
        <v>49</v>
      </c>
      <c r="E5919" t="s">
        <v>15227</v>
      </c>
      <c r="F5919" t="s">
        <v>15208</v>
      </c>
      <c r="G5919" t="s">
        <v>169</v>
      </c>
      <c r="H5919" t="s">
        <v>15343</v>
      </c>
      <c r="I5919" t="s">
        <v>15344</v>
      </c>
      <c r="J5919" t="s">
        <v>2973</v>
      </c>
      <c r="K5919" t="s">
        <v>55</v>
      </c>
      <c r="L5919">
        <v>44446</v>
      </c>
      <c r="M5919" t="s">
        <v>57</v>
      </c>
      <c r="O5919" t="s">
        <v>15342</v>
      </c>
      <c r="P5919" t="e">
        <v>#N/A</v>
      </c>
      <c r="Q5919" t="s">
        <v>68</v>
      </c>
      <c r="R5919" t="s">
        <v>68</v>
      </c>
      <c r="S5919" t="s">
        <v>77</v>
      </c>
    </row>
    <row r="5920" spans="1:19" x14ac:dyDescent="0.35">
      <c r="A5920">
        <v>8004</v>
      </c>
      <c r="B5920" t="str">
        <f>"008004"</f>
        <v>008004</v>
      </c>
      <c r="C5920" t="s">
        <v>15345</v>
      </c>
      <c r="D5920" t="s">
        <v>49</v>
      </c>
      <c r="E5920" t="s">
        <v>15220</v>
      </c>
      <c r="F5920" t="s">
        <v>15208</v>
      </c>
      <c r="G5920" t="s">
        <v>383</v>
      </c>
      <c r="H5920" t="s">
        <v>15346</v>
      </c>
      <c r="I5920" t="s">
        <v>15347</v>
      </c>
      <c r="J5920" t="s">
        <v>2973</v>
      </c>
      <c r="K5920" t="s">
        <v>55</v>
      </c>
      <c r="L5920">
        <v>44446</v>
      </c>
      <c r="M5920" t="s">
        <v>57</v>
      </c>
      <c r="O5920" t="s">
        <v>49</v>
      </c>
      <c r="P5920" t="e">
        <v>#N/A</v>
      </c>
      <c r="Q5920" t="s">
        <v>68</v>
      </c>
      <c r="R5920" t="s">
        <v>68</v>
      </c>
      <c r="S5920" t="s">
        <v>77</v>
      </c>
    </row>
    <row r="5921" spans="1:19" x14ac:dyDescent="0.35">
      <c r="A5921">
        <v>15782</v>
      </c>
      <c r="B5921" t="str">
        <f>"015782"</f>
        <v>015782</v>
      </c>
      <c r="C5921" t="s">
        <v>15348</v>
      </c>
      <c r="D5921" t="s">
        <v>49</v>
      </c>
      <c r="E5921" t="s">
        <v>15212</v>
      </c>
      <c r="F5921" t="s">
        <v>15208</v>
      </c>
      <c r="G5921" t="s">
        <v>264</v>
      </c>
      <c r="H5921" t="s">
        <v>15319</v>
      </c>
      <c r="I5921" t="s">
        <v>15320</v>
      </c>
      <c r="J5921" t="s">
        <v>2497</v>
      </c>
      <c r="K5921" t="s">
        <v>55</v>
      </c>
      <c r="L5921">
        <v>44221</v>
      </c>
      <c r="M5921" t="s">
        <v>57</v>
      </c>
      <c r="O5921" t="s">
        <v>49</v>
      </c>
      <c r="P5921" t="e">
        <v>#N/A</v>
      </c>
      <c r="Q5921" t="s">
        <v>68</v>
      </c>
      <c r="R5921" t="s">
        <v>68</v>
      </c>
      <c r="S5921" t="s">
        <v>77</v>
      </c>
    </row>
    <row r="5922" spans="1:19" x14ac:dyDescent="0.35">
      <c r="A5922">
        <v>46375</v>
      </c>
      <c r="B5922" t="str">
        <f>"046375"</f>
        <v>046375</v>
      </c>
      <c r="C5922" t="s">
        <v>255</v>
      </c>
      <c r="D5922" t="s">
        <v>49</v>
      </c>
      <c r="E5922" t="s">
        <v>15207</v>
      </c>
      <c r="F5922" t="s">
        <v>15208</v>
      </c>
      <c r="G5922" t="s">
        <v>250</v>
      </c>
      <c r="H5922" t="s">
        <v>15349</v>
      </c>
      <c r="I5922" t="s">
        <v>15350</v>
      </c>
      <c r="J5922" t="s">
        <v>2203</v>
      </c>
      <c r="K5922" t="s">
        <v>55</v>
      </c>
      <c r="L5922">
        <v>45177</v>
      </c>
      <c r="M5922" t="s">
        <v>57</v>
      </c>
      <c r="O5922" t="s">
        <v>58</v>
      </c>
      <c r="P5922" t="e">
        <v>#N/A</v>
      </c>
      <c r="Q5922" t="s">
        <v>68</v>
      </c>
      <c r="R5922" t="s">
        <v>68</v>
      </c>
      <c r="S5922" t="s">
        <v>60</v>
      </c>
    </row>
    <row r="5923" spans="1:19" x14ac:dyDescent="0.35">
      <c r="A5923">
        <v>46532</v>
      </c>
      <c r="B5923" t="str">
        <f>"046532"</f>
        <v>046532</v>
      </c>
      <c r="C5923" t="s">
        <v>509</v>
      </c>
      <c r="D5923" t="s">
        <v>49</v>
      </c>
      <c r="E5923" t="s">
        <v>15207</v>
      </c>
      <c r="F5923" t="s">
        <v>15208</v>
      </c>
      <c r="G5923" t="s">
        <v>63</v>
      </c>
      <c r="H5923" t="s">
        <v>15351</v>
      </c>
      <c r="I5923" t="s">
        <v>15352</v>
      </c>
      <c r="J5923" t="s">
        <v>795</v>
      </c>
      <c r="K5923" t="s">
        <v>55</v>
      </c>
      <c r="L5923">
        <v>44131</v>
      </c>
      <c r="M5923" t="s">
        <v>57</v>
      </c>
      <c r="O5923" t="s">
        <v>58</v>
      </c>
      <c r="P5923" t="e">
        <v>#N/A</v>
      </c>
      <c r="Q5923" t="s">
        <v>68</v>
      </c>
      <c r="R5923" t="s">
        <v>68</v>
      </c>
      <c r="S5923" t="s">
        <v>69</v>
      </c>
    </row>
    <row r="5924" spans="1:19" x14ac:dyDescent="0.35">
      <c r="A5924">
        <v>47779</v>
      </c>
      <c r="B5924" t="str">
        <f>"047779"</f>
        <v>047779</v>
      </c>
      <c r="C5924" t="s">
        <v>653</v>
      </c>
      <c r="D5924" t="s">
        <v>49</v>
      </c>
      <c r="E5924" t="s">
        <v>15207</v>
      </c>
      <c r="F5924" t="s">
        <v>15208</v>
      </c>
      <c r="G5924" t="s">
        <v>135</v>
      </c>
      <c r="H5924" t="s">
        <v>15353</v>
      </c>
      <c r="I5924" t="s">
        <v>15354</v>
      </c>
      <c r="J5924" t="s">
        <v>279</v>
      </c>
      <c r="K5924" t="s">
        <v>55</v>
      </c>
      <c r="L5924">
        <v>43952</v>
      </c>
      <c r="M5924" t="s">
        <v>57</v>
      </c>
      <c r="O5924" t="s">
        <v>58</v>
      </c>
      <c r="P5924" t="e">
        <v>#N/A</v>
      </c>
      <c r="Q5924" t="s">
        <v>68</v>
      </c>
      <c r="R5924" t="s">
        <v>68</v>
      </c>
      <c r="S5924" t="s">
        <v>130</v>
      </c>
    </row>
    <row r="5925" spans="1:19" x14ac:dyDescent="0.35">
      <c r="A5925">
        <v>45740</v>
      </c>
      <c r="B5925" t="str">
        <f>"045740"</f>
        <v>045740</v>
      </c>
      <c r="C5925" t="s">
        <v>1198</v>
      </c>
      <c r="D5925" t="s">
        <v>49</v>
      </c>
      <c r="E5925" t="s">
        <v>15207</v>
      </c>
      <c r="F5925" t="s">
        <v>15208</v>
      </c>
      <c r="G5925" t="s">
        <v>1193</v>
      </c>
      <c r="H5925" t="s">
        <v>15355</v>
      </c>
      <c r="I5925" t="s">
        <v>15356</v>
      </c>
      <c r="J5925" t="s">
        <v>1196</v>
      </c>
      <c r="K5925" t="s">
        <v>55</v>
      </c>
      <c r="L5925">
        <v>45801</v>
      </c>
      <c r="M5925" t="s">
        <v>57</v>
      </c>
      <c r="O5925" t="s">
        <v>58</v>
      </c>
      <c r="P5925" t="e">
        <v>#N/A</v>
      </c>
      <c r="Q5925" t="s">
        <v>68</v>
      </c>
      <c r="R5925" t="s">
        <v>68</v>
      </c>
      <c r="S5925" t="s">
        <v>156</v>
      </c>
    </row>
    <row r="5926" spans="1:19" x14ac:dyDescent="0.35">
      <c r="A5926">
        <v>47811</v>
      </c>
      <c r="B5926" t="str">
        <f>"047811"</f>
        <v>047811</v>
      </c>
      <c r="C5926" t="s">
        <v>934</v>
      </c>
      <c r="D5926" t="s">
        <v>49</v>
      </c>
      <c r="E5926" t="s">
        <v>15207</v>
      </c>
      <c r="F5926" t="s">
        <v>15208</v>
      </c>
      <c r="G5926" t="s">
        <v>901</v>
      </c>
      <c r="H5926" t="s">
        <v>15357</v>
      </c>
      <c r="I5926" t="s">
        <v>15358</v>
      </c>
      <c r="J5926" t="s">
        <v>904</v>
      </c>
      <c r="K5926" t="s">
        <v>55</v>
      </c>
      <c r="L5926">
        <v>43050</v>
      </c>
      <c r="M5926" t="s">
        <v>57</v>
      </c>
      <c r="O5926" t="s">
        <v>58</v>
      </c>
      <c r="P5926" t="e">
        <v>#N/A</v>
      </c>
      <c r="Q5926" t="s">
        <v>68</v>
      </c>
      <c r="R5926" t="s">
        <v>68</v>
      </c>
      <c r="S5926" t="s">
        <v>60</v>
      </c>
    </row>
    <row r="5927" spans="1:19" x14ac:dyDescent="0.35">
      <c r="A5927">
        <v>48546</v>
      </c>
      <c r="B5927" t="str">
        <f>"048546"</f>
        <v>048546</v>
      </c>
      <c r="C5927" t="s">
        <v>1330</v>
      </c>
      <c r="D5927" t="s">
        <v>49</v>
      </c>
      <c r="E5927" t="s">
        <v>15207</v>
      </c>
      <c r="F5927" t="s">
        <v>15208</v>
      </c>
      <c r="G5927" t="s">
        <v>423</v>
      </c>
      <c r="H5927" t="s">
        <v>15359</v>
      </c>
      <c r="I5927" t="s">
        <v>15360</v>
      </c>
      <c r="J5927" t="s">
        <v>426</v>
      </c>
      <c r="K5927" t="s">
        <v>55</v>
      </c>
      <c r="L5927">
        <v>45822</v>
      </c>
      <c r="M5927" t="s">
        <v>57</v>
      </c>
      <c r="O5927" t="s">
        <v>58</v>
      </c>
      <c r="P5927" t="e">
        <v>#N/A</v>
      </c>
      <c r="Q5927" t="s">
        <v>68</v>
      </c>
      <c r="R5927" t="s">
        <v>68</v>
      </c>
      <c r="S5927" t="s">
        <v>156</v>
      </c>
    </row>
    <row r="5928" spans="1:19" x14ac:dyDescent="0.35">
      <c r="A5928">
        <v>123521</v>
      </c>
      <c r="B5928" t="str">
        <f>"123521"</f>
        <v>123521</v>
      </c>
      <c r="C5928" t="s">
        <v>570</v>
      </c>
      <c r="D5928" t="s">
        <v>49</v>
      </c>
      <c r="E5928" t="s">
        <v>15207</v>
      </c>
      <c r="F5928" t="s">
        <v>15208</v>
      </c>
      <c r="G5928" t="s">
        <v>663</v>
      </c>
      <c r="H5928" t="s">
        <v>15361</v>
      </c>
      <c r="I5928" t="s">
        <v>15066</v>
      </c>
      <c r="J5928" t="s">
        <v>666</v>
      </c>
      <c r="K5928" t="s">
        <v>55</v>
      </c>
      <c r="L5928">
        <v>44906</v>
      </c>
      <c r="M5928" t="s">
        <v>57</v>
      </c>
      <c r="O5928" t="s">
        <v>58</v>
      </c>
      <c r="P5928" t="e">
        <v>#N/A</v>
      </c>
      <c r="Q5928" t="s">
        <v>68</v>
      </c>
      <c r="R5928" t="s">
        <v>68</v>
      </c>
      <c r="S5928" t="s">
        <v>77</v>
      </c>
    </row>
    <row r="5929" spans="1:19" x14ac:dyDescent="0.35">
      <c r="A5929">
        <v>124297</v>
      </c>
      <c r="B5929" t="str">
        <f>"124297"</f>
        <v>124297</v>
      </c>
      <c r="C5929" t="s">
        <v>349</v>
      </c>
      <c r="D5929" t="s">
        <v>49</v>
      </c>
      <c r="E5929" t="s">
        <v>15207</v>
      </c>
      <c r="F5929" t="s">
        <v>15208</v>
      </c>
      <c r="G5929" t="s">
        <v>344</v>
      </c>
      <c r="H5929" t="s">
        <v>15362</v>
      </c>
      <c r="I5929" t="s">
        <v>15363</v>
      </c>
      <c r="J5929" t="s">
        <v>274</v>
      </c>
      <c r="K5929" t="s">
        <v>55</v>
      </c>
      <c r="L5929">
        <v>43502</v>
      </c>
      <c r="M5929" t="s">
        <v>57</v>
      </c>
      <c r="O5929" t="s">
        <v>58</v>
      </c>
      <c r="P5929" t="e">
        <v>#N/A</v>
      </c>
      <c r="Q5929" t="s">
        <v>68</v>
      </c>
      <c r="R5929" t="s">
        <v>68</v>
      </c>
      <c r="S5929" t="s">
        <v>156</v>
      </c>
    </row>
    <row r="5930" spans="1:19" x14ac:dyDescent="0.35">
      <c r="A5930">
        <v>137364</v>
      </c>
      <c r="B5930" t="str">
        <f>"137364"</f>
        <v>137364</v>
      </c>
      <c r="C5930" t="s">
        <v>593</v>
      </c>
      <c r="D5930" t="s">
        <v>49</v>
      </c>
      <c r="E5930" t="s">
        <v>15207</v>
      </c>
      <c r="F5930" t="s">
        <v>15208</v>
      </c>
      <c r="G5930" t="s">
        <v>206</v>
      </c>
      <c r="H5930" t="s">
        <v>15364</v>
      </c>
      <c r="I5930" t="s">
        <v>15365</v>
      </c>
      <c r="J5930" t="s">
        <v>209</v>
      </c>
      <c r="K5930" t="s">
        <v>55</v>
      </c>
      <c r="L5930">
        <v>43078</v>
      </c>
      <c r="M5930" t="s">
        <v>57</v>
      </c>
      <c r="O5930" t="s">
        <v>58</v>
      </c>
      <c r="P5930" t="e">
        <v>#N/A</v>
      </c>
      <c r="Q5930" t="s">
        <v>68</v>
      </c>
      <c r="R5930" t="s">
        <v>68</v>
      </c>
      <c r="S5930" t="s">
        <v>180</v>
      </c>
    </row>
    <row r="5931" spans="1:19" x14ac:dyDescent="0.35">
      <c r="A5931">
        <v>48454</v>
      </c>
      <c r="B5931" t="str">
        <f>"048454"</f>
        <v>048454</v>
      </c>
      <c r="C5931" t="s">
        <v>410</v>
      </c>
      <c r="D5931" t="s">
        <v>49</v>
      </c>
      <c r="E5931" t="s">
        <v>15207</v>
      </c>
      <c r="F5931" t="s">
        <v>15208</v>
      </c>
      <c r="G5931" t="s">
        <v>406</v>
      </c>
      <c r="H5931" t="s">
        <v>15366</v>
      </c>
      <c r="I5931" t="s">
        <v>15367</v>
      </c>
      <c r="J5931" t="s">
        <v>8242</v>
      </c>
      <c r="K5931" t="s">
        <v>55</v>
      </c>
      <c r="L5931">
        <v>44273</v>
      </c>
      <c r="M5931" t="s">
        <v>57</v>
      </c>
      <c r="O5931" t="s">
        <v>58</v>
      </c>
      <c r="P5931" t="e">
        <v>#N/A</v>
      </c>
      <c r="Q5931" t="s">
        <v>68</v>
      </c>
      <c r="R5931" t="s">
        <v>68</v>
      </c>
      <c r="S5931" t="s">
        <v>77</v>
      </c>
    </row>
    <row r="5932" spans="1:19" x14ac:dyDescent="0.35">
      <c r="A5932">
        <v>8009</v>
      </c>
      <c r="B5932" t="str">
        <f>"008009"</f>
        <v>008009</v>
      </c>
      <c r="C5932" t="s">
        <v>15368</v>
      </c>
      <c r="D5932" t="s">
        <v>49</v>
      </c>
      <c r="E5932" t="s">
        <v>15220</v>
      </c>
      <c r="F5932" t="s">
        <v>15208</v>
      </c>
      <c r="G5932" t="s">
        <v>219</v>
      </c>
      <c r="H5932" t="s">
        <v>15369</v>
      </c>
      <c r="I5932" t="s">
        <v>15370</v>
      </c>
      <c r="J5932" t="s">
        <v>222</v>
      </c>
      <c r="K5932" t="s">
        <v>55</v>
      </c>
      <c r="L5932">
        <v>45662</v>
      </c>
      <c r="M5932" t="s">
        <v>57</v>
      </c>
      <c r="O5932" t="s">
        <v>49</v>
      </c>
      <c r="P5932" t="e">
        <v>#N/A</v>
      </c>
      <c r="Q5932" t="s">
        <v>68</v>
      </c>
      <c r="R5932" t="s">
        <v>68</v>
      </c>
      <c r="S5932" t="s">
        <v>130</v>
      </c>
    </row>
    <row r="5933" spans="1:19" x14ac:dyDescent="0.35">
      <c r="A5933">
        <v>8010</v>
      </c>
      <c r="B5933" t="str">
        <f>"008010"</f>
        <v>008010</v>
      </c>
      <c r="C5933" t="s">
        <v>15371</v>
      </c>
      <c r="D5933" t="s">
        <v>49</v>
      </c>
      <c r="E5933" t="s">
        <v>15220</v>
      </c>
      <c r="F5933" t="s">
        <v>15208</v>
      </c>
      <c r="G5933" t="s">
        <v>493</v>
      </c>
      <c r="H5933" t="s">
        <v>15372</v>
      </c>
      <c r="I5933" t="s">
        <v>15373</v>
      </c>
      <c r="J5933" t="s">
        <v>493</v>
      </c>
      <c r="K5933" t="s">
        <v>55</v>
      </c>
      <c r="L5933">
        <v>45701</v>
      </c>
      <c r="M5933" t="s">
        <v>57</v>
      </c>
      <c r="O5933" t="s">
        <v>49</v>
      </c>
      <c r="P5933" t="e">
        <v>#N/A</v>
      </c>
      <c r="Q5933" t="s">
        <v>68</v>
      </c>
      <c r="R5933" t="s">
        <v>68</v>
      </c>
      <c r="S5933" t="s">
        <v>130</v>
      </c>
    </row>
    <row r="5934" spans="1:19" x14ac:dyDescent="0.35">
      <c r="A5934">
        <v>46029</v>
      </c>
      <c r="B5934" t="str">
        <f>"046029"</f>
        <v>046029</v>
      </c>
      <c r="C5934" t="s">
        <v>565</v>
      </c>
      <c r="D5934" t="s">
        <v>49</v>
      </c>
      <c r="E5934" t="s">
        <v>15207</v>
      </c>
      <c r="F5934" t="s">
        <v>15208</v>
      </c>
      <c r="G5934" t="s">
        <v>19</v>
      </c>
      <c r="H5934" t="s">
        <v>15374</v>
      </c>
      <c r="I5934" t="s">
        <v>15375</v>
      </c>
      <c r="J5934" t="s">
        <v>1797</v>
      </c>
      <c r="K5934" t="s">
        <v>55</v>
      </c>
      <c r="L5934">
        <v>45121</v>
      </c>
      <c r="M5934" t="s">
        <v>57</v>
      </c>
      <c r="O5934" t="s">
        <v>58</v>
      </c>
      <c r="P5934" t="e">
        <v>#N/A</v>
      </c>
      <c r="Q5934" t="s">
        <v>68</v>
      </c>
      <c r="R5934" t="s">
        <v>68</v>
      </c>
      <c r="S5934" t="s">
        <v>217</v>
      </c>
    </row>
    <row r="5935" spans="1:19" x14ac:dyDescent="0.35">
      <c r="A5935">
        <v>49254</v>
      </c>
      <c r="B5935" t="str">
        <f>"049254"</f>
        <v>049254</v>
      </c>
      <c r="C5935" t="s">
        <v>367</v>
      </c>
      <c r="D5935" t="s">
        <v>49</v>
      </c>
      <c r="E5935" t="s">
        <v>15207</v>
      </c>
      <c r="F5935" t="s">
        <v>15208</v>
      </c>
      <c r="G5935" t="s">
        <v>362</v>
      </c>
      <c r="H5935" t="s">
        <v>15376</v>
      </c>
      <c r="I5935" t="s">
        <v>15377</v>
      </c>
      <c r="J5935" t="s">
        <v>756</v>
      </c>
      <c r="K5935" t="s">
        <v>55</v>
      </c>
      <c r="L5935">
        <v>45320</v>
      </c>
      <c r="M5935" t="s">
        <v>57</v>
      </c>
      <c r="O5935" t="s">
        <v>58</v>
      </c>
      <c r="P5935" t="e">
        <v>#N/A</v>
      </c>
      <c r="Q5935" t="s">
        <v>68</v>
      </c>
      <c r="R5935" t="s">
        <v>68</v>
      </c>
      <c r="S5935" t="s">
        <v>180</v>
      </c>
    </row>
    <row r="5936" spans="1:19" x14ac:dyDescent="0.35">
      <c r="A5936">
        <v>50666</v>
      </c>
      <c r="B5936" t="str">
        <f>"050666"</f>
        <v>050666</v>
      </c>
      <c r="C5936" t="s">
        <v>231</v>
      </c>
      <c r="D5936" t="s">
        <v>49</v>
      </c>
      <c r="E5936" t="s">
        <v>15207</v>
      </c>
      <c r="F5936" t="s">
        <v>15208</v>
      </c>
      <c r="G5936" t="s">
        <v>226</v>
      </c>
      <c r="H5936" t="s">
        <v>15213</v>
      </c>
      <c r="J5936" t="s">
        <v>2035</v>
      </c>
      <c r="K5936" t="s">
        <v>2035</v>
      </c>
      <c r="L5936" t="s">
        <v>15214</v>
      </c>
      <c r="M5936" t="s">
        <v>57</v>
      </c>
      <c r="O5936" t="s">
        <v>58</v>
      </c>
      <c r="P5936" t="e">
        <v>#N/A</v>
      </c>
      <c r="Q5936" t="s">
        <v>68</v>
      </c>
      <c r="R5936" t="s">
        <v>68</v>
      </c>
      <c r="S5936" t="s">
        <v>156</v>
      </c>
    </row>
    <row r="5937" spans="1:19" x14ac:dyDescent="0.35">
      <c r="A5937">
        <v>93591</v>
      </c>
      <c r="B5937" t="str">
        <f>"093591"</f>
        <v>093591</v>
      </c>
      <c r="C5937" t="s">
        <v>15378</v>
      </c>
      <c r="D5937" t="s">
        <v>49</v>
      </c>
      <c r="E5937" t="s">
        <v>15227</v>
      </c>
      <c r="F5937" t="s">
        <v>15208</v>
      </c>
      <c r="G5937" t="s">
        <v>117</v>
      </c>
      <c r="H5937" t="s">
        <v>15213</v>
      </c>
      <c r="J5937" t="s">
        <v>2035</v>
      </c>
      <c r="K5937" t="s">
        <v>2035</v>
      </c>
      <c r="L5937" t="s">
        <v>15214</v>
      </c>
      <c r="M5937" t="s">
        <v>57</v>
      </c>
      <c r="O5937" t="s">
        <v>15378</v>
      </c>
      <c r="P5937" t="e">
        <v>#N/A</v>
      </c>
      <c r="Q5937" t="s">
        <v>68</v>
      </c>
      <c r="R5937" t="s">
        <v>68</v>
      </c>
      <c r="S5937" t="s">
        <v>77</v>
      </c>
    </row>
    <row r="5938" spans="1:19" x14ac:dyDescent="0.35">
      <c r="A5938">
        <v>135145</v>
      </c>
      <c r="B5938" t="str">
        <f>"135145"</f>
        <v>135145</v>
      </c>
      <c r="C5938" t="s">
        <v>503</v>
      </c>
      <c r="D5938" t="s">
        <v>49</v>
      </c>
      <c r="E5938" t="s">
        <v>15207</v>
      </c>
      <c r="F5938" t="s">
        <v>15208</v>
      </c>
      <c r="G5938" t="s">
        <v>493</v>
      </c>
      <c r="H5938" t="s">
        <v>15379</v>
      </c>
      <c r="I5938" t="s">
        <v>15380</v>
      </c>
      <c r="J5938" t="s">
        <v>1107</v>
      </c>
      <c r="K5938" t="s">
        <v>55</v>
      </c>
      <c r="L5938">
        <v>45719</v>
      </c>
      <c r="M5938" t="s">
        <v>57</v>
      </c>
      <c r="O5938" t="s">
        <v>58</v>
      </c>
      <c r="P5938" t="e">
        <v>#N/A</v>
      </c>
      <c r="Q5938" t="s">
        <v>68</v>
      </c>
      <c r="R5938" t="s">
        <v>68</v>
      </c>
      <c r="S5938" t="s">
        <v>130</v>
      </c>
    </row>
    <row r="5939" spans="1:19" x14ac:dyDescent="0.35">
      <c r="A5939">
        <v>8069</v>
      </c>
      <c r="B5939" t="str">
        <f>"008069"</f>
        <v>008069</v>
      </c>
      <c r="C5939" t="s">
        <v>15381</v>
      </c>
      <c r="D5939" t="s">
        <v>49</v>
      </c>
      <c r="E5939" t="s">
        <v>15227</v>
      </c>
      <c r="F5939" t="s">
        <v>15208</v>
      </c>
      <c r="G5939" t="s">
        <v>600</v>
      </c>
      <c r="H5939" t="s">
        <v>15213</v>
      </c>
      <c r="J5939" t="s">
        <v>2035</v>
      </c>
      <c r="K5939" t="s">
        <v>2035</v>
      </c>
      <c r="L5939" t="s">
        <v>15214</v>
      </c>
      <c r="M5939" t="s">
        <v>57</v>
      </c>
      <c r="O5939" t="s">
        <v>49</v>
      </c>
      <c r="P5939" t="e">
        <v>#N/A</v>
      </c>
      <c r="Q5939" t="s">
        <v>68</v>
      </c>
      <c r="R5939" t="s">
        <v>68</v>
      </c>
      <c r="S5939" t="s">
        <v>60</v>
      </c>
    </row>
    <row r="5940" spans="1:19" x14ac:dyDescent="0.35">
      <c r="A5940">
        <v>49072</v>
      </c>
      <c r="B5940" t="str">
        <f>"049072"</f>
        <v>049072</v>
      </c>
      <c r="C5940" t="s">
        <v>1572</v>
      </c>
      <c r="D5940" t="s">
        <v>49</v>
      </c>
      <c r="E5940" t="s">
        <v>15207</v>
      </c>
      <c r="F5940" t="s">
        <v>15208</v>
      </c>
      <c r="G5940" t="s">
        <v>1567</v>
      </c>
      <c r="H5940" t="s">
        <v>15382</v>
      </c>
      <c r="I5940" t="s">
        <v>15383</v>
      </c>
      <c r="J5940" t="s">
        <v>1570</v>
      </c>
      <c r="K5940" t="s">
        <v>55</v>
      </c>
      <c r="L5940">
        <v>43113</v>
      </c>
      <c r="M5940" t="s">
        <v>57</v>
      </c>
      <c r="O5940" t="s">
        <v>58</v>
      </c>
      <c r="P5940" t="e">
        <v>#N/A</v>
      </c>
      <c r="Q5940" t="s">
        <v>68</v>
      </c>
      <c r="R5940" t="s">
        <v>68</v>
      </c>
      <c r="S5940" t="s">
        <v>60</v>
      </c>
    </row>
    <row r="5941" spans="1:19" x14ac:dyDescent="0.35">
      <c r="A5941">
        <v>93617</v>
      </c>
      <c r="B5941" t="str">
        <f>"093617"</f>
        <v>093617</v>
      </c>
      <c r="C5941" t="s">
        <v>15384</v>
      </c>
      <c r="D5941" t="s">
        <v>49</v>
      </c>
      <c r="E5941" t="s">
        <v>15227</v>
      </c>
      <c r="F5941" t="s">
        <v>15208</v>
      </c>
      <c r="G5941" t="s">
        <v>481</v>
      </c>
      <c r="H5941" t="s">
        <v>15385</v>
      </c>
      <c r="I5941" t="s">
        <v>15386</v>
      </c>
      <c r="J5941" t="s">
        <v>1821</v>
      </c>
      <c r="K5941" t="s">
        <v>55</v>
      </c>
      <c r="L5941">
        <v>44094</v>
      </c>
      <c r="M5941" t="s">
        <v>57</v>
      </c>
      <c r="O5941" t="s">
        <v>15384</v>
      </c>
      <c r="P5941" t="e">
        <v>#N/A</v>
      </c>
      <c r="Q5941" t="s">
        <v>68</v>
      </c>
      <c r="R5941" t="s">
        <v>68</v>
      </c>
      <c r="S5941" t="s">
        <v>69</v>
      </c>
    </row>
    <row r="5942" spans="1:19" x14ac:dyDescent="0.35">
      <c r="A5942">
        <v>8013</v>
      </c>
      <c r="B5942" t="str">
        <f>"008013"</f>
        <v>008013</v>
      </c>
      <c r="C5942" t="s">
        <v>15387</v>
      </c>
      <c r="D5942" t="s">
        <v>49</v>
      </c>
      <c r="E5942" t="s">
        <v>15220</v>
      </c>
      <c r="F5942" t="s">
        <v>15208</v>
      </c>
      <c r="G5942" t="s">
        <v>543</v>
      </c>
      <c r="H5942" t="s">
        <v>15388</v>
      </c>
      <c r="I5942" t="s">
        <v>15229</v>
      </c>
      <c r="J5942" t="s">
        <v>687</v>
      </c>
      <c r="K5942" t="s">
        <v>55</v>
      </c>
      <c r="L5942">
        <v>45431</v>
      </c>
      <c r="M5942" t="s">
        <v>57</v>
      </c>
      <c r="O5942" t="s">
        <v>49</v>
      </c>
      <c r="P5942" t="e">
        <v>#N/A</v>
      </c>
      <c r="Q5942" t="s">
        <v>68</v>
      </c>
      <c r="R5942" t="s">
        <v>68</v>
      </c>
      <c r="S5942" t="s">
        <v>180</v>
      </c>
    </row>
    <row r="5943" spans="1:19" x14ac:dyDescent="0.35">
      <c r="A5943">
        <v>15777</v>
      </c>
      <c r="B5943" t="str">
        <f>"015777"</f>
        <v>015777</v>
      </c>
      <c r="C5943" t="s">
        <v>15389</v>
      </c>
      <c r="D5943" t="s">
        <v>49</v>
      </c>
      <c r="E5943" t="s">
        <v>15212</v>
      </c>
      <c r="F5943" t="s">
        <v>15208</v>
      </c>
      <c r="G5943" t="s">
        <v>63</v>
      </c>
      <c r="H5943" t="s">
        <v>15390</v>
      </c>
      <c r="I5943" t="s">
        <v>15391</v>
      </c>
      <c r="J5943" t="s">
        <v>15392</v>
      </c>
      <c r="K5943" t="s">
        <v>55</v>
      </c>
      <c r="L5943">
        <v>44125</v>
      </c>
      <c r="M5943" t="s">
        <v>57</v>
      </c>
      <c r="O5943" t="s">
        <v>49</v>
      </c>
      <c r="P5943" t="e">
        <v>#N/A</v>
      </c>
      <c r="Q5943" t="s">
        <v>68</v>
      </c>
      <c r="R5943" t="s">
        <v>68</v>
      </c>
      <c r="S5943" t="s">
        <v>69</v>
      </c>
    </row>
    <row r="5944" spans="1:19" x14ac:dyDescent="0.35">
      <c r="A5944">
        <v>15785</v>
      </c>
      <c r="B5944" t="str">
        <f>"015785"</f>
        <v>015785</v>
      </c>
      <c r="C5944" t="s">
        <v>15393</v>
      </c>
      <c r="D5944" t="s">
        <v>49</v>
      </c>
      <c r="E5944" t="s">
        <v>15212</v>
      </c>
      <c r="F5944" t="s">
        <v>15208</v>
      </c>
      <c r="G5944" t="s">
        <v>226</v>
      </c>
      <c r="H5944" t="s">
        <v>15224</v>
      </c>
      <c r="I5944" t="s">
        <v>15225</v>
      </c>
      <c r="J5944" t="s">
        <v>810</v>
      </c>
      <c r="K5944" t="s">
        <v>55</v>
      </c>
      <c r="L5944">
        <v>43403</v>
      </c>
      <c r="M5944" t="s">
        <v>57</v>
      </c>
      <c r="O5944" t="s">
        <v>49</v>
      </c>
      <c r="P5944" t="e">
        <v>#N/A</v>
      </c>
      <c r="Q5944" t="s">
        <v>68</v>
      </c>
      <c r="R5944" t="s">
        <v>68</v>
      </c>
      <c r="S5944" t="s">
        <v>156</v>
      </c>
    </row>
    <row r="5945" spans="1:19" x14ac:dyDescent="0.35">
      <c r="A5945">
        <v>93500</v>
      </c>
      <c r="B5945" t="str">
        <f>"093500"</f>
        <v>093500</v>
      </c>
      <c r="C5945" t="s">
        <v>15394</v>
      </c>
      <c r="D5945" t="s">
        <v>49</v>
      </c>
      <c r="E5945" t="s">
        <v>15227</v>
      </c>
      <c r="F5945" t="s">
        <v>15208</v>
      </c>
      <c r="G5945" t="s">
        <v>212</v>
      </c>
      <c r="H5945" t="s">
        <v>15395</v>
      </c>
      <c r="I5945" t="s">
        <v>15396</v>
      </c>
      <c r="J5945" t="s">
        <v>215</v>
      </c>
      <c r="K5945" t="s">
        <v>55</v>
      </c>
      <c r="L5945">
        <v>45215</v>
      </c>
      <c r="M5945" t="s">
        <v>57</v>
      </c>
      <c r="O5945" t="s">
        <v>15394</v>
      </c>
      <c r="P5945" t="e">
        <v>#N/A</v>
      </c>
      <c r="Q5945" t="s">
        <v>68</v>
      </c>
      <c r="R5945" t="s">
        <v>68</v>
      </c>
      <c r="S5945" t="s">
        <v>217</v>
      </c>
    </row>
    <row r="5946" spans="1:19" x14ac:dyDescent="0.35">
      <c r="A5946">
        <v>123257</v>
      </c>
      <c r="B5946" t="str">
        <f>"123257"</f>
        <v>123257</v>
      </c>
      <c r="C5946" t="s">
        <v>316</v>
      </c>
      <c r="D5946" t="s">
        <v>49</v>
      </c>
      <c r="E5946" t="s">
        <v>15207</v>
      </c>
      <c r="F5946" t="s">
        <v>15208</v>
      </c>
      <c r="G5946" t="s">
        <v>1296</v>
      </c>
      <c r="H5946" t="s">
        <v>15397</v>
      </c>
      <c r="I5946" t="s">
        <v>15398</v>
      </c>
      <c r="J5946" t="s">
        <v>1299</v>
      </c>
      <c r="K5946" t="s">
        <v>55</v>
      </c>
      <c r="L5946">
        <v>44883</v>
      </c>
      <c r="M5946" t="s">
        <v>57</v>
      </c>
      <c r="O5946" t="s">
        <v>58</v>
      </c>
      <c r="P5946" t="e">
        <v>#N/A</v>
      </c>
      <c r="Q5946" t="s">
        <v>68</v>
      </c>
      <c r="R5946" t="s">
        <v>68</v>
      </c>
      <c r="S5946" t="s">
        <v>156</v>
      </c>
    </row>
    <row r="5947" spans="1:19" x14ac:dyDescent="0.35">
      <c r="A5947">
        <v>47324</v>
      </c>
      <c r="B5947" t="str">
        <f>"047324"</f>
        <v>047324</v>
      </c>
      <c r="C5947" t="s">
        <v>491</v>
      </c>
      <c r="D5947" t="s">
        <v>49</v>
      </c>
      <c r="E5947" t="s">
        <v>15207</v>
      </c>
      <c r="F5947" t="s">
        <v>15208</v>
      </c>
      <c r="G5947" t="s">
        <v>212</v>
      </c>
      <c r="H5947" t="s">
        <v>15254</v>
      </c>
      <c r="I5947" t="s">
        <v>15255</v>
      </c>
      <c r="J5947" t="s">
        <v>215</v>
      </c>
      <c r="K5947" t="s">
        <v>55</v>
      </c>
      <c r="L5947">
        <v>45231</v>
      </c>
      <c r="M5947" t="s">
        <v>57</v>
      </c>
      <c r="O5947" t="s">
        <v>58</v>
      </c>
      <c r="P5947" t="e">
        <v>#N/A</v>
      </c>
      <c r="Q5947" t="s">
        <v>68</v>
      </c>
      <c r="R5947" t="s">
        <v>68</v>
      </c>
      <c r="S5947" t="s">
        <v>217</v>
      </c>
    </row>
    <row r="5948" spans="1:19" x14ac:dyDescent="0.35">
      <c r="A5948">
        <v>48660</v>
      </c>
      <c r="B5948" t="str">
        <f>"048660"</f>
        <v>048660</v>
      </c>
      <c r="C5948" t="s">
        <v>867</v>
      </c>
      <c r="D5948" t="s">
        <v>49</v>
      </c>
      <c r="E5948" t="s">
        <v>15207</v>
      </c>
      <c r="F5948" t="s">
        <v>15208</v>
      </c>
      <c r="G5948" t="s">
        <v>543</v>
      </c>
      <c r="H5948" t="s">
        <v>14708</v>
      </c>
      <c r="I5948" t="s">
        <v>14709</v>
      </c>
      <c r="J5948" t="s">
        <v>687</v>
      </c>
      <c r="K5948" t="s">
        <v>55</v>
      </c>
      <c r="L5948">
        <v>45402</v>
      </c>
      <c r="M5948" t="s">
        <v>57</v>
      </c>
      <c r="O5948" t="s">
        <v>58</v>
      </c>
      <c r="P5948" t="e">
        <v>#N/A</v>
      </c>
      <c r="Q5948" t="s">
        <v>68</v>
      </c>
      <c r="R5948" t="s">
        <v>68</v>
      </c>
      <c r="S5948" t="s">
        <v>180</v>
      </c>
    </row>
    <row r="5949" spans="1:19" x14ac:dyDescent="0.35">
      <c r="A5949">
        <v>50401</v>
      </c>
      <c r="B5949" t="str">
        <f>"050401"</f>
        <v>050401</v>
      </c>
      <c r="C5949" t="s">
        <v>582</v>
      </c>
      <c r="D5949" t="s">
        <v>49</v>
      </c>
      <c r="E5949" t="s">
        <v>15207</v>
      </c>
      <c r="F5949" t="s">
        <v>15208</v>
      </c>
      <c r="G5949" t="s">
        <v>172</v>
      </c>
      <c r="H5949" t="s">
        <v>12825</v>
      </c>
      <c r="I5949" t="s">
        <v>12826</v>
      </c>
      <c r="J5949" t="s">
        <v>629</v>
      </c>
      <c r="K5949" t="s">
        <v>55</v>
      </c>
      <c r="L5949">
        <v>45036</v>
      </c>
      <c r="M5949" t="s">
        <v>57</v>
      </c>
      <c r="O5949" t="s">
        <v>58</v>
      </c>
      <c r="P5949" t="e">
        <v>#N/A</v>
      </c>
      <c r="Q5949" t="s">
        <v>68</v>
      </c>
      <c r="R5949" t="s">
        <v>68</v>
      </c>
      <c r="S5949" t="s">
        <v>217</v>
      </c>
    </row>
    <row r="5950" spans="1:19" x14ac:dyDescent="0.35">
      <c r="A5950">
        <v>15780</v>
      </c>
      <c r="B5950" t="str">
        <f>"015780"</f>
        <v>015780</v>
      </c>
      <c r="C5950" t="s">
        <v>15399</v>
      </c>
      <c r="D5950" t="s">
        <v>49</v>
      </c>
      <c r="E5950" t="s">
        <v>15212</v>
      </c>
      <c r="F5950" t="s">
        <v>15208</v>
      </c>
      <c r="G5950" t="s">
        <v>759</v>
      </c>
      <c r="H5950" t="s">
        <v>15400</v>
      </c>
      <c r="I5950" t="s">
        <v>15401</v>
      </c>
      <c r="J5950" t="s">
        <v>400</v>
      </c>
      <c r="K5950" t="s">
        <v>55</v>
      </c>
      <c r="L5950">
        <v>44870</v>
      </c>
      <c r="M5950" t="s">
        <v>57</v>
      </c>
      <c r="O5950" t="s">
        <v>49</v>
      </c>
      <c r="P5950" t="e">
        <v>#N/A</v>
      </c>
      <c r="Q5950" t="s">
        <v>68</v>
      </c>
      <c r="R5950" t="s">
        <v>68</v>
      </c>
      <c r="S5950" t="s">
        <v>69</v>
      </c>
    </row>
    <row r="5951" spans="1:19" x14ac:dyDescent="0.35">
      <c r="A5951">
        <v>93526</v>
      </c>
      <c r="B5951" t="str">
        <f>"093526"</f>
        <v>093526</v>
      </c>
      <c r="C5951" t="s">
        <v>15402</v>
      </c>
      <c r="D5951" t="s">
        <v>49</v>
      </c>
      <c r="E5951" t="s">
        <v>15227</v>
      </c>
      <c r="F5951" t="s">
        <v>15208</v>
      </c>
      <c r="G5951" t="s">
        <v>493</v>
      </c>
      <c r="H5951" t="s">
        <v>15403</v>
      </c>
      <c r="I5951" t="s">
        <v>15404</v>
      </c>
      <c r="J5951" t="s">
        <v>493</v>
      </c>
      <c r="K5951" t="s">
        <v>55</v>
      </c>
      <c r="L5951">
        <v>45701</v>
      </c>
      <c r="M5951" t="s">
        <v>57</v>
      </c>
      <c r="O5951" t="s">
        <v>15402</v>
      </c>
      <c r="P5951" t="e">
        <v>#N/A</v>
      </c>
      <c r="Q5951" t="s">
        <v>68</v>
      </c>
      <c r="R5951" t="s">
        <v>68</v>
      </c>
      <c r="S5951" t="s">
        <v>130</v>
      </c>
    </row>
    <row r="5952" spans="1:19" x14ac:dyDescent="0.35">
      <c r="A5952">
        <v>93534</v>
      </c>
      <c r="B5952" t="str">
        <f>"093534"</f>
        <v>093534</v>
      </c>
      <c r="C5952" t="s">
        <v>15405</v>
      </c>
      <c r="D5952" t="s">
        <v>49</v>
      </c>
      <c r="E5952" t="s">
        <v>15227</v>
      </c>
      <c r="F5952" t="s">
        <v>15208</v>
      </c>
      <c r="G5952" t="s">
        <v>226</v>
      </c>
      <c r="H5952" t="s">
        <v>15406</v>
      </c>
      <c r="I5952" t="s">
        <v>15407</v>
      </c>
      <c r="J5952" t="s">
        <v>810</v>
      </c>
      <c r="K5952" t="s">
        <v>55</v>
      </c>
      <c r="L5952">
        <v>43402</v>
      </c>
      <c r="M5952" t="s">
        <v>57</v>
      </c>
      <c r="O5952" t="s">
        <v>15405</v>
      </c>
      <c r="P5952" t="e">
        <v>#N/A</v>
      </c>
      <c r="Q5952" t="s">
        <v>68</v>
      </c>
      <c r="R5952" t="s">
        <v>68</v>
      </c>
      <c r="S5952" t="s">
        <v>156</v>
      </c>
    </row>
    <row r="5953" spans="1:19" x14ac:dyDescent="0.35">
      <c r="A5953">
        <v>124677</v>
      </c>
      <c r="B5953" t="str">
        <f>"124677"</f>
        <v>124677</v>
      </c>
      <c r="C5953" t="s">
        <v>15408</v>
      </c>
      <c r="D5953" t="s">
        <v>49</v>
      </c>
      <c r="E5953" t="s">
        <v>15227</v>
      </c>
      <c r="F5953" t="s">
        <v>15208</v>
      </c>
      <c r="G5953" t="s">
        <v>600</v>
      </c>
      <c r="H5953" t="s">
        <v>15236</v>
      </c>
      <c r="I5953" t="s">
        <v>15237</v>
      </c>
      <c r="J5953" t="s">
        <v>1348</v>
      </c>
      <c r="K5953" t="s">
        <v>55</v>
      </c>
      <c r="L5953">
        <v>43214</v>
      </c>
      <c r="M5953" t="s">
        <v>57</v>
      </c>
      <c r="O5953" t="s">
        <v>15408</v>
      </c>
      <c r="P5953" t="e">
        <v>#N/A</v>
      </c>
      <c r="Q5953" t="s">
        <v>68</v>
      </c>
      <c r="R5953" t="s">
        <v>68</v>
      </c>
      <c r="S5953" t="s">
        <v>60</v>
      </c>
    </row>
    <row r="5954" spans="1:19" x14ac:dyDescent="0.35">
      <c r="A5954">
        <v>8015</v>
      </c>
      <c r="B5954" t="str">
        <f>"008015"</f>
        <v>008015</v>
      </c>
      <c r="C5954" t="s">
        <v>15409</v>
      </c>
      <c r="D5954" t="s">
        <v>49</v>
      </c>
      <c r="E5954" t="s">
        <v>15220</v>
      </c>
      <c r="F5954" t="s">
        <v>15208</v>
      </c>
      <c r="G5954" t="s">
        <v>600</v>
      </c>
      <c r="H5954" t="s">
        <v>15410</v>
      </c>
      <c r="I5954" t="s">
        <v>15411</v>
      </c>
      <c r="J5954" t="s">
        <v>1348</v>
      </c>
      <c r="K5954" t="s">
        <v>55</v>
      </c>
      <c r="L5954">
        <v>43210</v>
      </c>
      <c r="M5954" t="s">
        <v>57</v>
      </c>
      <c r="O5954" t="s">
        <v>49</v>
      </c>
      <c r="P5954" t="e">
        <v>#N/A</v>
      </c>
      <c r="Q5954" t="s">
        <v>68</v>
      </c>
      <c r="R5954" t="s">
        <v>68</v>
      </c>
      <c r="S5954" t="s">
        <v>60</v>
      </c>
    </row>
    <row r="5955" spans="1:19" x14ac:dyDescent="0.35">
      <c r="A5955">
        <v>47977</v>
      </c>
      <c r="B5955" t="str">
        <f>"047977"</f>
        <v>047977</v>
      </c>
      <c r="C5955" t="s">
        <v>115</v>
      </c>
      <c r="D5955" t="s">
        <v>49</v>
      </c>
      <c r="E5955" t="s">
        <v>15207</v>
      </c>
      <c r="F5955" t="s">
        <v>15208</v>
      </c>
      <c r="G5955" t="s">
        <v>110</v>
      </c>
      <c r="H5955" t="s">
        <v>669</v>
      </c>
      <c r="I5955" t="s">
        <v>670</v>
      </c>
      <c r="J5955" t="s">
        <v>671</v>
      </c>
      <c r="K5955" t="s">
        <v>55</v>
      </c>
      <c r="L5955">
        <v>43055</v>
      </c>
      <c r="M5955" t="s">
        <v>57</v>
      </c>
      <c r="O5955" t="s">
        <v>58</v>
      </c>
      <c r="P5955" t="e">
        <v>#N/A</v>
      </c>
      <c r="Q5955" t="s">
        <v>68</v>
      </c>
      <c r="R5955" t="s">
        <v>68</v>
      </c>
      <c r="S5955" t="s">
        <v>60</v>
      </c>
    </row>
    <row r="5956" spans="1:19" x14ac:dyDescent="0.35">
      <c r="A5956">
        <v>15787</v>
      </c>
      <c r="B5956" t="str">
        <f>"015787"</f>
        <v>015787</v>
      </c>
      <c r="C5956" t="s">
        <v>15412</v>
      </c>
      <c r="D5956" t="s">
        <v>49</v>
      </c>
      <c r="E5956" t="s">
        <v>15212</v>
      </c>
      <c r="F5956" t="s">
        <v>15208</v>
      </c>
      <c r="G5956" t="s">
        <v>250</v>
      </c>
      <c r="H5956" t="s">
        <v>15213</v>
      </c>
      <c r="J5956" t="s">
        <v>2035</v>
      </c>
      <c r="K5956" t="s">
        <v>2035</v>
      </c>
      <c r="L5956" t="s">
        <v>15214</v>
      </c>
      <c r="M5956" t="s">
        <v>57</v>
      </c>
      <c r="O5956" t="s">
        <v>49</v>
      </c>
      <c r="P5956" t="e">
        <v>#N/A</v>
      </c>
      <c r="Q5956" t="s">
        <v>68</v>
      </c>
      <c r="R5956" t="s">
        <v>68</v>
      </c>
      <c r="S5956" t="s">
        <v>60</v>
      </c>
    </row>
  </sheetData>
  <autoFilter ref="A1:S5956" xr:uid="{4390271F-9E0F-401A-9CC2-391A07A1B57C}"/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2dd732a6-0413-473f-a1ce-68d1616444b6}" enabled="0" method="" siteId="{2dd732a6-0413-473f-a1ce-68d1616444b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 </vt:lpstr>
      <vt:lpstr>data (required)</vt:lpstr>
      <vt:lpstr>descriptions (also required)</vt:lpstr>
      <vt:lpstr>IRNs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Evans, Robert</dc:creator>
  <cp:keywords/>
  <dc:description/>
  <cp:lastModifiedBy>Gaier Evans, Kelly (US)</cp:lastModifiedBy>
  <cp:revision/>
  <dcterms:created xsi:type="dcterms:W3CDTF">2022-05-24T16:15:14Z</dcterms:created>
  <dcterms:modified xsi:type="dcterms:W3CDTF">2025-09-19T19:43:10Z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ddinVersion">
    <vt:lpwstr>5</vt:lpwstr>
  </property>
  <property fmtid="{D5CDD505-2E9C-101B-9397-08002B2CF9AE}" pid="3" name="AddinDataModel">
    <vt:lpwstr>0</vt:lpwstr>
  </property>
</Properties>
</file>